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intern.zinl.nl\dfs\Homefolder\rtr\Documents\"/>
    </mc:Choice>
  </mc:AlternateContent>
  <workbookProtection workbookAlgorithmName="SHA-512" workbookHashValue="vz0GsRiCRKsDplxhJUGrAmkppSNbtOHcC6urIWwW2H6j4XwhgCrk8tjjeBOOcL6Evr2k88K09Yih6727PuSdjw==" workbookSaltValue="zAYt9j/iHptNgEaTkN5jzQ==" workbookSpinCount="100000" lockStructure="1"/>
  <bookViews>
    <workbookView xWindow="0" yWindow="0" windowWidth="19200" windowHeight="6300" tabRatio="934" activeTab="1"/>
  </bookViews>
  <sheets>
    <sheet name="Adviesformulier" sheetId="28" r:id="rId1"/>
    <sheet name="Rekenblad" sheetId="10" r:id="rId2"/>
    <sheet name="Deeltijd verblijf" sheetId="40" state="hidden" r:id="rId3"/>
    <sheet name="Werkwijze rekenmodule" sheetId="20" r:id="rId4"/>
    <sheet name="Meerzorg onderbouwing" sheetId="32" r:id="rId5"/>
    <sheet name="PGB tarieven" sheetId="29" r:id="rId6"/>
    <sheet name="Tarieven ZIN prestaties" sheetId="41" r:id="rId7"/>
    <sheet name="Tarieven VPT" sheetId="35" r:id="rId8"/>
    <sheet name="Tarieven ZZP" sheetId="36" r:id="rId9"/>
    <sheet name="Ruimte behandeling basis MPT" sheetId="39" r:id="rId10"/>
  </sheets>
  <definedNames>
    <definedName name="BGgrp">Rekenblad!$AE$8:$AE$47</definedName>
    <definedName name="BGind">Rekenblad!$AN$8:$AN$17</definedName>
    <definedName name="BHd">Rekenblad!$AC$8:$AC$15</definedName>
    <definedName name="BHgrp">Rekenblad!$AD$8:$AD$16</definedName>
    <definedName name="BHind">Rekenblad!$AC$8:$AC$17</definedName>
    <definedName name="BHindi">Rekenblad!$AC$8:$AC$15</definedName>
    <definedName name="Dagbesteding">Rekenblad!$EW$109:$EW$130</definedName>
    <definedName name="Deeltijd">Rekenblad!$EP$2:$EP$10</definedName>
    <definedName name="Deeltijd_verblijf">Rekenblad!$AF$8:$AF$38</definedName>
    <definedName name="fout">Rekenblad!$ER$48:$ER$77</definedName>
    <definedName name="GGZ">Rekenblad!$X$8:$X$12</definedName>
    <definedName name="groep">Rekenblad!$CL$7:$CL$54</definedName>
    <definedName name="jan">Rekenblad!$V$8:$V$16</definedName>
    <definedName name="LG">Rekenblad!$Z$8:$Z$16</definedName>
    <definedName name="Licht">Rekenblad!$DP$8:$DP$22</definedName>
    <definedName name="Lijst1">Rekenblad!$DH$11:$DH$15</definedName>
    <definedName name="Lijst2">Rekenblad!$DI$11:$DI$16</definedName>
    <definedName name="Lijst3">Rekenblad!$DJ$11:$DJ$21</definedName>
    <definedName name="Lijst4">Rekenblad!$DI$15:$DI$16</definedName>
    <definedName name="LOG">Rekenblad!$EQ$2:$EQ$9</definedName>
    <definedName name="Logeren">Rekenblad!$AH$8:$AH$14</definedName>
    <definedName name="Midden">Rekenblad!$DQ$8:$DQ$30</definedName>
    <definedName name="MPT">Rekenblad!$EO$2:$EO$9</definedName>
    <definedName name="Niet">Rekenblad!$CK$61</definedName>
    <definedName name="_xlnm.Recorder">Rekenblad!$ET$2:$ET$5</definedName>
    <definedName name="Opname2">Rekenblad!$EU$2:$EU$3</definedName>
    <definedName name="OpnameGGZdagbesteding">Rekenblad!$AE$68:$AE$72</definedName>
    <definedName name="OpnameGGZVerblijfsprestatie">Rekenblad!$ER$48:$ER$67</definedName>
    <definedName name="opnamelgverblijfsprestatie">Rekenblad!$EW$53:$EW$76</definedName>
    <definedName name="opnamepgverblijfsprestatie">Rekenblad!$EW$1:$EW$18</definedName>
    <definedName name="opnamesomverblijfsprestatie">Rekenblad!$ER$12:$ER$29</definedName>
    <definedName name="opnamevgverblijfsprestatie">Rekenblad!$EW$19:$EW$52</definedName>
    <definedName name="opnamezgverblijfsprestatie">Rekenblad!$EW$77:$EW$108</definedName>
    <definedName name="Overbruggingszorg">Rekenblad!$ER$2:$ER$8</definedName>
    <definedName name="PA">Rekenblad!$X$8:$X$14</definedName>
    <definedName name="PG">Rekenblad!$W$8:$W$14</definedName>
    <definedName name="PV">Rekenblad!$AJ$8:$AJ$14</definedName>
    <definedName name="Schoonmaak">Rekenblad!$AG$8</definedName>
    <definedName name="SOM">Rekenblad!$V$8:$V$16</definedName>
    <definedName name="Tarieven_PGB0">'PGB tarieven'!$A$7:$O$51</definedName>
    <definedName name="Tarieven_VPT0">'Tarieven VPT'!$B$6:$J$168</definedName>
    <definedName name="Tarieven_VPT1">'Tarieven VPT'!$D$6:$J$168</definedName>
    <definedName name="Tarieven_ZIN_Logeren">'Tarieven ZIN prestaties'!$A$110:$C$116</definedName>
    <definedName name="Tarieven_ZIN0">'Tarieven ZIN prestaties'!$A$1:$C$116</definedName>
    <definedName name="Tarieven_ZIN1">'Tarieven ZIN prestaties'!$B$1:$C$116</definedName>
    <definedName name="Tarieven_ZZP0">'Tarieven ZZP'!$B$6:$J$175</definedName>
    <definedName name="Tarieven_ZZP1">'Tarieven ZZP'!$D$6:$J$175</definedName>
    <definedName name="Verblijf">Rekenblad!$ET$2:$ET$5</definedName>
    <definedName name="Verblijf2">Rekenblad!$EU$2:$EU$3</definedName>
    <definedName name="verblijfzgverblijfsprestatie">Rekenblad!$EW$77:$EW$108</definedName>
    <definedName name="Vervoer">Rekenblad!$AM$8:$AM$15</definedName>
    <definedName name="VG">Rekenblad!$Y$8:$Y$21</definedName>
    <definedName name="VolPT2">Rekenblad!$EU$6:$EU$7</definedName>
    <definedName name="VP">Rekenblad!$AI$8:$AI$13</definedName>
    <definedName name="VPT">Rekenblad!$ES$2:$ES$5</definedName>
    <definedName name="VPTGGZVPTprestatie">Rekenblad!$ES$48:$ES$57</definedName>
    <definedName name="vptlgvptprestatie">Rekenblad!$EX$53:$EX$76</definedName>
    <definedName name="vptpgvptprestatie">Rekenblad!$EX$1:$EX$18</definedName>
    <definedName name="vptsomvptprestatie">Rekenblad!$ES$10:$ES$24</definedName>
    <definedName name="vptvgvptprestatie">Rekenblad!$EX$19:$EX$52</definedName>
    <definedName name="vptzgvptprestatie">Rekenblad!$EX$77:$EX$108</definedName>
    <definedName name="wel">Rekenblad!$CJ$61:$CJ$62</definedName>
    <definedName name="ZG">Rekenblad!$AA$8:$AA$16</definedName>
    <definedName name="Zwaar">Rekenblad!$DR$8:$DR$38</definedName>
    <definedName name="ZZP">Rekenblad!$CJ$7:$CJ$54</definedName>
  </definedNames>
  <calcPr calcId="162913"/>
</workbook>
</file>

<file path=xl/calcChain.xml><?xml version="1.0" encoding="utf-8"?>
<calcChain xmlns="http://schemas.openxmlformats.org/spreadsheetml/2006/main">
  <c r="C33" i="39" l="1"/>
  <c r="E33" i="39"/>
  <c r="C34" i="39"/>
  <c r="E34" i="39"/>
  <c r="C35" i="39"/>
  <c r="E35" i="39"/>
  <c r="C36" i="39"/>
  <c r="E36" i="39"/>
  <c r="C37" i="39"/>
  <c r="E37" i="39"/>
  <c r="F37" i="39" l="1"/>
  <c r="G37" i="39" s="1"/>
  <c r="H37" i="39" s="1"/>
  <c r="F36" i="39"/>
  <c r="G36" i="39" s="1"/>
  <c r="H36" i="39" s="1"/>
  <c r="F35" i="39"/>
  <c r="G35" i="39" s="1"/>
  <c r="H35" i="39" s="1"/>
  <c r="F34" i="39"/>
  <c r="G34" i="39" s="1"/>
  <c r="H34" i="39" s="1"/>
  <c r="F33" i="39"/>
  <c r="G33" i="39" s="1"/>
  <c r="H33" i="39" s="1"/>
  <c r="R29" i="10"/>
  <c r="R30" i="10"/>
  <c r="R28" i="10"/>
  <c r="M51" i="29" l="1"/>
  <c r="O51" i="29" s="1"/>
  <c r="M50" i="29"/>
  <c r="O50" i="29" s="1"/>
  <c r="M49" i="29"/>
  <c r="O49" i="29" s="1"/>
  <c r="M48" i="29"/>
  <c r="O48" i="29" s="1"/>
  <c r="M47" i="29"/>
  <c r="O47" i="29" s="1"/>
  <c r="M46" i="29"/>
  <c r="O46" i="29" s="1"/>
  <c r="M45" i="29"/>
  <c r="O45" i="29" s="1"/>
  <c r="M44" i="29"/>
  <c r="O44" i="29" s="1"/>
  <c r="M43" i="29"/>
  <c r="O43" i="29" s="1"/>
  <c r="M42" i="29"/>
  <c r="O42" i="29" s="1"/>
  <c r="M41" i="29"/>
  <c r="O41" i="29" s="1"/>
  <c r="M40" i="29"/>
  <c r="O40" i="29" s="1"/>
  <c r="M39" i="29"/>
  <c r="O39" i="29" s="1"/>
  <c r="M38" i="29"/>
  <c r="O38" i="29" s="1"/>
  <c r="M37" i="29"/>
  <c r="O37" i="29" s="1"/>
  <c r="M36" i="29"/>
  <c r="O36" i="29" s="1"/>
  <c r="M35" i="29"/>
  <c r="O35" i="29" s="1"/>
  <c r="M34" i="29"/>
  <c r="O34" i="29" s="1"/>
  <c r="M33" i="29"/>
  <c r="O33" i="29" s="1"/>
  <c r="M32" i="29"/>
  <c r="O32" i="29" s="1"/>
  <c r="M31" i="29"/>
  <c r="O31" i="29" s="1"/>
  <c r="M30" i="29"/>
  <c r="O30" i="29" s="1"/>
  <c r="M29" i="29"/>
  <c r="O29" i="29" s="1"/>
  <c r="M28" i="29"/>
  <c r="O28" i="29" s="1"/>
  <c r="M27" i="29"/>
  <c r="O27" i="29" s="1"/>
  <c r="M26" i="29"/>
  <c r="O26" i="29" s="1"/>
  <c r="M25" i="29"/>
  <c r="O25" i="29" s="1"/>
  <c r="M24" i="29"/>
  <c r="O24" i="29" s="1"/>
  <c r="M23" i="29"/>
  <c r="O23" i="29" s="1"/>
  <c r="M22" i="29"/>
  <c r="O22" i="29" s="1"/>
  <c r="M21" i="29"/>
  <c r="O21" i="29" s="1"/>
  <c r="M20" i="29"/>
  <c r="O20" i="29" s="1"/>
  <c r="M19" i="29"/>
  <c r="O19" i="29" s="1"/>
  <c r="M18" i="29"/>
  <c r="O18" i="29" s="1"/>
  <c r="M17" i="29"/>
  <c r="O17" i="29" s="1"/>
  <c r="M16" i="29"/>
  <c r="O16" i="29" s="1"/>
  <c r="M15" i="29"/>
  <c r="O15" i="29" s="1"/>
  <c r="M14" i="29"/>
  <c r="O14" i="29" s="1"/>
  <c r="M13" i="29"/>
  <c r="O13" i="29" s="1"/>
  <c r="M12" i="29"/>
  <c r="O12" i="29" s="1"/>
  <c r="M11" i="29"/>
  <c r="O11" i="29" s="1"/>
  <c r="M10" i="29"/>
  <c r="O10" i="29" s="1"/>
  <c r="M9" i="29"/>
  <c r="O9" i="29" s="1"/>
  <c r="M8" i="29"/>
  <c r="O8" i="29" s="1"/>
  <c r="M7" i="29"/>
  <c r="O7" i="29" s="1"/>
  <c r="BA91" i="10" l="1"/>
  <c r="M1" i="41" l="1"/>
  <c r="Y25" i="10"/>
  <c r="BA30" i="10" l="1"/>
  <c r="BA31" i="10"/>
  <c r="BA32" i="10"/>
  <c r="BA29" i="10"/>
  <c r="BA67" i="10"/>
  <c r="BA47" i="10"/>
  <c r="BA125" i="10"/>
  <c r="BA279" i="10"/>
  <c r="BA280" i="10"/>
  <c r="BA281" i="10"/>
  <c r="BA282" i="10"/>
  <c r="BA283" i="10"/>
  <c r="BA284" i="10"/>
  <c r="BA285" i="10"/>
  <c r="BA286" i="10"/>
  <c r="BA287" i="10"/>
  <c r="BA288" i="10"/>
  <c r="BA289" i="10"/>
  <c r="BA290" i="10"/>
  <c r="BA291" i="10"/>
  <c r="E3" i="39" l="1"/>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2" i="39"/>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163" i="10"/>
  <c r="BA164" i="10"/>
  <c r="BA165" i="10"/>
  <c r="BA166" i="10"/>
  <c r="BA167" i="10"/>
  <c r="BA168" i="10"/>
  <c r="BA169" i="10"/>
  <c r="BA170" i="10"/>
  <c r="BA171" i="10"/>
  <c r="BA172" i="10"/>
  <c r="BA173" i="10"/>
  <c r="BA174" i="10"/>
  <c r="BA175" i="10"/>
  <c r="BA176" i="10"/>
  <c r="BA177" i="10"/>
  <c r="BA178" i="10"/>
  <c r="BA179" i="10"/>
  <c r="BA180" i="10"/>
  <c r="BA181" i="10"/>
  <c r="BA182" i="10"/>
  <c r="BA183" i="10"/>
  <c r="BA184" i="10"/>
  <c r="BA185" i="10"/>
  <c r="BA186" i="10"/>
  <c r="BA187" i="10"/>
  <c r="BA188" i="10"/>
  <c r="BA189" i="10"/>
  <c r="BA190" i="10"/>
  <c r="BA191" i="10"/>
  <c r="BA192" i="10"/>
  <c r="BA193" i="10"/>
  <c r="BA194" i="10"/>
  <c r="BA195" i="10"/>
  <c r="BA196" i="10"/>
  <c r="BA197" i="10"/>
  <c r="BA198" i="10"/>
  <c r="BA199" i="10"/>
  <c r="BA200" i="10"/>
  <c r="BA201" i="10"/>
  <c r="BA202" i="10"/>
  <c r="BA203" i="10"/>
  <c r="BA204" i="10"/>
  <c r="BA205" i="10"/>
  <c r="BA206" i="10"/>
  <c r="BA207" i="10"/>
  <c r="BA208" i="10"/>
  <c r="BA209" i="10"/>
  <c r="BA210" i="10"/>
  <c r="BA211" i="10"/>
  <c r="BA212" i="10"/>
  <c r="BA213" i="10"/>
  <c r="BA214" i="10"/>
  <c r="BA215" i="10"/>
  <c r="BA216" i="10"/>
  <c r="BA217" i="10"/>
  <c r="BA218" i="10"/>
  <c r="BA219" i="10"/>
  <c r="BA220" i="10"/>
  <c r="BA221" i="10"/>
  <c r="BA222" i="10"/>
  <c r="BA223" i="10"/>
  <c r="BA224" i="10"/>
  <c r="BA225" i="10"/>
  <c r="BA226" i="10"/>
  <c r="BA227" i="10"/>
  <c r="BA228" i="10"/>
  <c r="BA229" i="10"/>
  <c r="BA230" i="10"/>
  <c r="BA231" i="10"/>
  <c r="BA232" i="10"/>
  <c r="BA233" i="10"/>
  <c r="BA234" i="10"/>
  <c r="BA235" i="10"/>
  <c r="BA236" i="10"/>
  <c r="BA237" i="10"/>
  <c r="BA238" i="10"/>
  <c r="BA239" i="10"/>
  <c r="BA240" i="10"/>
  <c r="BA241" i="10"/>
  <c r="BA242" i="10"/>
  <c r="BA243" i="10"/>
  <c r="BA126" i="10"/>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2" i="39"/>
  <c r="C39" i="39"/>
  <c r="C40" i="39"/>
  <c r="C41" i="39"/>
  <c r="C42" i="39"/>
  <c r="C43" i="39"/>
  <c r="C44" i="39"/>
  <c r="C45" i="39"/>
  <c r="C46" i="39"/>
  <c r="C38" i="39"/>
  <c r="E39" i="39"/>
  <c r="E40" i="39"/>
  <c r="E41" i="39"/>
  <c r="E42" i="39"/>
  <c r="E43" i="39"/>
  <c r="E44" i="39"/>
  <c r="E45" i="39"/>
  <c r="E46" i="39"/>
  <c r="E38" i="39"/>
  <c r="FF48" i="10"/>
  <c r="FF49" i="10"/>
  <c r="FF50" i="10"/>
  <c r="FF51" i="10"/>
  <c r="FF52" i="10"/>
  <c r="FF53" i="10"/>
  <c r="FF54" i="10"/>
  <c r="FF55" i="10"/>
  <c r="FF56" i="10"/>
  <c r="FF57" i="10"/>
  <c r="FF58" i="10"/>
  <c r="FF59" i="10"/>
  <c r="FF60" i="10"/>
  <c r="FF61" i="10"/>
  <c r="FF62" i="10"/>
  <c r="FF63" i="10"/>
  <c r="FF64" i="10"/>
  <c r="FF65" i="10"/>
  <c r="FF66" i="10"/>
  <c r="FF67" i="10"/>
  <c r="FF68" i="10"/>
  <c r="FF69" i="10"/>
  <c r="FF70" i="10"/>
  <c r="FF71" i="10"/>
  <c r="FF72" i="10"/>
  <c r="FF73" i="10"/>
  <c r="FF74" i="10"/>
  <c r="FF75" i="10"/>
  <c r="FF76" i="10"/>
  <c r="FF77" i="10"/>
  <c r="FF78" i="10"/>
  <c r="FF79" i="10"/>
  <c r="FF80" i="10"/>
  <c r="FF81" i="10"/>
  <c r="FF82" i="10"/>
  <c r="FF83" i="10"/>
  <c r="FF84" i="10"/>
  <c r="FF85" i="10"/>
  <c r="FF86" i="10"/>
  <c r="FF87" i="10"/>
  <c r="FF88" i="10"/>
  <c r="FF89" i="10"/>
  <c r="FF90" i="10"/>
  <c r="FF91" i="10"/>
  <c r="FF47" i="10"/>
  <c r="W65" i="10"/>
  <c r="W66" i="10"/>
  <c r="W67" i="10"/>
  <c r="W68" i="10"/>
  <c r="W69" i="10"/>
  <c r="W70" i="10"/>
  <c r="W71" i="10"/>
  <c r="W72" i="10"/>
  <c r="W73" i="10"/>
  <c r="W74" i="10"/>
  <c r="W75" i="10"/>
  <c r="W76" i="10"/>
  <c r="W77" i="10"/>
  <c r="W64" i="10"/>
  <c r="BA8" i="10" l="1"/>
  <c r="BA9" i="10"/>
  <c r="BA10" i="10"/>
  <c r="BA11" i="10"/>
  <c r="BA1" i="10" s="1"/>
  <c r="BA12" i="10"/>
  <c r="BA13" i="10"/>
  <c r="BA14" i="10"/>
  <c r="BA15" i="10"/>
  <c r="BA16" i="10"/>
  <c r="BA17" i="10"/>
  <c r="BA18" i="10"/>
  <c r="BA19" i="10"/>
  <c r="BA20" i="10"/>
  <c r="BA21" i="10"/>
  <c r="BA22" i="10"/>
  <c r="BA23" i="10"/>
  <c r="BA24" i="10"/>
  <c r="BA25" i="10"/>
  <c r="BA26" i="10"/>
  <c r="BA27" i="10"/>
  <c r="BA28" i="10"/>
  <c r="BA33" i="10"/>
  <c r="BA34" i="10"/>
  <c r="BA35" i="10"/>
  <c r="BA36" i="10"/>
  <c r="BA37" i="10"/>
  <c r="BA38" i="10"/>
  <c r="BA39" i="10"/>
  <c r="BA40" i="10"/>
  <c r="BA41" i="10"/>
  <c r="BA42" i="10"/>
  <c r="BA43" i="10"/>
  <c r="BA44" i="10"/>
  <c r="BA45" i="10"/>
  <c r="BA46" i="10"/>
  <c r="BA48" i="10"/>
  <c r="BA49" i="10"/>
  <c r="BA50" i="10"/>
  <c r="BA51" i="10"/>
  <c r="BA52" i="10"/>
  <c r="BA53" i="10"/>
  <c r="BA54" i="10"/>
  <c r="BA55" i="10"/>
  <c r="BA56" i="10"/>
  <c r="BA57" i="10"/>
  <c r="BA58" i="10"/>
  <c r="BA59" i="10"/>
  <c r="BA60" i="10"/>
  <c r="BA61" i="10"/>
  <c r="BA62" i="10"/>
  <c r="BA63" i="10"/>
  <c r="BA64" i="10"/>
  <c r="BA65" i="10"/>
  <c r="BA66" i="10"/>
  <c r="BA68" i="10"/>
  <c r="BA69" i="10"/>
  <c r="BA70" i="10"/>
  <c r="BA71" i="10"/>
  <c r="BA72" i="10"/>
  <c r="BA73" i="10"/>
  <c r="BA74" i="10"/>
  <c r="BA75" i="10"/>
  <c r="BA76" i="10"/>
  <c r="BA77" i="10"/>
  <c r="BA78" i="10"/>
  <c r="BA79" i="10"/>
  <c r="BA80" i="10"/>
  <c r="BA81" i="10"/>
  <c r="BA82" i="10"/>
  <c r="BA83" i="10"/>
  <c r="BA84" i="10"/>
  <c r="BA85" i="10"/>
  <c r="BA92" i="10"/>
  <c r="BA93" i="10"/>
  <c r="BA94" i="10"/>
  <c r="BA95" i="10"/>
  <c r="BA96" i="10"/>
  <c r="BA97" i="10"/>
  <c r="BA98" i="10"/>
  <c r="BA99" i="10"/>
  <c r="BA100" i="10"/>
  <c r="BA101" i="10"/>
  <c r="BA102" i="10"/>
  <c r="BA103" i="10"/>
  <c r="BA104" i="10"/>
  <c r="BA105" i="10"/>
  <c r="BA106" i="10"/>
  <c r="BA107" i="10"/>
  <c r="BA108" i="10"/>
  <c r="BA109" i="10"/>
  <c r="BA110" i="10"/>
  <c r="BA111" i="10"/>
  <c r="BA112" i="10"/>
  <c r="BA113" i="10"/>
  <c r="BA114" i="10"/>
  <c r="BA115" i="10"/>
  <c r="BA116" i="10"/>
  <c r="BA117" i="10"/>
  <c r="BA118" i="10"/>
  <c r="BA119" i="10"/>
  <c r="BA120" i="10"/>
  <c r="BA121" i="10"/>
  <c r="BA122" i="10"/>
  <c r="BA123" i="10"/>
  <c r="BA124" i="10"/>
  <c r="BA7" i="10"/>
  <c r="FF134" i="10"/>
  <c r="FF135" i="10"/>
  <c r="FF136" i="10"/>
  <c r="FF133" i="10"/>
  <c r="FF130" i="10"/>
  <c r="FF131" i="10"/>
  <c r="FF129" i="10"/>
  <c r="FF120" i="10"/>
  <c r="FF121" i="10"/>
  <c r="FF122" i="10"/>
  <c r="FF123" i="10"/>
  <c r="FF124" i="10"/>
  <c r="FF125" i="10"/>
  <c r="FF126" i="10"/>
  <c r="FF127" i="10"/>
  <c r="FF119" i="10"/>
  <c r="FF117" i="10"/>
  <c r="FF96" i="10"/>
  <c r="FF97" i="10"/>
  <c r="FF98" i="10"/>
  <c r="FF99" i="10"/>
  <c r="FF95" i="10"/>
  <c r="FF105" i="10"/>
  <c r="FF106" i="10"/>
  <c r="FF107" i="10"/>
  <c r="FF108" i="10"/>
  <c r="FF109" i="10"/>
  <c r="FF104" i="1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3" i="40"/>
  <c r="M74" i="40"/>
  <c r="M75" i="40"/>
  <c r="M76" i="40"/>
  <c r="M77" i="40"/>
  <c r="M78" i="40"/>
  <c r="M79" i="40"/>
  <c r="M80" i="40"/>
  <c r="M81" i="40"/>
  <c r="M82" i="40"/>
  <c r="M83" i="40"/>
  <c r="M84" i="40"/>
  <c r="M85" i="40"/>
  <c r="M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07" i="40"/>
  <c r="G108" i="40"/>
  <c r="G109" i="40"/>
  <c r="G46" i="40"/>
  <c r="BA245" i="10"/>
  <c r="BA246" i="10"/>
  <c r="BA247" i="10"/>
  <c r="BA248" i="10"/>
  <c r="BA249" i="10"/>
  <c r="BA250" i="10"/>
  <c r="BA251" i="10"/>
  <c r="BA252" i="10"/>
  <c r="BA253" i="10"/>
  <c r="BA254" i="10"/>
  <c r="BA255" i="10"/>
  <c r="BA256" i="10"/>
  <c r="BA257" i="10"/>
  <c r="BA258" i="10"/>
  <c r="BA259" i="10"/>
  <c r="BA260" i="10"/>
  <c r="BA261" i="10"/>
  <c r="BA262" i="10"/>
  <c r="BA263" i="10"/>
  <c r="BA264" i="10"/>
  <c r="BA265" i="10"/>
  <c r="BA266" i="10"/>
  <c r="BA267" i="10"/>
  <c r="BA268" i="10"/>
  <c r="BA269" i="10"/>
  <c r="BA270" i="10"/>
  <c r="BA271" i="10"/>
  <c r="BA272" i="10"/>
  <c r="BA273" i="10"/>
  <c r="BA274" i="10"/>
  <c r="BA275" i="10"/>
  <c r="BA276" i="10"/>
  <c r="BA277" i="10"/>
  <c r="BA278" i="10"/>
  <c r="BA292" i="10"/>
  <c r="BA293" i="10"/>
  <c r="BA294" i="10"/>
  <c r="BA295" i="10"/>
  <c r="BA296" i="10"/>
  <c r="BA297" i="10"/>
  <c r="BA298" i="10"/>
  <c r="BA299" i="10"/>
  <c r="BA300" i="10"/>
  <c r="BA301" i="10"/>
  <c r="BA302" i="10"/>
  <c r="BA303" i="10"/>
  <c r="BA304" i="10"/>
  <c r="BA305" i="10"/>
  <c r="BA306" i="10"/>
  <c r="BA307" i="10"/>
  <c r="BA308" i="10"/>
  <c r="BA309" i="10"/>
  <c r="BA310" i="10"/>
  <c r="BA311" i="10"/>
  <c r="BA312" i="10"/>
  <c r="BA313" i="10"/>
  <c r="BA314" i="10"/>
  <c r="BA315" i="10"/>
  <c r="BA316" i="10"/>
  <c r="BA317" i="10"/>
  <c r="BA318" i="10"/>
  <c r="BA319" i="10"/>
  <c r="BA320" i="10"/>
  <c r="BA321" i="10"/>
  <c r="BA322" i="10"/>
  <c r="BA323" i="10"/>
  <c r="BA324" i="10"/>
  <c r="BA325" i="10"/>
  <c r="BA326" i="10"/>
  <c r="BA327" i="10"/>
  <c r="BA328" i="10"/>
  <c r="BA329" i="10"/>
  <c r="BA330" i="10"/>
  <c r="BA331" i="10"/>
  <c r="BA332" i="10"/>
  <c r="BA333" i="10"/>
  <c r="BA334" i="10"/>
  <c r="BA335" i="10"/>
  <c r="BA336" i="10"/>
  <c r="BA337" i="10"/>
  <c r="BA338" i="10"/>
  <c r="BA339" i="10"/>
  <c r="BA340" i="10"/>
  <c r="BA341" i="10"/>
  <c r="BA342" i="10"/>
  <c r="BA343" i="10"/>
  <c r="BA344" i="10"/>
  <c r="BA345" i="10"/>
  <c r="BA346" i="10"/>
  <c r="BA347" i="10"/>
  <c r="BA348" i="10"/>
  <c r="BA349" i="10"/>
  <c r="BA350" i="10"/>
  <c r="BA351" i="10"/>
  <c r="BA352" i="10"/>
  <c r="BA353" i="10"/>
  <c r="BA354" i="10"/>
  <c r="BA355" i="10"/>
  <c r="BA356" i="10"/>
  <c r="BA357" i="10"/>
  <c r="BA358" i="10"/>
  <c r="BA359" i="10"/>
  <c r="BA360" i="10"/>
  <c r="BA361" i="10"/>
  <c r="BA362" i="10"/>
  <c r="BA363" i="10"/>
  <c r="BA364" i="10"/>
  <c r="BA365" i="10"/>
  <c r="BA366" i="10"/>
  <c r="BA367" i="10"/>
  <c r="BA368" i="10"/>
  <c r="BA369" i="10"/>
  <c r="BA370" i="10"/>
  <c r="BA371" i="10"/>
  <c r="BA372" i="10"/>
  <c r="BA373" i="10"/>
  <c r="BA374" i="10"/>
  <c r="BA375" i="10"/>
  <c r="BA376" i="10"/>
  <c r="BA377" i="10"/>
  <c r="BA378" i="10"/>
  <c r="BA379" i="10"/>
  <c r="BA380" i="10"/>
  <c r="BA381" i="10"/>
  <c r="BA382" i="10"/>
  <c r="BA383" i="10"/>
  <c r="BA384" i="10"/>
  <c r="BA385" i="10"/>
  <c r="BA386" i="10"/>
  <c r="BA387" i="10"/>
  <c r="BA388" i="10"/>
  <c r="BA389" i="10"/>
  <c r="BA390" i="10"/>
  <c r="BA391" i="10"/>
  <c r="BA392" i="10"/>
  <c r="BA393" i="10"/>
  <c r="BA394" i="10"/>
  <c r="BA395" i="10"/>
  <c r="BA396" i="10"/>
  <c r="BA397" i="10"/>
  <c r="BA398" i="10"/>
  <c r="BA399" i="10"/>
  <c r="BA400" i="10"/>
  <c r="BA401" i="10"/>
  <c r="BA244" i="10"/>
  <c r="FF3" i="10"/>
  <c r="FF4" i="10"/>
  <c r="FF5" i="10"/>
  <c r="FF6" i="10"/>
  <c r="FF7" i="10"/>
  <c r="FF8" i="10"/>
  <c r="FF9" i="10"/>
  <c r="FF10" i="10"/>
  <c r="FF11" i="10"/>
  <c r="FF12" i="10"/>
  <c r="FF13" i="10"/>
  <c r="FF14" i="10"/>
  <c r="FF15" i="10"/>
  <c r="FF16" i="10"/>
  <c r="FF17" i="10"/>
  <c r="FF18" i="10"/>
  <c r="FF19" i="10"/>
  <c r="FF20" i="10"/>
  <c r="FF21" i="10"/>
  <c r="FF22" i="10"/>
  <c r="FF23" i="10"/>
  <c r="FF24" i="10"/>
  <c r="FF25" i="10"/>
  <c r="FF26" i="10"/>
  <c r="FF27" i="10"/>
  <c r="FF28" i="10"/>
  <c r="FF29" i="10"/>
  <c r="FF30" i="10"/>
  <c r="FF31" i="10"/>
  <c r="FF32" i="10"/>
  <c r="FF33" i="10"/>
  <c r="FF34" i="10"/>
  <c r="FF35" i="10"/>
  <c r="FF36" i="10"/>
  <c r="FF37" i="10"/>
  <c r="FF38" i="10"/>
  <c r="FF39" i="10"/>
  <c r="FF40" i="10"/>
  <c r="FF41" i="10"/>
  <c r="FF42" i="10"/>
  <c r="FF43" i="10"/>
  <c r="FF44" i="10"/>
  <c r="FF45" i="10"/>
  <c r="FF46" i="10"/>
  <c r="FF2" i="10"/>
  <c r="W44" i="10"/>
  <c r="W31" i="10"/>
  <c r="W32" i="10"/>
  <c r="W33" i="10"/>
  <c r="W34" i="10"/>
  <c r="W35" i="10"/>
  <c r="W36" i="10"/>
  <c r="W37" i="10"/>
  <c r="W38" i="10"/>
  <c r="W39" i="10"/>
  <c r="W40" i="10"/>
  <c r="W41" i="10"/>
  <c r="W42" i="10"/>
  <c r="W43" i="10"/>
  <c r="W30" i="10"/>
  <c r="T34" i="10" l="1"/>
  <c r="R66" i="10" l="1"/>
  <c r="R67" i="10"/>
  <c r="R68" i="10"/>
  <c r="R69" i="10"/>
  <c r="R70" i="10"/>
  <c r="R71" i="10"/>
  <c r="R72" i="10"/>
  <c r="R73" i="10"/>
  <c r="R74" i="10"/>
  <c r="R75" i="10"/>
  <c r="R76" i="10"/>
  <c r="R77" i="10"/>
  <c r="R78" i="10"/>
  <c r="R65" i="10"/>
  <c r="FG123" i="10" l="1"/>
  <c r="FG124" i="10"/>
  <c r="FG125" i="10"/>
  <c r="FG126" i="10"/>
  <c r="FG127" i="10"/>
  <c r="FE127" i="10" l="1"/>
  <c r="FE126" i="10"/>
  <c r="FE125" i="10"/>
  <c r="FE124" i="10"/>
  <c r="FE123" i="10"/>
  <c r="FG65" i="10" l="1"/>
  <c r="FG66" i="10"/>
  <c r="FG67" i="10"/>
  <c r="FG68" i="10"/>
  <c r="FG69" i="10"/>
  <c r="FE65" i="10"/>
  <c r="FE66" i="10"/>
  <c r="FE67" i="10"/>
  <c r="FE68" i="10"/>
  <c r="FE69" i="10"/>
  <c r="BM40" i="10"/>
  <c r="BM41" i="10"/>
  <c r="BM42" i="10"/>
  <c r="BM38" i="10"/>
  <c r="BM39" i="10"/>
  <c r="FG42" i="10"/>
  <c r="FG43" i="10"/>
  <c r="FG44" i="10"/>
  <c r="FG45" i="10"/>
  <c r="FG46" i="10"/>
  <c r="FE43" i="10"/>
  <c r="FE44" i="10"/>
  <c r="FE45" i="10"/>
  <c r="FE46" i="10"/>
  <c r="FE42" i="10"/>
  <c r="BH13" i="10" l="1"/>
  <c r="GC3" i="10"/>
  <c r="GC4" i="10"/>
  <c r="GC5" i="10"/>
  <c r="GC6" i="10"/>
  <c r="GC7" i="10"/>
  <c r="GC8" i="10"/>
  <c r="GC9" i="10"/>
  <c r="GC10" i="10"/>
  <c r="GC11" i="10"/>
  <c r="GC12" i="10"/>
  <c r="GC13" i="10"/>
  <c r="GC14" i="10"/>
  <c r="GC15" i="10"/>
  <c r="GC2" i="10"/>
  <c r="O103" i="28" l="1"/>
  <c r="O102" i="28"/>
  <c r="O96" i="28"/>
  <c r="O108" i="28"/>
  <c r="O98" i="28"/>
  <c r="O97" i="28"/>
  <c r="O63" i="28"/>
  <c r="Q97" i="28" l="1"/>
  <c r="R97" i="28" s="1"/>
  <c r="Q103" i="28"/>
  <c r="R103" i="28" s="1"/>
  <c r="DH30" i="10" l="1"/>
  <c r="DH29" i="10"/>
  <c r="DH28" i="10"/>
  <c r="DH27" i="10"/>
  <c r="DH26" i="10"/>
  <c r="DH25" i="10"/>
  <c r="DH24" i="10"/>
  <c r="DH23" i="10"/>
  <c r="DH22" i="10"/>
  <c r="DH21" i="10"/>
  <c r="DH20" i="10"/>
  <c r="FZ4" i="10"/>
  <c r="FZ5" i="10"/>
  <c r="FZ6" i="10"/>
  <c r="FZ7" i="10"/>
  <c r="FZ8" i="10"/>
  <c r="FZ9" i="10"/>
  <c r="FZ10" i="10"/>
  <c r="FZ11" i="10"/>
  <c r="FZ12" i="10"/>
  <c r="FZ13" i="10"/>
  <c r="FZ14" i="10"/>
  <c r="FZ15" i="10"/>
  <c r="FZ3" i="10"/>
  <c r="FZ2" i="10"/>
  <c r="B13" i="10"/>
  <c r="C13" i="10" s="1"/>
  <c r="D13" i="10" l="1"/>
  <c r="FY3" i="10"/>
  <c r="FY4" i="10"/>
  <c r="FY5" i="10"/>
  <c r="FY6" i="10"/>
  <c r="FY7" i="10"/>
  <c r="FY8" i="10"/>
  <c r="FY9" i="10"/>
  <c r="FY10" i="10"/>
  <c r="FY11" i="10"/>
  <c r="FY12" i="10"/>
  <c r="FY13" i="10"/>
  <c r="FY14" i="10"/>
  <c r="FY15" i="10"/>
  <c r="FY2" i="10"/>
  <c r="DO7" i="10"/>
  <c r="DO8" i="10"/>
  <c r="DO9" i="10"/>
  <c r="DO10" i="10"/>
  <c r="DO11" i="10"/>
  <c r="DO12" i="10"/>
  <c r="DO13" i="10"/>
  <c r="DO14" i="10"/>
  <c r="DO15" i="10"/>
  <c r="DO16" i="10"/>
  <c r="DO6" i="10"/>
  <c r="FX3" i="10"/>
  <c r="FX4" i="10"/>
  <c r="FX5" i="10"/>
  <c r="FX6" i="10"/>
  <c r="FX7" i="10"/>
  <c r="FX8" i="10"/>
  <c r="GB8" i="10" s="1"/>
  <c r="FX9" i="10"/>
  <c r="GB9" i="10" s="1"/>
  <c r="FX10" i="10"/>
  <c r="GB10" i="10" s="1"/>
  <c r="FX11" i="10"/>
  <c r="GB11" i="10" s="1"/>
  <c r="FX12" i="10"/>
  <c r="GB12" i="10" s="1"/>
  <c r="FX13" i="10"/>
  <c r="GB13" i="10" s="1"/>
  <c r="FX14" i="10"/>
  <c r="GB14" i="10" s="1"/>
  <c r="FX15" i="10"/>
  <c r="GB15" i="10" s="1"/>
  <c r="FX2" i="10"/>
  <c r="GA15" i="10" l="1"/>
  <c r="GA7" i="10"/>
  <c r="GB7" i="10" s="1"/>
  <c r="GA2" i="10"/>
  <c r="GB2" i="10" s="1"/>
  <c r="GA8" i="10"/>
  <c r="GA11" i="10"/>
  <c r="GA10" i="10"/>
  <c r="GA3" i="10"/>
  <c r="GB3" i="10" s="1"/>
  <c r="GA5" i="10"/>
  <c r="GB5" i="10" s="1"/>
  <c r="GA14" i="10"/>
  <c r="GA13" i="10"/>
  <c r="GA12" i="10"/>
  <c r="GA4" i="10"/>
  <c r="GB4" i="10" s="1"/>
  <c r="GA6" i="10"/>
  <c r="GB6" i="10" s="1"/>
  <c r="GA9" i="10"/>
  <c r="M5" i="10"/>
  <c r="FG92" i="10"/>
  <c r="FH7" i="10"/>
  <c r="EM16" i="10"/>
  <c r="GA18" i="10" l="1"/>
  <c r="GD6" i="10" s="1"/>
  <c r="GE6" i="10" s="1"/>
  <c r="GA16" i="10"/>
  <c r="B33" i="10"/>
  <c r="R80" i="10" s="1"/>
  <c r="M16" i="10"/>
  <c r="BH9" i="10"/>
  <c r="BH10" i="10"/>
  <c r="BH11" i="10"/>
  <c r="BH12" i="10"/>
  <c r="BH14" i="10"/>
  <c r="BH15" i="10"/>
  <c r="BH16" i="10"/>
  <c r="BH17" i="10"/>
  <c r="BH18" i="10"/>
  <c r="BH19" i="10"/>
  <c r="BH20" i="10"/>
  <c r="BH21" i="10"/>
  <c r="BH22" i="10"/>
  <c r="BH23" i="10"/>
  <c r="BH24" i="10"/>
  <c r="BH25" i="10"/>
  <c r="BH26" i="10"/>
  <c r="BH27" i="10"/>
  <c r="BH28" i="10"/>
  <c r="BH29" i="10"/>
  <c r="BH30" i="10"/>
  <c r="BH31" i="10"/>
  <c r="BH32" i="10"/>
  <c r="BH33" i="10"/>
  <c r="BH34" i="10"/>
  <c r="BH35" i="10"/>
  <c r="BH36" i="10"/>
  <c r="BH37" i="10"/>
  <c r="BH54" i="10" l="1"/>
  <c r="BQ31" i="10"/>
  <c r="BQ30" i="10"/>
  <c r="BH53" i="10"/>
  <c r="BQ29" i="10"/>
  <c r="BH52" i="10"/>
  <c r="BQ28" i="10"/>
  <c r="BH51" i="10"/>
  <c r="BH50" i="10"/>
  <c r="BQ27" i="10"/>
  <c r="BH49" i="10"/>
  <c r="BQ26" i="10"/>
  <c r="BQ20" i="10"/>
  <c r="BH44" i="10"/>
  <c r="BH42" i="10"/>
  <c r="BQ18" i="10"/>
  <c r="BQ23" i="10"/>
  <c r="BH47" i="10"/>
  <c r="BQ16" i="10"/>
  <c r="BH40" i="10"/>
  <c r="BQ19" i="10"/>
  <c r="BH43" i="10"/>
  <c r="BQ22" i="10"/>
  <c r="BH46" i="10"/>
  <c r="BQ17" i="10"/>
  <c r="BH41" i="10"/>
  <c r="BH45" i="10"/>
  <c r="BQ21" i="10"/>
  <c r="BH38" i="10"/>
  <c r="BQ25" i="10"/>
  <c r="BQ24" i="10"/>
  <c r="BH48" i="10"/>
  <c r="GD10" i="10"/>
  <c r="GE10" i="10" s="1"/>
  <c r="GD11" i="10"/>
  <c r="GE11" i="10" s="1"/>
  <c r="GD12" i="10"/>
  <c r="GE12" i="10" s="1"/>
  <c r="GD7" i="10"/>
  <c r="GE7" i="10" s="1"/>
  <c r="GD14" i="10"/>
  <c r="GE14" i="10" s="1"/>
  <c r="GD3" i="10"/>
  <c r="GE3" i="10" s="1"/>
  <c r="GD13" i="10"/>
  <c r="GE13" i="10" s="1"/>
  <c r="GD2" i="10"/>
  <c r="GE2" i="10" s="1"/>
  <c r="GD5" i="10"/>
  <c r="GE5" i="10" s="1"/>
  <c r="GD8" i="10"/>
  <c r="GE8" i="10" s="1"/>
  <c r="GD9" i="10"/>
  <c r="GE9" i="10" s="1"/>
  <c r="GD4" i="10"/>
  <c r="GE4" i="10" s="1"/>
  <c r="GD15" i="10"/>
  <c r="GE15" i="10" s="1"/>
  <c r="Q56" i="40"/>
  <c r="Q57" i="40"/>
  <c r="Q58" i="40"/>
  <c r="Q59" i="40"/>
  <c r="Q60" i="40"/>
  <c r="Q61" i="40"/>
  <c r="Q62" i="40"/>
  <c r="Q63" i="40"/>
  <c r="X31" i="10" l="1"/>
  <c r="X32" i="10"/>
  <c r="X33" i="10"/>
  <c r="X34" i="10"/>
  <c r="X35" i="10"/>
  <c r="X36" i="10"/>
  <c r="X37" i="10"/>
  <c r="X38" i="10"/>
  <c r="X39" i="10"/>
  <c r="X40" i="10"/>
  <c r="X41" i="10"/>
  <c r="X42" i="10"/>
  <c r="X43" i="10"/>
  <c r="X44" i="10"/>
  <c r="V36" i="10"/>
  <c r="U36" i="10" s="1"/>
  <c r="V37" i="10"/>
  <c r="U37" i="10" s="1"/>
  <c r="V38" i="10"/>
  <c r="U38" i="10" s="1"/>
  <c r="V39" i="10"/>
  <c r="U39" i="10" s="1"/>
  <c r="V40" i="10"/>
  <c r="U40" i="10" s="1"/>
  <c r="V41" i="10"/>
  <c r="U41" i="10" s="1"/>
  <c r="V42" i="10"/>
  <c r="U42" i="10" s="1"/>
  <c r="V43" i="10"/>
  <c r="U43" i="10" s="1"/>
  <c r="EP31" i="10" l="1"/>
  <c r="ER32" i="10" s="1"/>
  <c r="ES28" i="10"/>
  <c r="EL11" i="10"/>
  <c r="EL10" i="10"/>
  <c r="Q47" i="40"/>
  <c r="Q48" i="40"/>
  <c r="Q49" i="40"/>
  <c r="Q50" i="40"/>
  <c r="Q51" i="40"/>
  <c r="Q52" i="40"/>
  <c r="Q53" i="40"/>
  <c r="Q54" i="40"/>
  <c r="Q55" i="40"/>
  <c r="Q64" i="40"/>
  <c r="Q65" i="40"/>
  <c r="Q66" i="40"/>
  <c r="Q67" i="40"/>
  <c r="Q68" i="40"/>
  <c r="Q46" i="40"/>
  <c r="N47" i="40"/>
  <c r="N48" i="40"/>
  <c r="N49" i="40"/>
  <c r="N50" i="40"/>
  <c r="N51" i="40"/>
  <c r="N52" i="40"/>
  <c r="N53" i="40"/>
  <c r="N54" i="40"/>
  <c r="N55" i="40"/>
  <c r="N56" i="40"/>
  <c r="R56" i="40" s="1"/>
  <c r="N57" i="40"/>
  <c r="N58" i="40"/>
  <c r="N59" i="40"/>
  <c r="R59" i="40" s="1"/>
  <c r="N60" i="40"/>
  <c r="R60" i="40" s="1"/>
  <c r="N61" i="40"/>
  <c r="N62" i="40"/>
  <c r="N63" i="40"/>
  <c r="N64" i="40"/>
  <c r="N65" i="40"/>
  <c r="N66" i="40"/>
  <c r="N67" i="40"/>
  <c r="N68" i="40"/>
  <c r="N69" i="40"/>
  <c r="R69" i="40" s="1"/>
  <c r="N70" i="40"/>
  <c r="N71" i="40"/>
  <c r="N72" i="40"/>
  <c r="N73" i="40"/>
  <c r="N74" i="40"/>
  <c r="N75" i="40"/>
  <c r="N76" i="40"/>
  <c r="N77" i="40"/>
  <c r="N78" i="40"/>
  <c r="N79" i="40"/>
  <c r="N80" i="40"/>
  <c r="N81" i="40"/>
  <c r="N82" i="40"/>
  <c r="N83" i="40"/>
  <c r="N84" i="40"/>
  <c r="N85" i="40"/>
  <c r="N46" i="40"/>
  <c r="FG93" i="10"/>
  <c r="FG94" i="10"/>
  <c r="FG95" i="10"/>
  <c r="FG96" i="10"/>
  <c r="FG97" i="10"/>
  <c r="FG98" i="10"/>
  <c r="FG99" i="10"/>
  <c r="FG100" i="10"/>
  <c r="FG101" i="10"/>
  <c r="FG102" i="10"/>
  <c r="FG103" i="10"/>
  <c r="FG104" i="10"/>
  <c r="FG105" i="10"/>
  <c r="FG106" i="10"/>
  <c r="FG107" i="10"/>
  <c r="FG108" i="10"/>
  <c r="FG109" i="10"/>
  <c r="FG110" i="10"/>
  <c r="FG111" i="10"/>
  <c r="FG112" i="10"/>
  <c r="FG113" i="10"/>
  <c r="FG114" i="10"/>
  <c r="FG115" i="10"/>
  <c r="FG116" i="10"/>
  <c r="FG117" i="10"/>
  <c r="FG118" i="10"/>
  <c r="FG119" i="10"/>
  <c r="FG120" i="10"/>
  <c r="FG121" i="10"/>
  <c r="FG122" i="10"/>
  <c r="FG128" i="10"/>
  <c r="FG129" i="10"/>
  <c r="FG130" i="10"/>
  <c r="FG131" i="10"/>
  <c r="FG132" i="10"/>
  <c r="FG133" i="10"/>
  <c r="FG134" i="10"/>
  <c r="FG135" i="10"/>
  <c r="FG136" i="10"/>
  <c r="FE93" i="10"/>
  <c r="FE94" i="10"/>
  <c r="FE95" i="10"/>
  <c r="FE96" i="10"/>
  <c r="FE97" i="10"/>
  <c r="FE98" i="10"/>
  <c r="FE99" i="10"/>
  <c r="FE100" i="10"/>
  <c r="FE101" i="10"/>
  <c r="FE102" i="10"/>
  <c r="FE103" i="10"/>
  <c r="FE104" i="10"/>
  <c r="FE105" i="10"/>
  <c r="FE106" i="10"/>
  <c r="FE107" i="10"/>
  <c r="FE108" i="10"/>
  <c r="FE109" i="10"/>
  <c r="FE110" i="10"/>
  <c r="FE111" i="10"/>
  <c r="FE112" i="10"/>
  <c r="FE113" i="10"/>
  <c r="FE114" i="10"/>
  <c r="FE115" i="10"/>
  <c r="FE116" i="10"/>
  <c r="FE117" i="10"/>
  <c r="FE118" i="10"/>
  <c r="FE119" i="10"/>
  <c r="FE120" i="10"/>
  <c r="FE121" i="10"/>
  <c r="FE122" i="10"/>
  <c r="FE128" i="10"/>
  <c r="FE129" i="10"/>
  <c r="FE130" i="10"/>
  <c r="FE131" i="10"/>
  <c r="FE132" i="10"/>
  <c r="FE133" i="10"/>
  <c r="FE134" i="10"/>
  <c r="FE135" i="10"/>
  <c r="FE136" i="10"/>
  <c r="FE92" i="10"/>
  <c r="FE91" i="10"/>
  <c r="FE90" i="10"/>
  <c r="FE89" i="10"/>
  <c r="FE88" i="10"/>
  <c r="FE87" i="10"/>
  <c r="FE86" i="10"/>
  <c r="FE85" i="10"/>
  <c r="FE84" i="10"/>
  <c r="FE83" i="10"/>
  <c r="FE82" i="10"/>
  <c r="FE81" i="10"/>
  <c r="FE80" i="10"/>
  <c r="FE79" i="10"/>
  <c r="FE78" i="10"/>
  <c r="FE77" i="10"/>
  <c r="FE76" i="10"/>
  <c r="FE75" i="10"/>
  <c r="FE74" i="10"/>
  <c r="FE73" i="10"/>
  <c r="FE72" i="10"/>
  <c r="FE71" i="10"/>
  <c r="FE70" i="10"/>
  <c r="FE64" i="10"/>
  <c r="FE63" i="10"/>
  <c r="FE62" i="10"/>
  <c r="FE61" i="10"/>
  <c r="FE60" i="10"/>
  <c r="FE59" i="10"/>
  <c r="FE58" i="10"/>
  <c r="FE57" i="10"/>
  <c r="FE56" i="10"/>
  <c r="FE55" i="10"/>
  <c r="FE54" i="10"/>
  <c r="FE53" i="10"/>
  <c r="FE52" i="10"/>
  <c r="FE51" i="10"/>
  <c r="FE50" i="10"/>
  <c r="FE49" i="10"/>
  <c r="FE48" i="10"/>
  <c r="FE47" i="10"/>
  <c r="FE41" i="10"/>
  <c r="FE40" i="10"/>
  <c r="FE39" i="10"/>
  <c r="FE38" i="10"/>
  <c r="FE37" i="10"/>
  <c r="FE36" i="10"/>
  <c r="FE35" i="10"/>
  <c r="FE34" i="10"/>
  <c r="FE33" i="10"/>
  <c r="FE32" i="10"/>
  <c r="FE31" i="10"/>
  <c r="FE30" i="10"/>
  <c r="FE29" i="10"/>
  <c r="FE28" i="10"/>
  <c r="FE27" i="10"/>
  <c r="FE26" i="10"/>
  <c r="FE25" i="10"/>
  <c r="FE24" i="10"/>
  <c r="FE23" i="10"/>
  <c r="FE22" i="10"/>
  <c r="FE21" i="10"/>
  <c r="FE20" i="10"/>
  <c r="FE19" i="10"/>
  <c r="FE18" i="10"/>
  <c r="FE17" i="10"/>
  <c r="FE16" i="10"/>
  <c r="FE15" i="10"/>
  <c r="FE14" i="10"/>
  <c r="FE13" i="10"/>
  <c r="FE12" i="10"/>
  <c r="FE11" i="10"/>
  <c r="FE10" i="10"/>
  <c r="FE9" i="10"/>
  <c r="FE8" i="10"/>
  <c r="FE7" i="10"/>
  <c r="FE6" i="10"/>
  <c r="FE5" i="10"/>
  <c r="FE4" i="10"/>
  <c r="FE3" i="10"/>
  <c r="FE2" i="10"/>
  <c r="F18" i="40"/>
  <c r="F9" i="40"/>
  <c r="L8" i="40" s="1"/>
  <c r="F16" i="40"/>
  <c r="L14" i="40" s="1"/>
  <c r="M14" i="40" s="1"/>
  <c r="F14" i="40"/>
  <c r="F7" i="40"/>
  <c r="F5" i="40"/>
  <c r="R55" i="40" l="1"/>
  <c r="R47" i="40"/>
  <c r="M5" i="40"/>
  <c r="N5" i="40" s="1"/>
  <c r="M6" i="40" s="1"/>
  <c r="C38" i="10" s="1"/>
  <c r="M3" i="40"/>
  <c r="P2" i="40"/>
  <c r="R66" i="40"/>
  <c r="R50" i="40"/>
  <c r="R68" i="40"/>
  <c r="R53" i="40"/>
  <c r="R67" i="40"/>
  <c r="R64" i="40"/>
  <c r="R52" i="40"/>
  <c r="R65" i="40"/>
  <c r="R48" i="40"/>
  <c r="R54" i="40"/>
  <c r="R51" i="40"/>
  <c r="R49" i="40"/>
  <c r="R46" i="40"/>
  <c r="R61" i="40"/>
  <c r="R80" i="40"/>
  <c r="R72" i="40"/>
  <c r="R58" i="40"/>
  <c r="R81" i="40"/>
  <c r="R73" i="40"/>
  <c r="R79" i="40"/>
  <c r="R71" i="40"/>
  <c r="R57" i="40"/>
  <c r="R78" i="40"/>
  <c r="R70" i="40"/>
  <c r="R85" i="40"/>
  <c r="R77" i="40"/>
  <c r="R63" i="40"/>
  <c r="R84" i="40"/>
  <c r="R76" i="40"/>
  <c r="R62" i="40"/>
  <c r="R83" i="40"/>
  <c r="R75" i="40"/>
  <c r="R82" i="40"/>
  <c r="R74" i="40"/>
  <c r="ER42" i="10"/>
  <c r="ER38" i="10"/>
  <c r="ER37" i="10"/>
  <c r="ER44" i="10"/>
  <c r="ER36" i="10"/>
  <c r="ER39" i="10"/>
  <c r="ER31" i="10"/>
  <c r="ER43" i="10"/>
  <c r="ER35" i="10"/>
  <c r="ER34" i="10"/>
  <c r="ER33" i="10"/>
  <c r="ER41" i="10"/>
  <c r="ER40" i="10"/>
  <c r="M15" i="40"/>
  <c r="L7" i="40"/>
  <c r="L9" i="40" l="1"/>
  <c r="AR2" i="10" l="1"/>
  <c r="D155" i="10" l="1"/>
  <c r="D134" i="10"/>
  <c r="X24" i="10" l="1"/>
  <c r="F5" i="39" l="1"/>
  <c r="G5" i="39" s="1"/>
  <c r="H5" i="39" s="1"/>
  <c r="BM10" i="10" s="1"/>
  <c r="F46" i="39"/>
  <c r="G46" i="39" s="1"/>
  <c r="H46" i="39" s="1"/>
  <c r="BM51" i="10" s="1"/>
  <c r="F2" i="39"/>
  <c r="G2" i="39" s="1"/>
  <c r="H2" i="39" s="1"/>
  <c r="BM7" i="10" s="1"/>
  <c r="F39" i="39"/>
  <c r="G39" i="39" s="1"/>
  <c r="H39" i="39" s="1"/>
  <c r="BM44" i="10" s="1"/>
  <c r="F26" i="39"/>
  <c r="G26" i="39" s="1"/>
  <c r="H26" i="39" s="1"/>
  <c r="BM31" i="10" s="1"/>
  <c r="F18" i="39"/>
  <c r="G18" i="39" s="1"/>
  <c r="H18" i="39" s="1"/>
  <c r="BM23" i="10" s="1"/>
  <c r="F10" i="39"/>
  <c r="G10" i="39" s="1"/>
  <c r="H10" i="39" s="1"/>
  <c r="BM15" i="10" s="1"/>
  <c r="F31" i="39"/>
  <c r="G31" i="39" s="1"/>
  <c r="H31" i="39" s="1"/>
  <c r="BM36" i="10" s="1"/>
  <c r="F23" i="39"/>
  <c r="G23" i="39" s="1"/>
  <c r="H23" i="39" s="1"/>
  <c r="BM28" i="10" s="1"/>
  <c r="F15" i="39"/>
  <c r="G15" i="39" s="1"/>
  <c r="H15" i="39" s="1"/>
  <c r="BM20" i="10" s="1"/>
  <c r="F7" i="39"/>
  <c r="G7" i="39" s="1"/>
  <c r="H7" i="39" s="1"/>
  <c r="BM12" i="10" s="1"/>
  <c r="F45" i="39"/>
  <c r="G45" i="39" s="1"/>
  <c r="H45" i="39" s="1"/>
  <c r="BM50" i="10" s="1"/>
  <c r="F32" i="39"/>
  <c r="G32" i="39" s="1"/>
  <c r="F24" i="39"/>
  <c r="G24" i="39" s="1"/>
  <c r="H24" i="39" s="1"/>
  <c r="BM29" i="10" s="1"/>
  <c r="F16" i="39"/>
  <c r="G16" i="39" s="1"/>
  <c r="H16" i="39" s="1"/>
  <c r="BM21" i="10" s="1"/>
  <c r="F8" i="39"/>
  <c r="G8" i="39" s="1"/>
  <c r="H8" i="39" s="1"/>
  <c r="BM13" i="10" s="1"/>
  <c r="F43" i="39"/>
  <c r="G43" i="39" s="1"/>
  <c r="H43" i="39" s="1"/>
  <c r="BM48" i="10" s="1"/>
  <c r="F30" i="39"/>
  <c r="G30" i="39" s="1"/>
  <c r="H30" i="39" s="1"/>
  <c r="BM35" i="10" s="1"/>
  <c r="F22" i="39"/>
  <c r="G22" i="39" s="1"/>
  <c r="H22" i="39" s="1"/>
  <c r="BM27" i="10" s="1"/>
  <c r="F14" i="39"/>
  <c r="G14" i="39" s="1"/>
  <c r="H14" i="39" s="1"/>
  <c r="BM19" i="10" s="1"/>
  <c r="F6" i="39"/>
  <c r="G6" i="39" s="1"/>
  <c r="H6" i="39" s="1"/>
  <c r="BM11" i="10" s="1"/>
  <c r="F41" i="39"/>
  <c r="G41" i="39" s="1"/>
  <c r="H41" i="39" s="1"/>
  <c r="BM46" i="10" s="1"/>
  <c r="F28" i="39"/>
  <c r="G28" i="39" s="1"/>
  <c r="H28" i="39" s="1"/>
  <c r="BM33" i="10" s="1"/>
  <c r="F20" i="39"/>
  <c r="G20" i="39" s="1"/>
  <c r="H20" i="39" s="1"/>
  <c r="BM25" i="10" s="1"/>
  <c r="F12" i="39"/>
  <c r="G12" i="39" s="1"/>
  <c r="H12" i="39" s="1"/>
  <c r="BM17" i="10" s="1"/>
  <c r="F4" i="39"/>
  <c r="G4" i="39" s="1"/>
  <c r="H4" i="39" s="1"/>
  <c r="BM9" i="10" s="1"/>
  <c r="F38" i="39"/>
  <c r="G38" i="39" s="1"/>
  <c r="F29" i="39"/>
  <c r="G29" i="39" s="1"/>
  <c r="H29" i="39" s="1"/>
  <c r="BM34" i="10" s="1"/>
  <c r="F25" i="39"/>
  <c r="G25" i="39" s="1"/>
  <c r="H25" i="39" s="1"/>
  <c r="BM30" i="10" s="1"/>
  <c r="F21" i="39"/>
  <c r="G21" i="39" s="1"/>
  <c r="H21" i="39" s="1"/>
  <c r="BM26" i="10" s="1"/>
  <c r="F17" i="39"/>
  <c r="G17" i="39" s="1"/>
  <c r="H17" i="39" s="1"/>
  <c r="BM22" i="10" s="1"/>
  <c r="F13" i="39"/>
  <c r="G13" i="39" s="1"/>
  <c r="H13" i="39" s="1"/>
  <c r="BM18" i="10" s="1"/>
  <c r="F9" i="39"/>
  <c r="G9" i="39" s="1"/>
  <c r="H9" i="39" s="1"/>
  <c r="BM14" i="10" s="1"/>
  <c r="F44" i="39"/>
  <c r="G44" i="39" s="1"/>
  <c r="H44" i="39" s="1"/>
  <c r="BM49" i="10" s="1"/>
  <c r="F40" i="39"/>
  <c r="G40" i="39" s="1"/>
  <c r="H40" i="39" s="1"/>
  <c r="BM45" i="10" s="1"/>
  <c r="F27" i="39"/>
  <c r="G27" i="39" s="1"/>
  <c r="H27" i="39" s="1"/>
  <c r="BM32" i="10" s="1"/>
  <c r="F19" i="39"/>
  <c r="G19" i="39" s="1"/>
  <c r="H19" i="39" s="1"/>
  <c r="BM24" i="10" s="1"/>
  <c r="F11" i="39"/>
  <c r="G11" i="39" s="1"/>
  <c r="H11" i="39" s="1"/>
  <c r="BM16" i="10" s="1"/>
  <c r="F3" i="39"/>
  <c r="G3" i="39" s="1"/>
  <c r="H3" i="39" s="1"/>
  <c r="BM8" i="10" s="1"/>
  <c r="F42" i="39"/>
  <c r="G42" i="39" s="1"/>
  <c r="H42" i="39" s="1"/>
  <c r="BM47" i="10" s="1"/>
  <c r="O52" i="28"/>
  <c r="BM37" i="10" l="1"/>
  <c r="H32" i="39"/>
  <c r="H38" i="39"/>
  <c r="BM43" i="10" s="1"/>
  <c r="S43" i="28"/>
  <c r="S42" i="28"/>
  <c r="O27" i="28" l="1"/>
  <c r="O21" i="28"/>
  <c r="X29" i="10" l="1"/>
  <c r="Y24" i="10"/>
  <c r="U20" i="10" l="1"/>
  <c r="V35" i="10" l="1"/>
  <c r="U35" i="10" s="1"/>
  <c r="BS211" i="10" l="1"/>
  <c r="BS212" i="10"/>
  <c r="BS213" i="10"/>
  <c r="BS214" i="10"/>
  <c r="BS215" i="10"/>
  <c r="BS216" i="10"/>
  <c r="BS217" i="10"/>
  <c r="BS218" i="10"/>
  <c r="BS219" i="10"/>
  <c r="BS220" i="10"/>
  <c r="BS221" i="10"/>
  <c r="BS222" i="10"/>
  <c r="BS223" i="10"/>
  <c r="BS224" i="10"/>
  <c r="BS225" i="10"/>
  <c r="BS226" i="10"/>
  <c r="BS227" i="10"/>
  <c r="BS228" i="10"/>
  <c r="BS229" i="10"/>
  <c r="BS230" i="10"/>
  <c r="BS231" i="10"/>
  <c r="BS232" i="10"/>
  <c r="BS233" i="10"/>
  <c r="BS234" i="10"/>
  <c r="BS235" i="10"/>
  <c r="BS236" i="10"/>
  <c r="BS237" i="10"/>
  <c r="BS238" i="10"/>
  <c r="BS239" i="10"/>
  <c r="BS240" i="10"/>
  <c r="BS241" i="10"/>
  <c r="BS242" i="10"/>
  <c r="BS243" i="10"/>
  <c r="BS244" i="10"/>
  <c r="BS245" i="10"/>
  <c r="BS246" i="10"/>
  <c r="BS247" i="10"/>
  <c r="BS248" i="10"/>
  <c r="BS249" i="10"/>
  <c r="BS250" i="10"/>
  <c r="BS251" i="10"/>
  <c r="BS252" i="10"/>
  <c r="BS253" i="10"/>
  <c r="BS254" i="10"/>
  <c r="BS255" i="10"/>
  <c r="BS256" i="10"/>
  <c r="BS257" i="10"/>
  <c r="BS258" i="10"/>
  <c r="BS259" i="10"/>
  <c r="BS260" i="10"/>
  <c r="BS261" i="10"/>
  <c r="BS262" i="10"/>
  <c r="BS263" i="10"/>
  <c r="BS264" i="10"/>
  <c r="BS265" i="10"/>
  <c r="BS266" i="10"/>
  <c r="BS267" i="10"/>
  <c r="BS268" i="10"/>
  <c r="BS269" i="10"/>
  <c r="BS270" i="10"/>
  <c r="BS271" i="10"/>
  <c r="BS272" i="10"/>
  <c r="BS273" i="10"/>
  <c r="BS274" i="10"/>
  <c r="BS275" i="10"/>
  <c r="BS276" i="10"/>
  <c r="BS210" i="10"/>
  <c r="BS193" i="10"/>
  <c r="BS194" i="10"/>
  <c r="BS195" i="10"/>
  <c r="BS196" i="10"/>
  <c r="BS197" i="10"/>
  <c r="BS198" i="10"/>
  <c r="BS199" i="10"/>
  <c r="BS200" i="10"/>
  <c r="BS201" i="10"/>
  <c r="BS202" i="10"/>
  <c r="BS203" i="10"/>
  <c r="BS204" i="10"/>
  <c r="BS205" i="10"/>
  <c r="BS206" i="10"/>
  <c r="BS207" i="10"/>
  <c r="BS208" i="10"/>
  <c r="BS192" i="10"/>
  <c r="BS126" i="10"/>
  <c r="BS127" i="10"/>
  <c r="BS128" i="10"/>
  <c r="BS129" i="10"/>
  <c r="BS130" i="10"/>
  <c r="BS131" i="10"/>
  <c r="BS132" i="10"/>
  <c r="BS133" i="10"/>
  <c r="BS134" i="10"/>
  <c r="BS135" i="10"/>
  <c r="BS136" i="10"/>
  <c r="BS137" i="10"/>
  <c r="BS138" i="10"/>
  <c r="BS139" i="10"/>
  <c r="BS140" i="10"/>
  <c r="BS141" i="10"/>
  <c r="BS142" i="10"/>
  <c r="BS143" i="10"/>
  <c r="BS144" i="10"/>
  <c r="BS145" i="10"/>
  <c r="BS146" i="10"/>
  <c r="BS147" i="10"/>
  <c r="BS148" i="10"/>
  <c r="BS149" i="10"/>
  <c r="BS150" i="10"/>
  <c r="BS151" i="10"/>
  <c r="BS152" i="10"/>
  <c r="BS153" i="10"/>
  <c r="BS154" i="10"/>
  <c r="BS155" i="10"/>
  <c r="BS156" i="10"/>
  <c r="BS157" i="10"/>
  <c r="BS158" i="10"/>
  <c r="BS159" i="10"/>
  <c r="BS160" i="10"/>
  <c r="BS161" i="10"/>
  <c r="BS162" i="10"/>
  <c r="BS163" i="10"/>
  <c r="BS164" i="10"/>
  <c r="BS165" i="10"/>
  <c r="BS166" i="10"/>
  <c r="BS167" i="10"/>
  <c r="BS168" i="10"/>
  <c r="BS169" i="10"/>
  <c r="BS170" i="10"/>
  <c r="BS171" i="10"/>
  <c r="BS172" i="10"/>
  <c r="BS173" i="10"/>
  <c r="BS174" i="10"/>
  <c r="BS175" i="10"/>
  <c r="BS176" i="10"/>
  <c r="BS177" i="10"/>
  <c r="BS178" i="10"/>
  <c r="BS179" i="10"/>
  <c r="BS180" i="10"/>
  <c r="BS181" i="10"/>
  <c r="BS182" i="10"/>
  <c r="BS183" i="10"/>
  <c r="BS184" i="10"/>
  <c r="BS185" i="10"/>
  <c r="BS186" i="10"/>
  <c r="BS187" i="10"/>
  <c r="BS188" i="10"/>
  <c r="BS189" i="10"/>
  <c r="BS190" i="10"/>
  <c r="BS191" i="10"/>
  <c r="BS125" i="10"/>
  <c r="BS108" i="10"/>
  <c r="BS109" i="10"/>
  <c r="BS110" i="10"/>
  <c r="BS111" i="10"/>
  <c r="BS112" i="10"/>
  <c r="BS113" i="10"/>
  <c r="BS114" i="10"/>
  <c r="BS115" i="10"/>
  <c r="BS116" i="10"/>
  <c r="BS117" i="10"/>
  <c r="BS118" i="10"/>
  <c r="BS119" i="10"/>
  <c r="BS120" i="10"/>
  <c r="BS121" i="10"/>
  <c r="BS122" i="10"/>
  <c r="BS123" i="10"/>
  <c r="BS107" i="10"/>
  <c r="BX20" i="10"/>
  <c r="BW20" i="10"/>
  <c r="E48" i="10" l="1"/>
  <c r="I34" i="10" l="1"/>
  <c r="EL12" i="10" l="1"/>
  <c r="F94" i="10" l="1"/>
  <c r="F95" i="10"/>
  <c r="F96" i="10"/>
  <c r="F97" i="10"/>
  <c r="F98" i="10"/>
  <c r="F99" i="10"/>
  <c r="F100" i="10"/>
  <c r="F101" i="10"/>
  <c r="F102" i="10"/>
  <c r="F103" i="10"/>
  <c r="F104" i="10"/>
  <c r="F105" i="10"/>
  <c r="F106" i="10"/>
  <c r="F93" i="10"/>
  <c r="L28" i="10" s="1"/>
  <c r="O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O98" i="10" l="1"/>
  <c r="E94" i="10"/>
  <c r="E95" i="10" s="1"/>
  <c r="E96" i="10" s="1"/>
  <c r="E97" i="10" s="1"/>
  <c r="B94" i="10"/>
  <c r="B93" i="10"/>
  <c r="E98" i="10" l="1"/>
  <c r="O97" i="10"/>
  <c r="DL7" i="10"/>
  <c r="DL8" i="10"/>
  <c r="DL9" i="10"/>
  <c r="DL10" i="10"/>
  <c r="DL11" i="10"/>
  <c r="DL12" i="10"/>
  <c r="DL13" i="10"/>
  <c r="DL14" i="10"/>
  <c r="DL15" i="10"/>
  <c r="DL16" i="10"/>
  <c r="DL17" i="10"/>
  <c r="DL18" i="10"/>
  <c r="DL19" i="10"/>
  <c r="DL6" i="10"/>
  <c r="FG47" i="10" l="1"/>
  <c r="FG51" i="10"/>
  <c r="FG55" i="10"/>
  <c r="FG59" i="10"/>
  <c r="FG64" i="10"/>
  <c r="FG74" i="10"/>
  <c r="FG78" i="10"/>
  <c r="FG82" i="10"/>
  <c r="FG86" i="10"/>
  <c r="FG90" i="10"/>
  <c r="FG50" i="10"/>
  <c r="FG54" i="10"/>
  <c r="FG58" i="10"/>
  <c r="FG62" i="10"/>
  <c r="FG63" i="10"/>
  <c r="FG77" i="10"/>
  <c r="FG85" i="10"/>
  <c r="FG48" i="10"/>
  <c r="FG52" i="10"/>
  <c r="FG56" i="10"/>
  <c r="FG60" i="10"/>
  <c r="FG70" i="10"/>
  <c r="FG75" i="10"/>
  <c r="FG79" i="10"/>
  <c r="FG83" i="10"/>
  <c r="FG87" i="10"/>
  <c r="FG91" i="10"/>
  <c r="FG73" i="10"/>
  <c r="FG81" i="10"/>
  <c r="FG89" i="10"/>
  <c r="FG49" i="10"/>
  <c r="FG53" i="10"/>
  <c r="FG57" i="10"/>
  <c r="FG61" i="10"/>
  <c r="FG71" i="10"/>
  <c r="FG72" i="10"/>
  <c r="FG76" i="10"/>
  <c r="FG80" i="10"/>
  <c r="FG84" i="10"/>
  <c r="FG88" i="10"/>
  <c r="FG39" i="10"/>
  <c r="FG5" i="10"/>
  <c r="FG9" i="10"/>
  <c r="FG13" i="10"/>
  <c r="FG17" i="10"/>
  <c r="FG21" i="10"/>
  <c r="FG25" i="10"/>
  <c r="FG29" i="10"/>
  <c r="FG33" i="10"/>
  <c r="FG37" i="10"/>
  <c r="FG2" i="10"/>
  <c r="FG4" i="10"/>
  <c r="FG8" i="10"/>
  <c r="FG16" i="10"/>
  <c r="FG20" i="10"/>
  <c r="FG28" i="10"/>
  <c r="FG36" i="10"/>
  <c r="FG40" i="10"/>
  <c r="FG6" i="10"/>
  <c r="FG10" i="10"/>
  <c r="FG14" i="10"/>
  <c r="FG18" i="10"/>
  <c r="FG22" i="10"/>
  <c r="FG26" i="10"/>
  <c r="FG30" i="10"/>
  <c r="FG34" i="10"/>
  <c r="FG38" i="10"/>
  <c r="FG12" i="10"/>
  <c r="FG24" i="10"/>
  <c r="FG32" i="10"/>
  <c r="FG41" i="10"/>
  <c r="FG7" i="10"/>
  <c r="FG11" i="10"/>
  <c r="FG15" i="10"/>
  <c r="FG19" i="10"/>
  <c r="FG23" i="10"/>
  <c r="FG31" i="10"/>
  <c r="FG35" i="10"/>
  <c r="FG3" i="10"/>
  <c r="B32" i="10"/>
  <c r="R79" i="10" s="1"/>
  <c r="ES29" i="10"/>
  <c r="ES30" i="10"/>
  <c r="ES31" i="10"/>
  <c r="ES32" i="10"/>
  <c r="ES33" i="10"/>
  <c r="ES34" i="10"/>
  <c r="ES35" i="10"/>
  <c r="ES36" i="10"/>
  <c r="ES37" i="10"/>
  <c r="ES38" i="10"/>
  <c r="ES40" i="10"/>
  <c r="ES41" i="10"/>
  <c r="ES42" i="10"/>
  <c r="C18" i="10"/>
  <c r="C19" i="10"/>
  <c r="C20" i="10"/>
  <c r="C21" i="10"/>
  <c r="C22" i="10"/>
  <c r="C23" i="10"/>
  <c r="C24" i="10"/>
  <c r="C25" i="10"/>
  <c r="C26" i="10"/>
  <c r="C27" i="10"/>
  <c r="C28" i="10"/>
  <c r="C29" i="10"/>
  <c r="C30" i="10"/>
  <c r="C31" i="10"/>
  <c r="ER45" i="10" l="1"/>
  <c r="V44" i="10"/>
  <c r="U44" i="10" s="1"/>
  <c r="FG27" i="10"/>
  <c r="FI7" i="10" s="1"/>
  <c r="F56" i="10"/>
  <c r="M4" i="40" l="1"/>
  <c r="N4" i="40" s="1"/>
  <c r="M8" i="40" s="1"/>
  <c r="DY83" i="10"/>
  <c r="DY82" i="10"/>
  <c r="DY81" i="10"/>
  <c r="BI50" i="10"/>
  <c r="DY80" i="10"/>
  <c r="BI49" i="10"/>
  <c r="DY79" i="10"/>
  <c r="BI48" i="10"/>
  <c r="DY78" i="10"/>
  <c r="BI47" i="10"/>
  <c r="DY77" i="10"/>
  <c r="BI46" i="10"/>
  <c r="DY76" i="10"/>
  <c r="BI45" i="10"/>
  <c r="DY75" i="10"/>
  <c r="BI44" i="10"/>
  <c r="DY74" i="10"/>
  <c r="BI43" i="10"/>
  <c r="DY73" i="10"/>
  <c r="BI42" i="10"/>
  <c r="DY72" i="10"/>
  <c r="BI41" i="10"/>
  <c r="DY71" i="10"/>
  <c r="BI40" i="10"/>
  <c r="DY70" i="10"/>
  <c r="BI38" i="10"/>
  <c r="DY69" i="10"/>
  <c r="DY68" i="10"/>
  <c r="DY67" i="10"/>
  <c r="DY66" i="10"/>
  <c r="DY65" i="10"/>
  <c r="DY64" i="10"/>
  <c r="DY63" i="10"/>
  <c r="DY62" i="10"/>
  <c r="CS62" i="10"/>
  <c r="DY61" i="10"/>
  <c r="CS61" i="10"/>
  <c r="CR61" i="10"/>
  <c r="CQ61" i="10"/>
  <c r="CP61" i="10"/>
  <c r="DY60" i="10"/>
  <c r="CS60" i="10"/>
  <c r="CR60" i="10"/>
  <c r="CQ60" i="10"/>
  <c r="CP60" i="10"/>
  <c r="DY59" i="10"/>
  <c r="CS59" i="10"/>
  <c r="CR59" i="10"/>
  <c r="CQ59" i="10"/>
  <c r="DY58" i="10"/>
  <c r="DY57" i="10"/>
  <c r="CJ57" i="10"/>
  <c r="DY56" i="10"/>
  <c r="DY55" i="10"/>
  <c r="CV55" i="10"/>
  <c r="CT55" i="10"/>
  <c r="CR55" i="10"/>
  <c r="CP55" i="10"/>
  <c r="DY54" i="10"/>
  <c r="CV54" i="10"/>
  <c r="CT54" i="10"/>
  <c r="CR54" i="10"/>
  <c r="CP54" i="10"/>
  <c r="DY53" i="10"/>
  <c r="CV53" i="10"/>
  <c r="CT53" i="10"/>
  <c r="CR53" i="10"/>
  <c r="CP53" i="10"/>
  <c r="DY52" i="10"/>
  <c r="CV52" i="10"/>
  <c r="CT52" i="10"/>
  <c r="CR52" i="10"/>
  <c r="CP52" i="10"/>
  <c r="DY51" i="10"/>
  <c r="CV51" i="10"/>
  <c r="CT51" i="10"/>
  <c r="CR51" i="10"/>
  <c r="CP51" i="10"/>
  <c r="DY50" i="10"/>
  <c r="CV50" i="10"/>
  <c r="CT50" i="10"/>
  <c r="CR50" i="10"/>
  <c r="CP50" i="10"/>
  <c r="DY49" i="10"/>
  <c r="CV49" i="10"/>
  <c r="CT49" i="10"/>
  <c r="CR49" i="10"/>
  <c r="CP49" i="10"/>
  <c r="DY48" i="10"/>
  <c r="CV48" i="10"/>
  <c r="CT48" i="10"/>
  <c r="CR48" i="10"/>
  <c r="CP48" i="10"/>
  <c r="DY47" i="10"/>
  <c r="CV47" i="10"/>
  <c r="CT47" i="10"/>
  <c r="CR47" i="10"/>
  <c r="CP47" i="10"/>
  <c r="DY46" i="10"/>
  <c r="CV46" i="10"/>
  <c r="CT46" i="10"/>
  <c r="CR46" i="10"/>
  <c r="CP46" i="10"/>
  <c r="DY45" i="10"/>
  <c r="CV45" i="10"/>
  <c r="CT45" i="10"/>
  <c r="CR45" i="10"/>
  <c r="CP45" i="10"/>
  <c r="DY44" i="10"/>
  <c r="CV44" i="10"/>
  <c r="CT44" i="10"/>
  <c r="CR44" i="10"/>
  <c r="CP44" i="10"/>
  <c r="DY43" i="10"/>
  <c r="CV43" i="10"/>
  <c r="CT43" i="10"/>
  <c r="CR43" i="10"/>
  <c r="CP43" i="10"/>
  <c r="H31" i="10"/>
  <c r="DY42" i="10"/>
  <c r="CV42" i="10"/>
  <c r="CT42" i="10"/>
  <c r="CR42" i="10"/>
  <c r="CP42" i="10"/>
  <c r="H30" i="10"/>
  <c r="DY41" i="10"/>
  <c r="CV41" i="10"/>
  <c r="CT41" i="10"/>
  <c r="CR41" i="10"/>
  <c r="CP41" i="10"/>
  <c r="H29" i="10"/>
  <c r="DY40" i="10"/>
  <c r="CV40" i="10"/>
  <c r="CT40" i="10"/>
  <c r="CR40" i="10"/>
  <c r="CP40" i="10"/>
  <c r="H28" i="10"/>
  <c r="DY38" i="10"/>
  <c r="CV38" i="10"/>
  <c r="CT38" i="10"/>
  <c r="CR38" i="10"/>
  <c r="CP38" i="10"/>
  <c r="H27" i="10"/>
  <c r="DY37" i="10"/>
  <c r="CV37" i="10"/>
  <c r="CT37" i="10"/>
  <c r="CR37" i="10"/>
  <c r="CP37" i="10"/>
  <c r="BI37" i="10"/>
  <c r="H26" i="10"/>
  <c r="DY36" i="10"/>
  <c r="CV36" i="10"/>
  <c r="CT36" i="10"/>
  <c r="CR36" i="10"/>
  <c r="CP36" i="10"/>
  <c r="BI36" i="10"/>
  <c r="H25" i="10"/>
  <c r="DY35" i="10"/>
  <c r="CV35" i="10"/>
  <c r="CT35" i="10"/>
  <c r="CR35" i="10"/>
  <c r="CP35" i="10"/>
  <c r="BI35" i="10"/>
  <c r="AA36" i="10"/>
  <c r="H24" i="10"/>
  <c r="DY34" i="10"/>
  <c r="CV34" i="10"/>
  <c r="CT34" i="10"/>
  <c r="CR34" i="10"/>
  <c r="CP34" i="10"/>
  <c r="BI34" i="10"/>
  <c r="H23" i="10"/>
  <c r="DY33" i="10"/>
  <c r="CV33" i="10"/>
  <c r="CT33" i="10"/>
  <c r="CR33" i="10"/>
  <c r="CP33" i="10"/>
  <c r="BI33" i="10"/>
  <c r="Z34" i="10"/>
  <c r="AA34" i="10" s="1"/>
  <c r="DY32" i="10"/>
  <c r="CV32" i="10"/>
  <c r="CT32" i="10"/>
  <c r="CR32" i="10"/>
  <c r="CP32" i="10"/>
  <c r="BI32" i="10"/>
  <c r="Z33" i="10"/>
  <c r="AA33" i="10" s="1"/>
  <c r="DY31" i="10"/>
  <c r="CV31" i="10"/>
  <c r="CT31" i="10"/>
  <c r="CR31" i="10"/>
  <c r="CP31" i="10"/>
  <c r="BI31" i="10"/>
  <c r="DY30" i="10"/>
  <c r="CV30" i="10"/>
  <c r="CT30" i="10"/>
  <c r="CR30" i="10"/>
  <c r="CP30" i="10"/>
  <c r="BI30" i="10"/>
  <c r="DY29" i="10"/>
  <c r="CV29" i="10"/>
  <c r="CT29" i="10"/>
  <c r="CR29" i="10"/>
  <c r="CP29" i="10"/>
  <c r="BI29" i="10"/>
  <c r="AB29" i="10"/>
  <c r="X30" i="10"/>
  <c r="DY28" i="10"/>
  <c r="CV28" i="10"/>
  <c r="CT28" i="10"/>
  <c r="CR28" i="10"/>
  <c r="CP28" i="10"/>
  <c r="BI28" i="10"/>
  <c r="DY27" i="10"/>
  <c r="CV27" i="10"/>
  <c r="CT27" i="10"/>
  <c r="CR27" i="10"/>
  <c r="CP27" i="10"/>
  <c r="BR27" i="10"/>
  <c r="BI27" i="10"/>
  <c r="EE26" i="10"/>
  <c r="EE27" i="10" s="1"/>
  <c r="DY26" i="10"/>
  <c r="CV26" i="10"/>
  <c r="CT26" i="10"/>
  <c r="CR26" i="10"/>
  <c r="CP26" i="10"/>
  <c r="BR26" i="10"/>
  <c r="BI26" i="10"/>
  <c r="DY25" i="10"/>
  <c r="CV25" i="10"/>
  <c r="CT25" i="10"/>
  <c r="CR25" i="10"/>
  <c r="CP25" i="10"/>
  <c r="BV25" i="10"/>
  <c r="BV26" i="10" s="1"/>
  <c r="BR25" i="10"/>
  <c r="BI25" i="10"/>
  <c r="DY24" i="10"/>
  <c r="CV24" i="10"/>
  <c r="CT24" i="10"/>
  <c r="CR24" i="10"/>
  <c r="CP24" i="10"/>
  <c r="BR24" i="10"/>
  <c r="BI24" i="10"/>
  <c r="DY23" i="10"/>
  <c r="CV23" i="10"/>
  <c r="CT23" i="10"/>
  <c r="CR23" i="10"/>
  <c r="CP23" i="10"/>
  <c r="BR23" i="10"/>
  <c r="BI23" i="10"/>
  <c r="DY22" i="10"/>
  <c r="CV22" i="10"/>
  <c r="CT22" i="10"/>
  <c r="CR22" i="10"/>
  <c r="CP22" i="10"/>
  <c r="BR22" i="10"/>
  <c r="BI22" i="10"/>
  <c r="DY21" i="10"/>
  <c r="CV21" i="10"/>
  <c r="CT21" i="10"/>
  <c r="CR21" i="10"/>
  <c r="CP21" i="10"/>
  <c r="BR21" i="10"/>
  <c r="BI21" i="10"/>
  <c r="DY20" i="10"/>
  <c r="CV20" i="10"/>
  <c r="CT20" i="10"/>
  <c r="CR20" i="10"/>
  <c r="CP20" i="10"/>
  <c r="BV20" i="10"/>
  <c r="BU20" i="10"/>
  <c r="BR20" i="10"/>
  <c r="BI20" i="10"/>
  <c r="DY19" i="10"/>
  <c r="DM19" i="10"/>
  <c r="CV19" i="10"/>
  <c r="CT19" i="10"/>
  <c r="CR19" i="10"/>
  <c r="CP19" i="10"/>
  <c r="BR19" i="10"/>
  <c r="BI19" i="10"/>
  <c r="DY18" i="10"/>
  <c r="DM18" i="10"/>
  <c r="CV18" i="10"/>
  <c r="CT18" i="10"/>
  <c r="CR18" i="10"/>
  <c r="CP18" i="10"/>
  <c r="BR18" i="10"/>
  <c r="BI18" i="10"/>
  <c r="DY17" i="10"/>
  <c r="DM17" i="10"/>
  <c r="CV17" i="10"/>
  <c r="CT17" i="10"/>
  <c r="CR17" i="10"/>
  <c r="CP17" i="10"/>
  <c r="BR17" i="10"/>
  <c r="BI17" i="10"/>
  <c r="DY16" i="10"/>
  <c r="DM16" i="10"/>
  <c r="CV16" i="10"/>
  <c r="CT16" i="10"/>
  <c r="CR16" i="10"/>
  <c r="CP16" i="10"/>
  <c r="BR16" i="10"/>
  <c r="BI16" i="10"/>
  <c r="DM15" i="10"/>
  <c r="CV15" i="10"/>
  <c r="CT15" i="10"/>
  <c r="CR15" i="10"/>
  <c r="CP15" i="10"/>
  <c r="BN15" i="10"/>
  <c r="BI15" i="10"/>
  <c r="AR15" i="10"/>
  <c r="AS15" i="10" s="1"/>
  <c r="AT15" i="10" s="1"/>
  <c r="DM14" i="10"/>
  <c r="DA14" i="10"/>
  <c r="DB14" i="10" s="1"/>
  <c r="DD14" i="10" s="1"/>
  <c r="DE14" i="10" s="1"/>
  <c r="CV14" i="10"/>
  <c r="CT14" i="10"/>
  <c r="CR14" i="10"/>
  <c r="CP14" i="10"/>
  <c r="BI14" i="10"/>
  <c r="AR14" i="10"/>
  <c r="AT14" i="10" s="1"/>
  <c r="AV14" i="10" s="1"/>
  <c r="DM13" i="10"/>
  <c r="DA13" i="10"/>
  <c r="DB13" i="10" s="1"/>
  <c r="DD13" i="10" s="1"/>
  <c r="DE13" i="10" s="1"/>
  <c r="CV13" i="10"/>
  <c r="CT13" i="10"/>
  <c r="CR13" i="10"/>
  <c r="CP13" i="10"/>
  <c r="BQ13" i="10"/>
  <c r="Z57" i="10" s="1"/>
  <c r="BI13" i="10"/>
  <c r="AR13" i="10"/>
  <c r="AT13" i="10" s="1"/>
  <c r="AV13" i="10" s="1"/>
  <c r="DM12" i="10"/>
  <c r="CV12" i="10"/>
  <c r="CT12" i="10"/>
  <c r="CR12" i="10"/>
  <c r="CP12" i="10"/>
  <c r="BX12" i="10"/>
  <c r="BQ12" i="10"/>
  <c r="Z56" i="10" s="1"/>
  <c r="BI12" i="10"/>
  <c r="DM11" i="10"/>
  <c r="DA11" i="10"/>
  <c r="DB11" i="10" s="1"/>
  <c r="DD11" i="10" s="1"/>
  <c r="DE11" i="10" s="1"/>
  <c r="CV11" i="10"/>
  <c r="CT11" i="10"/>
  <c r="CR11" i="10"/>
  <c r="CP11" i="10"/>
  <c r="BI11" i="10"/>
  <c r="AR11" i="10"/>
  <c r="AS11" i="10" s="1"/>
  <c r="AT11" i="10" s="1"/>
  <c r="DM10" i="10"/>
  <c r="DA10" i="10"/>
  <c r="DB10" i="10" s="1"/>
  <c r="DD10" i="10" s="1"/>
  <c r="DE10" i="10" s="1"/>
  <c r="CV10" i="10"/>
  <c r="CT10" i="10"/>
  <c r="CR10" i="10"/>
  <c r="CP10" i="10"/>
  <c r="BI10" i="10"/>
  <c r="AR10" i="10"/>
  <c r="AU10" i="10" s="1"/>
  <c r="DM9" i="10"/>
  <c r="DA9" i="10"/>
  <c r="DB9" i="10" s="1"/>
  <c r="DD9" i="10" s="1"/>
  <c r="DE9" i="10" s="1"/>
  <c r="CV9" i="10"/>
  <c r="CT9" i="10"/>
  <c r="CR9" i="10"/>
  <c r="CP9" i="10"/>
  <c r="BI9" i="10"/>
  <c r="AR9" i="10"/>
  <c r="AS9" i="10" s="1"/>
  <c r="AT9" i="10" s="1"/>
  <c r="DM8" i="10"/>
  <c r="DA8" i="10"/>
  <c r="DB8" i="10" s="1"/>
  <c r="DD8" i="10" s="1"/>
  <c r="DE8" i="10" s="1"/>
  <c r="CV8" i="10"/>
  <c r="CT8" i="10"/>
  <c r="CR8" i="10"/>
  <c r="CP8" i="10"/>
  <c r="BI8" i="10"/>
  <c r="AR8" i="10"/>
  <c r="AS8" i="10" s="1"/>
  <c r="AT8" i="10" s="1"/>
  <c r="DM7" i="10"/>
  <c r="DI7" i="10"/>
  <c r="DF7" i="10"/>
  <c r="BI7" i="10"/>
  <c r="DM6" i="10"/>
  <c r="BR2" i="10"/>
  <c r="BN13" i="10" s="1"/>
  <c r="EH1" i="10"/>
  <c r="EE1" i="10"/>
  <c r="EF1" i="10" s="1"/>
  <c r="EG1" i="10" s="1"/>
  <c r="DQ1" i="10"/>
  <c r="DP1" i="10" s="1"/>
  <c r="AB33" i="10" l="1"/>
  <c r="AB34" i="10" s="1"/>
  <c r="Z36" i="10"/>
  <c r="BR8" i="10"/>
  <c r="AA56" i="10"/>
  <c r="BK7" i="10"/>
  <c r="BR7" i="10" s="1"/>
  <c r="CN62" i="10"/>
  <c r="BI51" i="10"/>
  <c r="BR28" i="10"/>
  <c r="BI52" i="10"/>
  <c r="BR29" i="10"/>
  <c r="CN59" i="10"/>
  <c r="BI53" i="10"/>
  <c r="BR30" i="10"/>
  <c r="CN60" i="10"/>
  <c r="BI54" i="10"/>
  <c r="BR31" i="10"/>
  <c r="DN19" i="10"/>
  <c r="G31" i="10" s="1"/>
  <c r="I31" i="10" s="1"/>
  <c r="CN61" i="10"/>
  <c r="DN16" i="10"/>
  <c r="G28" i="10" s="1"/>
  <c r="I28" i="10" s="1"/>
  <c r="DN17" i="10"/>
  <c r="G29" i="10" s="1"/>
  <c r="I29" i="10" s="1"/>
  <c r="DN14" i="10"/>
  <c r="G26" i="10" s="1"/>
  <c r="I26" i="10" s="1"/>
  <c r="AU9" i="10"/>
  <c r="AV9" i="10" s="1"/>
  <c r="DN11" i="10"/>
  <c r="DN15" i="10"/>
  <c r="G27" i="10" s="1"/>
  <c r="I27" i="10" s="1"/>
  <c r="DN8" i="10"/>
  <c r="G20" i="10" s="1"/>
  <c r="DN9" i="10"/>
  <c r="G21" i="10" s="1"/>
  <c r="DN13" i="10"/>
  <c r="G25" i="10" s="1"/>
  <c r="I25" i="10" s="1"/>
  <c r="EI1" i="10"/>
  <c r="EJ1" i="10" s="1"/>
  <c r="DN18" i="10"/>
  <c r="G30" i="10" s="1"/>
  <c r="I30" i="10" s="1"/>
  <c r="DN7" i="10"/>
  <c r="G19" i="10" s="1"/>
  <c r="DN10" i="10"/>
  <c r="G22" i="10" s="1"/>
  <c r="AU15" i="10"/>
  <c r="AV15" i="10" s="1"/>
  <c r="AU8" i="10"/>
  <c r="AV8" i="10" s="1"/>
  <c r="DN6" i="10"/>
  <c r="G18" i="10" s="1"/>
  <c r="DN12" i="10"/>
  <c r="G24" i="10" s="1"/>
  <c r="I24" i="10" s="1"/>
  <c r="AW14" i="10"/>
  <c r="AW13" i="10"/>
  <c r="AS10" i="10"/>
  <c r="AU11" i="10"/>
  <c r="AV11" i="10" s="1"/>
  <c r="BR10" i="10" l="1"/>
  <c r="AW9" i="10"/>
  <c r="BR11" i="10"/>
  <c r="BP9" i="10"/>
  <c r="G23" i="10"/>
  <c r="I23" i="10" s="1"/>
  <c r="DA20" i="10"/>
  <c r="AW16" i="10"/>
  <c r="AW17" i="10"/>
  <c r="AW18" i="10" s="1"/>
  <c r="AW19" i="10" s="1"/>
  <c r="DA19" i="10"/>
  <c r="DB19" i="10" s="1"/>
  <c r="AW15" i="10"/>
  <c r="AW8" i="10"/>
  <c r="CP62" i="10"/>
  <c r="AW11" i="10"/>
  <c r="AT10" i="10"/>
  <c r="AV10" i="10" s="1"/>
  <c r="V5" i="32"/>
  <c r="S4" i="32"/>
  <c r="T4" i="32" s="1"/>
  <c r="S3" i="32"/>
  <c r="S2" i="32"/>
  <c r="F3" i="32" s="1"/>
  <c r="P4" i="32"/>
  <c r="P3" i="32"/>
  <c r="P2" i="32"/>
  <c r="N14" i="32"/>
  <c r="N13" i="32"/>
  <c r="N12" i="32"/>
  <c r="N9" i="32"/>
  <c r="N8" i="32"/>
  <c r="FS3" i="10" l="1"/>
  <c r="M7" i="10" s="1"/>
  <c r="N2" i="10"/>
  <c r="N3" i="40"/>
  <c r="M7" i="40" s="1"/>
  <c r="M9" i="40" s="1"/>
  <c r="FS4" i="10"/>
  <c r="FS5" i="10"/>
  <c r="U1" i="10"/>
  <c r="DA12" i="10"/>
  <c r="DB12" i="10" s="1"/>
  <c r="DD12" i="10" s="1"/>
  <c r="DE12" i="10" s="1"/>
  <c r="AR12" i="10"/>
  <c r="AT12" i="10" s="1"/>
  <c r="AV12" i="10" s="1"/>
  <c r="AW10" i="10"/>
  <c r="AX10" i="10" s="1"/>
  <c r="Q13" i="32"/>
  <c r="R13" i="32" s="1"/>
  <c r="Q9" i="32"/>
  <c r="R9" i="32" s="1"/>
  <c r="S5" i="32"/>
  <c r="F4" i="32" s="1"/>
  <c r="P5" i="32"/>
  <c r="F2" i="32" s="1"/>
  <c r="FS1" i="10" l="1"/>
  <c r="M16" i="40"/>
  <c r="M17" i="40" s="1"/>
  <c r="FS2" i="10" s="1"/>
  <c r="S20" i="32"/>
  <c r="S21" i="32" s="1"/>
  <c r="DB17" i="10"/>
  <c r="AW12" i="10"/>
  <c r="F5" i="32"/>
  <c r="M6" i="10" l="1"/>
  <c r="K34" i="10" s="1"/>
  <c r="W49" i="10" l="1"/>
  <c r="I52" i="10"/>
  <c r="W51" i="10"/>
  <c r="W48" i="10"/>
  <c r="W47" i="10"/>
  <c r="D126" i="10"/>
  <c r="K71" i="10"/>
  <c r="D147" i="10"/>
  <c r="BO6" i="10"/>
  <c r="BN11" i="10" s="1"/>
  <c r="V1" i="10"/>
  <c r="BO9" i="10"/>
  <c r="M10" i="10"/>
  <c r="T28" i="10" s="1"/>
  <c r="BO7" i="10"/>
  <c r="W50" i="10"/>
  <c r="BO8" i="10"/>
  <c r="K72" i="10"/>
  <c r="BO5" i="10"/>
  <c r="BO11" i="10" s="1"/>
  <c r="BN12" i="10" s="1"/>
  <c r="N8" i="10"/>
  <c r="FS8" i="10" l="1"/>
  <c r="D127" i="10" s="1"/>
  <c r="E142" i="10" s="1"/>
  <c r="K27" i="10"/>
  <c r="K28" i="10"/>
  <c r="K29" i="10"/>
  <c r="K30" i="10"/>
  <c r="K23" i="10"/>
  <c r="K25" i="10"/>
  <c r="K24" i="10"/>
  <c r="K26" i="10"/>
  <c r="K31" i="10"/>
  <c r="CH34" i="10"/>
  <c r="O109" i="28"/>
  <c r="O89" i="28"/>
  <c r="O88" i="28"/>
  <c r="O87" i="28"/>
  <c r="O86" i="28"/>
  <c r="O84" i="28"/>
  <c r="O82" i="28"/>
  <c r="O81" i="28"/>
  <c r="O64" i="28"/>
  <c r="O62" i="28"/>
  <c r="O61" i="28"/>
  <c r="O60" i="28"/>
  <c r="O55" i="28"/>
  <c r="O54" i="28"/>
  <c r="O53" i="28"/>
  <c r="O51" i="28"/>
  <c r="S41" i="28"/>
  <c r="S39" i="28"/>
  <c r="S37" i="28"/>
  <c r="S35" i="28"/>
  <c r="R35" i="28"/>
  <c r="O34" i="28"/>
  <c r="O33" i="28"/>
  <c r="O28" i="28"/>
  <c r="O26" i="28"/>
  <c r="O20" i="28"/>
  <c r="O19" i="28"/>
  <c r="O18" i="28"/>
  <c r="O17" i="28"/>
  <c r="W5" i="28"/>
  <c r="FS9" i="10" l="1"/>
  <c r="M12" i="10" s="1"/>
  <c r="T20" i="10"/>
  <c r="G48" i="10" s="1"/>
  <c r="D148" i="10"/>
  <c r="S44" i="28"/>
  <c r="U35" i="28" s="1"/>
  <c r="Q18" i="28"/>
  <c r="R18" i="28" s="1"/>
  <c r="Q33" i="28"/>
  <c r="R33" i="28" s="1"/>
  <c r="Q109" i="28"/>
  <c r="R109" i="28" s="1"/>
  <c r="Q61" i="28"/>
  <c r="R61" i="28" s="1"/>
  <c r="Q26" i="28"/>
  <c r="R26" i="28" s="1"/>
  <c r="Q82" i="28"/>
  <c r="Q53" i="28"/>
  <c r="R53" i="28" s="1"/>
  <c r="BU11" i="10" l="1"/>
  <c r="K38" i="10"/>
  <c r="V33" i="10" l="1"/>
  <c r="U33" i="10" s="1"/>
  <c r="H21" i="10" l="1"/>
  <c r="I21" i="10" s="1"/>
  <c r="K21" i="10" s="1"/>
  <c r="B42" i="10" l="1"/>
  <c r="BD8" i="10"/>
  <c r="V30" i="10" l="1"/>
  <c r="U30" i="10" s="1"/>
  <c r="H18" i="10" s="1"/>
  <c r="I18" i="10" s="1"/>
  <c r="BD9" i="10" s="1"/>
  <c r="BX6" i="10" s="1"/>
  <c r="BX14" i="10" s="1"/>
  <c r="T21" i="10" s="1"/>
  <c r="V34" i="10"/>
  <c r="BU6" i="10" l="1"/>
  <c r="BU15" i="10" s="1"/>
  <c r="K18" i="10"/>
  <c r="CR62" i="10"/>
  <c r="CQ62" i="10"/>
  <c r="U34" i="10"/>
  <c r="H22" i="10" s="1"/>
  <c r="I22" i="10" s="1"/>
  <c r="K22" i="10" s="1"/>
  <c r="E99" i="10" l="1"/>
  <c r="E100" i="10" s="1"/>
  <c r="E101" i="10" s="1"/>
  <c r="E102" i="10" l="1"/>
  <c r="G97" i="10" s="1"/>
  <c r="G99" i="10" l="1"/>
  <c r="L30" i="10"/>
  <c r="O30" i="10" s="1"/>
  <c r="L29" i="10"/>
  <c r="O29" i="10" s="1"/>
  <c r="G100" i="10"/>
  <c r="G98" i="10"/>
  <c r="G103" i="10"/>
  <c r="G90" i="10"/>
  <c r="G106" i="10"/>
  <c r="L33" i="10"/>
  <c r="O33" i="10" s="1"/>
  <c r="L32" i="10"/>
  <c r="G105" i="10"/>
  <c r="G94" i="10"/>
  <c r="G102" i="10"/>
  <c r="L31" i="10"/>
  <c r="G104" i="10"/>
  <c r="G95" i="10"/>
  <c r="G96" i="10"/>
  <c r="G101" i="10"/>
  <c r="N33" i="10" l="1"/>
  <c r="P33" i="10" s="1"/>
  <c r="N30" i="10"/>
  <c r="P30" i="10" s="1"/>
  <c r="O32" i="10"/>
  <c r="N32" i="10"/>
  <c r="O31" i="10"/>
  <c r="N31" i="10"/>
  <c r="CB31" i="10" l="1"/>
  <c r="CE31" i="10" s="1"/>
  <c r="CB28" i="10"/>
  <c r="CE28" i="10" s="1"/>
  <c r="P32" i="10"/>
  <c r="CB30" i="10"/>
  <c r="CE30" i="10" s="1"/>
  <c r="P31" i="10"/>
  <c r="CB29" i="10"/>
  <c r="CE29" i="10" s="1"/>
  <c r="V31" i="10" l="1"/>
  <c r="U31" i="10" s="1"/>
  <c r="H19" i="10" s="1"/>
  <c r="I19" i="10" s="1"/>
  <c r="BD7" i="10" l="1"/>
  <c r="BD11" i="10" s="1"/>
  <c r="I33" i="10" s="1"/>
  <c r="B43" i="10"/>
  <c r="K19" i="10"/>
  <c r="N29" i="10" l="1"/>
  <c r="P29" i="10" s="1"/>
  <c r="N28" i="10"/>
  <c r="D42" i="10"/>
  <c r="N64" i="10"/>
  <c r="D154" i="10"/>
  <c r="G57" i="10"/>
  <c r="T1" i="10"/>
  <c r="I53" i="10" s="1"/>
  <c r="L61" i="10"/>
  <c r="G47" i="10"/>
  <c r="FS14" i="10"/>
  <c r="H47" i="10"/>
  <c r="BU12" i="10"/>
  <c r="BU13" i="10" s="1"/>
  <c r="BS14" i="10" s="1"/>
  <c r="P65" i="10"/>
  <c r="N63" i="10" s="1"/>
  <c r="N66" i="10" s="1"/>
  <c r="N67" i="10" s="1"/>
  <c r="FS13" i="10"/>
  <c r="M49" i="10"/>
  <c r="FS12" i="10"/>
  <c r="D133" i="10"/>
  <c r="E141" i="10" s="1"/>
  <c r="K33" i="10"/>
  <c r="I50" i="10"/>
  <c r="M44" i="10"/>
  <c r="V59" i="10"/>
  <c r="W59" i="10" s="1"/>
  <c r="M47" i="10"/>
  <c r="M51" i="10" s="1"/>
  <c r="M15" i="10" l="1"/>
  <c r="D48" i="10" s="1"/>
  <c r="CB27" i="10"/>
  <c r="CE27" i="10" s="1"/>
  <c r="CB26" i="10"/>
  <c r="CE26" i="10" s="1"/>
  <c r="P28" i="10"/>
  <c r="T35" i="10"/>
  <c r="Q47" i="10"/>
  <c r="Q45" i="10"/>
  <c r="DU2" i="10"/>
  <c r="EC6" i="10" s="1"/>
  <c r="K5" i="32" s="1"/>
  <c r="V2" i="32" s="1"/>
  <c r="V4" i="32" s="1"/>
  <c r="V6" i="32" s="1"/>
  <c r="Q46" i="10"/>
  <c r="D128" i="10"/>
  <c r="D129" i="10" s="1"/>
  <c r="G46" i="10"/>
  <c r="G51" i="10"/>
  <c r="G53" i="10" s="1"/>
  <c r="M17" i="10" l="1"/>
  <c r="D49" i="10" s="1"/>
  <c r="D109" i="10"/>
  <c r="T26" i="10"/>
  <c r="K16" i="10"/>
  <c r="D43" i="10"/>
  <c r="I37" i="10" s="1"/>
  <c r="D110" i="10"/>
  <c r="CE32" i="10"/>
  <c r="CH35" i="10" s="1"/>
  <c r="CH36" i="10" s="1"/>
  <c r="D149" i="10"/>
  <c r="D150" i="10" s="1"/>
  <c r="Q48" i="10"/>
  <c r="O57" i="10" l="1"/>
  <c r="N15" i="10"/>
  <c r="N17" i="10"/>
  <c r="I39" i="10" s="1"/>
  <c r="D112" i="10" s="1"/>
  <c r="E112" i="10" s="1"/>
  <c r="L34" i="10" l="1"/>
  <c r="N34" i="10" l="1"/>
  <c r="P34" i="10" s="1"/>
  <c r="O34" i="10"/>
  <c r="R46" i="10"/>
  <c r="V32" i="10" l="1"/>
  <c r="U32" i="10" s="1"/>
  <c r="H20" i="10" s="1"/>
  <c r="I20" i="10" s="1"/>
  <c r="BD13" i="10" s="1"/>
  <c r="BD14" i="10" s="1"/>
  <c r="I32" i="10" s="1"/>
  <c r="AB45" i="10" s="1"/>
  <c r="B38" i="10"/>
  <c r="D38" i="10" s="1"/>
  <c r="I36" i="10" s="1"/>
  <c r="K20" i="10" l="1"/>
  <c r="D111" i="10"/>
  <c r="I35" i="10"/>
  <c r="T23" i="10"/>
  <c r="D132" i="10"/>
  <c r="D135" i="10" s="1"/>
  <c r="V48" i="10"/>
  <c r="X48" i="10" s="1"/>
  <c r="Y48" i="10" s="1"/>
  <c r="V50" i="10"/>
  <c r="X50" i="10" s="1"/>
  <c r="Y49" i="10" s="1"/>
  <c r="BU7" i="10"/>
  <c r="K32" i="10"/>
  <c r="K35" i="10" s="1"/>
  <c r="BX21" i="10" s="1"/>
  <c r="H69" i="10"/>
  <c r="K75" i="10"/>
  <c r="V51" i="10"/>
  <c r="X51" i="10" s="1"/>
  <c r="Y50" i="10" s="1"/>
  <c r="Y51" i="10" s="1"/>
  <c r="V49" i="10"/>
  <c r="X49" i="10" s="1"/>
  <c r="AB37" i="10"/>
  <c r="AB38" i="10" s="1"/>
  <c r="U60" i="10"/>
  <c r="D153" i="10"/>
  <c r="D156" i="10" s="1"/>
  <c r="L60" i="10"/>
  <c r="L62" i="10" s="1"/>
  <c r="N44" i="10"/>
  <c r="O44" i="10" s="1"/>
  <c r="H71" i="10"/>
  <c r="V47" i="10"/>
  <c r="X47" i="10" s="1"/>
  <c r="Y47" i="10" s="1"/>
  <c r="M46" i="10"/>
  <c r="M50" i="10" s="1"/>
  <c r="M52" i="10" s="1"/>
  <c r="V58" i="10"/>
  <c r="W58" i="10" s="1"/>
  <c r="W60" i="10" s="1"/>
  <c r="V56" i="10" s="1"/>
  <c r="U61" i="10"/>
  <c r="U59" i="10" l="1"/>
  <c r="T59" i="10" s="1"/>
  <c r="K73" i="10"/>
  <c r="K76" i="10"/>
  <c r="H70" i="10"/>
  <c r="B137" i="10"/>
  <c r="F128" i="10"/>
  <c r="F131" i="10"/>
  <c r="V53" i="10"/>
  <c r="D118" i="10"/>
  <c r="D121" i="10" s="1"/>
  <c r="D122" i="10" s="1"/>
  <c r="D113" i="10" s="1"/>
  <c r="V54" i="10"/>
  <c r="V52" i="10"/>
  <c r="V55" i="10"/>
  <c r="B158" i="10"/>
  <c r="BU8" i="10"/>
  <c r="BU16" i="10"/>
  <c r="BU17" i="10" s="1"/>
  <c r="BS18" i="10" s="1"/>
  <c r="G58" i="10"/>
  <c r="G59" i="10" s="1"/>
  <c r="K74" i="10"/>
  <c r="D47" i="10"/>
  <c r="D50" i="10" s="1"/>
  <c r="D46" i="10" s="1"/>
  <c r="O51" i="10"/>
  <c r="R45" i="10"/>
  <c r="H73" i="10"/>
  <c r="E45" i="10"/>
  <c r="E113" i="10" l="1"/>
  <c r="E114" i="10" s="1"/>
  <c r="D137" i="10"/>
  <c r="E158" i="10"/>
  <c r="D158" i="10" s="1"/>
  <c r="H74" i="10"/>
  <c r="BT20" i="10"/>
  <c r="I45" i="10"/>
  <c r="G54" i="10"/>
  <c r="G55" i="10" s="1"/>
  <c r="I47" i="10" s="1"/>
  <c r="I48" i="10" s="1"/>
  <c r="I49" i="10" s="1"/>
  <c r="I51" i="10" s="1"/>
  <c r="I54" i="10" s="1"/>
  <c r="I55" i="10" s="1"/>
  <c r="I56" i="10" s="1"/>
  <c r="D44" i="10" s="1"/>
  <c r="Q57" i="10"/>
  <c r="B46" i="10"/>
  <c r="AB55" i="10"/>
  <c r="V57" i="10" s="1"/>
  <c r="M48" i="10"/>
  <c r="M53" i="10" s="1"/>
  <c r="M54" i="10" s="1"/>
  <c r="N41" i="10"/>
  <c r="N42" i="10" s="1"/>
  <c r="M55" i="10"/>
  <c r="BS9" i="10"/>
  <c r="BS19" i="10"/>
  <c r="BS21" i="10" l="1"/>
  <c r="BS20" i="10" s="1"/>
  <c r="M20" i="10" s="1"/>
  <c r="T22" i="10" s="1"/>
  <c r="T24" i="10" s="1"/>
  <c r="G44" i="10"/>
  <c r="I44" i="10"/>
  <c r="G60" i="10" s="1"/>
  <c r="L36" i="10"/>
  <c r="L37" i="10"/>
  <c r="L35" i="10"/>
  <c r="L38" i="10"/>
  <c r="N35" i="10" l="1"/>
  <c r="O35" i="10"/>
  <c r="O37" i="10"/>
  <c r="N37" i="10"/>
  <c r="P37" i="10" s="1"/>
  <c r="N36" i="10"/>
  <c r="P36" i="10" s="1"/>
  <c r="O36" i="10"/>
  <c r="N38" i="10"/>
  <c r="P38" i="10" s="1"/>
  <c r="O38" i="10"/>
  <c r="R27" i="10" l="1"/>
  <c r="P35" i="10"/>
</calcChain>
</file>

<file path=xl/sharedStrings.xml><?xml version="1.0" encoding="utf-8"?>
<sst xmlns="http://schemas.openxmlformats.org/spreadsheetml/2006/main" count="5388" uniqueCount="1780">
  <si>
    <t>Prestatie</t>
  </si>
  <si>
    <t>Dagbesteding</t>
  </si>
  <si>
    <t>H531</t>
  </si>
  <si>
    <t>H900</t>
  </si>
  <si>
    <t>H902</t>
  </si>
  <si>
    <t>F125</t>
  </si>
  <si>
    <t>H128</t>
  </si>
  <si>
    <t>H152</t>
  </si>
  <si>
    <t>H300</t>
  </si>
  <si>
    <t>H104</t>
  </si>
  <si>
    <t>H153</t>
  </si>
  <si>
    <t>H120</t>
  </si>
  <si>
    <t>H150</t>
  </si>
  <si>
    <t>H126</t>
  </si>
  <si>
    <t>H127</t>
  </si>
  <si>
    <t>H106</t>
  </si>
  <si>
    <t>VPT</t>
  </si>
  <si>
    <t>Z461</t>
  </si>
  <si>
    <t>Z661</t>
  </si>
  <si>
    <t>Z723</t>
  </si>
  <si>
    <t>V041</t>
  </si>
  <si>
    <t>Z711</t>
  </si>
  <si>
    <t>Z731</t>
  </si>
  <si>
    <t>V713</t>
  </si>
  <si>
    <t>V842</t>
  </si>
  <si>
    <t>Z463</t>
  </si>
  <si>
    <t>Z033</t>
  </si>
  <si>
    <t>V462</t>
  </si>
  <si>
    <t>V711</t>
  </si>
  <si>
    <t>Z424</t>
  </si>
  <si>
    <t>V671</t>
  </si>
  <si>
    <t>Z223</t>
  </si>
  <si>
    <t>Z743</t>
  </si>
  <si>
    <t>Z457</t>
  </si>
  <si>
    <t>Z431</t>
  </si>
  <si>
    <t>Z630</t>
  </si>
  <si>
    <t>Z833</t>
  </si>
  <si>
    <t>V415</t>
  </si>
  <si>
    <t>Z470</t>
  </si>
  <si>
    <t>Z441</t>
  </si>
  <si>
    <t>Z653</t>
  </si>
  <si>
    <t>Z852</t>
  </si>
  <si>
    <t>Z720</t>
  </si>
  <si>
    <t>Z825</t>
  </si>
  <si>
    <t>V721</t>
  </si>
  <si>
    <t>Z462</t>
  </si>
  <si>
    <t>V101</t>
  </si>
  <si>
    <t>Z051</t>
  </si>
  <si>
    <t>Z824</t>
  </si>
  <si>
    <t>Z081</t>
  </si>
  <si>
    <t>V831</t>
  </si>
  <si>
    <t>Z641</t>
  </si>
  <si>
    <t>V461</t>
  </si>
  <si>
    <t>V732</t>
  </si>
  <si>
    <t>V443</t>
  </si>
  <si>
    <t>V051</t>
  </si>
  <si>
    <t>Z430</t>
  </si>
  <si>
    <t>Z483</t>
  </si>
  <si>
    <t>V615</t>
  </si>
  <si>
    <t>V814</t>
  </si>
  <si>
    <t>Z433</t>
  </si>
  <si>
    <t>Z625</t>
  </si>
  <si>
    <t>Z814</t>
  </si>
  <si>
    <t>Z642</t>
  </si>
  <si>
    <t>Z471</t>
  </si>
  <si>
    <t>Z482</t>
  </si>
  <si>
    <t>V624</t>
  </si>
  <si>
    <t>V733</t>
  </si>
  <si>
    <t>V513</t>
  </si>
  <si>
    <t>Z041</t>
  </si>
  <si>
    <t>Z103</t>
  </si>
  <si>
    <t>Z513</t>
  </si>
  <si>
    <t>Z614</t>
  </si>
  <si>
    <t>V673</t>
  </si>
  <si>
    <t>V025</t>
  </si>
  <si>
    <t>V631</t>
  </si>
  <si>
    <t>V843</t>
  </si>
  <si>
    <t>Z663</t>
  </si>
  <si>
    <t>Z633</t>
  </si>
  <si>
    <t>V471</t>
  </si>
  <si>
    <t>V650</t>
  </si>
  <si>
    <t>Z533</t>
  </si>
  <si>
    <t>V470</t>
  </si>
  <si>
    <t>Z425</t>
  </si>
  <si>
    <t>Z651</t>
  </si>
  <si>
    <t>V652</t>
  </si>
  <si>
    <t>V651</t>
  </si>
  <si>
    <t>V414</t>
  </si>
  <si>
    <t>Z631</t>
  </si>
  <si>
    <t>Z473</t>
  </si>
  <si>
    <t>V670</t>
  </si>
  <si>
    <t>Z073</t>
  </si>
  <si>
    <t>V653</t>
  </si>
  <si>
    <t>V043</t>
  </si>
  <si>
    <t>Z730</t>
  </si>
  <si>
    <t>Z455</t>
  </si>
  <si>
    <t>Z721</t>
  </si>
  <si>
    <t>Z831</t>
  </si>
  <si>
    <t>V720</t>
  </si>
  <si>
    <t>Z414</t>
  </si>
  <si>
    <t>V425</t>
  </si>
  <si>
    <t>V672</t>
  </si>
  <si>
    <t>V853</t>
  </si>
  <si>
    <t>Z660</t>
  </si>
  <si>
    <t>V632</t>
  </si>
  <si>
    <t>V473</t>
  </si>
  <si>
    <t>Z442</t>
  </si>
  <si>
    <t>V723</t>
  </si>
  <si>
    <t>V103</t>
  </si>
  <si>
    <t>Z851</t>
  </si>
  <si>
    <t>V740</t>
  </si>
  <si>
    <t>Z440</t>
  </si>
  <si>
    <t>Z252</t>
  </si>
  <si>
    <t>V730</t>
  </si>
  <si>
    <t>V083</t>
  </si>
  <si>
    <t>Z481</t>
  </si>
  <si>
    <t>V824</t>
  </si>
  <si>
    <t>V456</t>
  </si>
  <si>
    <t>V841</t>
  </si>
  <si>
    <t>Z640</t>
  </si>
  <si>
    <t>V553</t>
  </si>
  <si>
    <t>Z615</t>
  </si>
  <si>
    <t>Z843</t>
  </si>
  <si>
    <t>V031</t>
  </si>
  <si>
    <t>Z671</t>
  </si>
  <si>
    <t>Z232</t>
  </si>
  <si>
    <t>Z995</t>
  </si>
  <si>
    <t>Z850</t>
  </si>
  <si>
    <t>V614</t>
  </si>
  <si>
    <t>Z841</t>
  </si>
  <si>
    <t>V430</t>
  </si>
  <si>
    <t>V463</t>
  </si>
  <si>
    <t>V830</t>
  </si>
  <si>
    <t>Z456</t>
  </si>
  <si>
    <t>V722</t>
  </si>
  <si>
    <t>V660</t>
  </si>
  <si>
    <t>Z670</t>
  </si>
  <si>
    <t>V441</t>
  </si>
  <si>
    <t>Z840</t>
  </si>
  <si>
    <t>V642</t>
  </si>
  <si>
    <t>V432</t>
  </si>
  <si>
    <t>Z480</t>
  </si>
  <si>
    <t>Z672</t>
  </si>
  <si>
    <t>Z853</t>
  </si>
  <si>
    <t>V543</t>
  </si>
  <si>
    <t>V015</t>
  </si>
  <si>
    <t>Z071</t>
  </si>
  <si>
    <t>V825</t>
  </si>
  <si>
    <t>V481</t>
  </si>
  <si>
    <t>V424</t>
  </si>
  <si>
    <t>Z015</t>
  </si>
  <si>
    <t>V630</t>
  </si>
  <si>
    <t>V523</t>
  </si>
  <si>
    <t>V852</t>
  </si>
  <si>
    <t>Z842</t>
  </si>
  <si>
    <t>V061</t>
  </si>
  <si>
    <t>V741</t>
  </si>
  <si>
    <t>V431</t>
  </si>
  <si>
    <t>V073</t>
  </si>
  <si>
    <t>Z053</t>
  </si>
  <si>
    <t>V533</t>
  </si>
  <si>
    <t>V643</t>
  </si>
  <si>
    <t>V440</t>
  </si>
  <si>
    <t>Z415</t>
  </si>
  <si>
    <t>V625</t>
  </si>
  <si>
    <t>Z454</t>
  </si>
  <si>
    <t>V482</t>
  </si>
  <si>
    <t>Z063</t>
  </si>
  <si>
    <t>V850</t>
  </si>
  <si>
    <t>V832</t>
  </si>
  <si>
    <t>V454</t>
  </si>
  <si>
    <t>V663</t>
  </si>
  <si>
    <t>V033</t>
  </si>
  <si>
    <t>V833</t>
  </si>
  <si>
    <t>Z815</t>
  </si>
  <si>
    <t>Z213</t>
  </si>
  <si>
    <t>Z722</t>
  </si>
  <si>
    <t>Z025</t>
  </si>
  <si>
    <t>V433</t>
  </si>
  <si>
    <t>V633</t>
  </si>
  <si>
    <t>Z710</t>
  </si>
  <si>
    <t>Z733</t>
  </si>
  <si>
    <t>V840</t>
  </si>
  <si>
    <t>V081</t>
  </si>
  <si>
    <t>V712</t>
  </si>
  <si>
    <t>Z740</t>
  </si>
  <si>
    <t>V460</t>
  </si>
  <si>
    <t>Z732</t>
  </si>
  <si>
    <t>Z432</t>
  </si>
  <si>
    <t>Z222</t>
  </si>
  <si>
    <t>Z643</t>
  </si>
  <si>
    <t>V442</t>
  </si>
  <si>
    <t>Z243</t>
  </si>
  <si>
    <t>Z233</t>
  </si>
  <si>
    <t>Z031</t>
  </si>
  <si>
    <t>V731</t>
  </si>
  <si>
    <t>Z061</t>
  </si>
  <si>
    <t>V472</t>
  </si>
  <si>
    <t>Z741</t>
  </si>
  <si>
    <t>Z632</t>
  </si>
  <si>
    <t>Z543</t>
  </si>
  <si>
    <t>Z242</t>
  </si>
  <si>
    <t>V743</t>
  </si>
  <si>
    <t>V641</t>
  </si>
  <si>
    <t>Z624</t>
  </si>
  <si>
    <t>V063</t>
  </si>
  <si>
    <t>Z043</t>
  </si>
  <si>
    <t>V640</t>
  </si>
  <si>
    <t>V815</t>
  </si>
  <si>
    <t>Z253</t>
  </si>
  <si>
    <t>Z673</t>
  </si>
  <si>
    <t>Z742</t>
  </si>
  <si>
    <t>V457</t>
  </si>
  <si>
    <t>V483</t>
  </si>
  <si>
    <t>Z553</t>
  </si>
  <si>
    <t>Z650</t>
  </si>
  <si>
    <t>V851</t>
  </si>
  <si>
    <t>Z652</t>
  </si>
  <si>
    <t>Z662</t>
  </si>
  <si>
    <t>Z713</t>
  </si>
  <si>
    <t>V710</t>
  </si>
  <si>
    <t>Z830</t>
  </si>
  <si>
    <t>Z443</t>
  </si>
  <si>
    <t>V661</t>
  </si>
  <si>
    <t>V455</t>
  </si>
  <si>
    <t>Z460</t>
  </si>
  <si>
    <t>Z712</t>
  </si>
  <si>
    <t>Z083</t>
  </si>
  <si>
    <t>V480</t>
  </si>
  <si>
    <t>Z212</t>
  </si>
  <si>
    <t>V742</t>
  </si>
  <si>
    <t>V053</t>
  </si>
  <si>
    <t>Z832</t>
  </si>
  <si>
    <t>V662</t>
  </si>
  <si>
    <t>Z472</t>
  </si>
  <si>
    <t>Z101</t>
  </si>
  <si>
    <t>V071</t>
  </si>
  <si>
    <t>Z523</t>
  </si>
  <si>
    <t>H821</t>
  </si>
  <si>
    <t>H820</t>
  </si>
  <si>
    <t>H325</t>
  </si>
  <si>
    <t>H331</t>
  </si>
  <si>
    <t>H817</t>
  </si>
  <si>
    <t>H822</t>
  </si>
  <si>
    <t>H329</t>
  </si>
  <si>
    <t>H819</t>
  </si>
  <si>
    <t>H891</t>
  </si>
  <si>
    <t>H332</t>
  </si>
  <si>
    <t>H333</t>
  </si>
  <si>
    <t>H802</t>
  </si>
  <si>
    <t>H334</t>
  </si>
  <si>
    <t>H330</t>
  </si>
  <si>
    <t>H910</t>
  </si>
  <si>
    <t>H922</t>
  </si>
  <si>
    <t>H921</t>
  </si>
  <si>
    <t>H920</t>
  </si>
  <si>
    <t>H931</t>
  </si>
  <si>
    <t>H930</t>
  </si>
  <si>
    <t>H302</t>
  </si>
  <si>
    <t>H533</t>
  </si>
  <si>
    <t>H832</t>
  </si>
  <si>
    <t>H856</t>
  </si>
  <si>
    <t>H876</t>
  </si>
  <si>
    <t>H853</t>
  </si>
  <si>
    <t>H811</t>
  </si>
  <si>
    <t>H815</t>
  </si>
  <si>
    <t>H301</t>
  </si>
  <si>
    <t>H874</t>
  </si>
  <si>
    <t>H835</t>
  </si>
  <si>
    <t>H871</t>
  </si>
  <si>
    <t>H855</t>
  </si>
  <si>
    <t>H833</t>
  </si>
  <si>
    <t>H800</t>
  </si>
  <si>
    <t>H303</t>
  </si>
  <si>
    <t>H812</t>
  </si>
  <si>
    <t>H873</t>
  </si>
  <si>
    <t>H180</t>
  </si>
  <si>
    <t>H854</t>
  </si>
  <si>
    <t>H852</t>
  </si>
  <si>
    <t>H872</t>
  </si>
  <si>
    <t>H816</t>
  </si>
  <si>
    <t>H875</t>
  </si>
  <si>
    <t>H831</t>
  </si>
  <si>
    <t>H851</t>
  </si>
  <si>
    <t>H813</t>
  </si>
  <si>
    <t>H132</t>
  </si>
  <si>
    <t>H814</t>
  </si>
  <si>
    <t>H836</t>
  </si>
  <si>
    <t>H818</t>
  </si>
  <si>
    <t>H834</t>
  </si>
  <si>
    <t>H304</t>
  </si>
  <si>
    <t>Z573</t>
  </si>
  <si>
    <t>V573</t>
  </si>
  <si>
    <t>Z097</t>
  </si>
  <si>
    <t>Z095</t>
  </si>
  <si>
    <t>V095</t>
  </si>
  <si>
    <t>V097</t>
  </si>
  <si>
    <t>nee</t>
  </si>
  <si>
    <t>ZZP</t>
  </si>
  <si>
    <t xml:space="preserve"> </t>
  </si>
  <si>
    <t>BGGRP</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</si>
  <si>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</si>
  <si>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</si>
  <si>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</si>
  <si>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</si>
  <si>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</si>
  <si>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</si>
  <si>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</si>
  <si>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</si>
  <si>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</si>
  <si>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</si>
  <si>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</si>
  <si>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</si>
  <si>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</si>
  <si>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</si>
  <si>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</si>
  <si>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</si>
  <si>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</si>
  <si>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</si>
  <si>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</si>
  <si>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</si>
  <si>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</si>
  <si>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</si>
  <si>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</si>
  <si>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</si>
  <si>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</si>
  <si>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</si>
  <si>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1VG</t>
  </si>
  <si>
    <t>2VG</t>
  </si>
  <si>
    <t>3VG</t>
  </si>
  <si>
    <t>4VG</t>
  </si>
  <si>
    <t>5VG</t>
  </si>
  <si>
    <t>6VG</t>
  </si>
  <si>
    <t>7VG</t>
  </si>
  <si>
    <t>8VG</t>
  </si>
  <si>
    <t>1LVG</t>
  </si>
  <si>
    <t>2LVG</t>
  </si>
  <si>
    <t>3LVG</t>
  </si>
  <si>
    <t>4LVG</t>
  </si>
  <si>
    <t>5LVG</t>
  </si>
  <si>
    <t>1SGLVG</t>
  </si>
  <si>
    <t>nvt</t>
  </si>
  <si>
    <t>PV</t>
  </si>
  <si>
    <t>VP</t>
  </si>
  <si>
    <t>ZZP-</t>
  </si>
  <si>
    <t xml:space="preserve"> Totaal </t>
  </si>
  <si>
    <t>code</t>
  </si>
  <si>
    <t>groep</t>
  </si>
  <si>
    <t>ophoging</t>
  </si>
  <si>
    <t>9bVV</t>
  </si>
  <si>
    <t>1GGZ B</t>
  </si>
  <si>
    <t>2GGZ B</t>
  </si>
  <si>
    <t>3GGZ B</t>
  </si>
  <si>
    <t>4GGZ B</t>
  </si>
  <si>
    <t>5GGZ B</t>
  </si>
  <si>
    <t>6GGZ B</t>
  </si>
  <si>
    <t>7GGZ B</t>
  </si>
  <si>
    <t>ja</t>
  </si>
  <si>
    <t>Logeren</t>
  </si>
  <si>
    <t>Z997</t>
  </si>
  <si>
    <t>Z998</t>
  </si>
  <si>
    <t>BH-IND</t>
  </si>
  <si>
    <t>BG-GRP</t>
  </si>
  <si>
    <t>BH-GRP</t>
  </si>
  <si>
    <t>Totaal minus ophoging</t>
  </si>
  <si>
    <t>Functie</t>
  </si>
  <si>
    <t>Tarief</t>
  </si>
  <si>
    <t>Gespecialiseerde verpleging</t>
  </si>
  <si>
    <t>LG</t>
  </si>
  <si>
    <t>VG</t>
  </si>
  <si>
    <t>SOM</t>
  </si>
  <si>
    <t>PG</t>
  </si>
  <si>
    <t>ZG</t>
  </si>
  <si>
    <t>BG-IND</t>
  </si>
  <si>
    <t>Bedrag per week</t>
  </si>
  <si>
    <t>Zorg aan te vragen conform iWLZ</t>
  </si>
  <si>
    <t>Klasse</t>
  </si>
  <si>
    <t>Aanvraag akkoord?</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</si>
  <si>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</si>
  <si>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</si>
  <si>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</si>
  <si>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</si>
  <si>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</si>
  <si>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</si>
  <si>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</si>
  <si>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</si>
  <si>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</si>
  <si>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</si>
  <si>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</si>
  <si>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</si>
  <si>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</si>
  <si>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</si>
  <si>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</si>
  <si>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</si>
  <si>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</si>
  <si>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</si>
  <si>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</si>
  <si>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</si>
  <si>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</si>
  <si>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</si>
  <si>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</si>
  <si>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</si>
  <si>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</si>
  <si>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</si>
  <si>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</si>
  <si>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</si>
  <si>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</si>
  <si>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</si>
  <si>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</si>
  <si>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</si>
  <si>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</si>
  <si>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</si>
  <si>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</si>
  <si>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</si>
  <si>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</si>
  <si>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</si>
  <si>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</si>
  <si>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</si>
  <si>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</si>
  <si>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</si>
  <si>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</si>
  <si>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</si>
  <si>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</si>
  <si>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</si>
  <si>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</si>
  <si>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</si>
  <si>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</si>
  <si>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</si>
  <si>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</si>
  <si>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</si>
  <si>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</si>
  <si>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</si>
  <si>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</si>
  <si>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</si>
  <si>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</si>
  <si>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</si>
  <si>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</si>
  <si>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</si>
  <si>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</si>
  <si>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</si>
  <si>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</si>
  <si>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</si>
  <si>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</si>
  <si>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</si>
  <si>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</si>
  <si>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</si>
  <si>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</si>
  <si>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</si>
  <si>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</si>
  <si>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</si>
  <si>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</si>
  <si>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</si>
  <si>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</si>
  <si>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</si>
  <si>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</si>
  <si>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</si>
  <si>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</si>
  <si>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</si>
  <si>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</si>
  <si>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</si>
  <si>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</si>
  <si>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</si>
  <si>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</si>
  <si>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</si>
  <si>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</si>
  <si>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</si>
  <si>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wel</t>
  </si>
  <si>
    <t>Niet</t>
  </si>
  <si>
    <t>H820 Dagbehandeling VG kind midden</t>
  </si>
  <si>
    <t>H821 Dagbehandeling VG kind zwaar</t>
  </si>
  <si>
    <t>H822 Dagbehandeling VG kind gedrag</t>
  </si>
  <si>
    <t>H802 Dagbehandeling ouderen som en pg</t>
  </si>
  <si>
    <t>H817 Dagbehandeling VG kind emg</t>
  </si>
  <si>
    <t>H891 Dagbehandeling  LVG</t>
  </si>
  <si>
    <t>H104 Verpleging</t>
  </si>
  <si>
    <t>H128 Verpleging extra</t>
  </si>
  <si>
    <t>H126 Persoonlijke verzorging</t>
  </si>
  <si>
    <t>H120 Persoonlijke verzorging speciaal</t>
  </si>
  <si>
    <t>H300 Begeleiding</t>
  </si>
  <si>
    <t>H152 Begeleiding speciaal 1 (nah)</t>
  </si>
  <si>
    <t>H301 Begeleiding ZG visueel</t>
  </si>
  <si>
    <t>H302 Begeleiding speciaal 2 (visueel)</t>
  </si>
  <si>
    <t>H303 Begeleiding ZG auditief</t>
  </si>
  <si>
    <t>H304 Begeleiding speciaal 2 (auditief)</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</si>
  <si>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</si>
  <si>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</si>
  <si>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</si>
  <si>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</si>
  <si>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</si>
  <si>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</si>
  <si>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</si>
  <si>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</si>
  <si>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</si>
  <si>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</si>
  <si>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</si>
  <si>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</si>
  <si>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</si>
  <si>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</si>
  <si>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</si>
  <si>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</si>
  <si>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</si>
  <si>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</si>
  <si>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</si>
  <si>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</si>
  <si>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</si>
  <si>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</si>
  <si>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</si>
  <si>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</si>
  <si>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</si>
  <si>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</si>
  <si>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</si>
  <si>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</si>
  <si>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</si>
  <si>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</si>
  <si>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</si>
  <si>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</si>
  <si>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</si>
  <si>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</si>
  <si>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</si>
  <si>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</si>
  <si>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</si>
  <si>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</si>
  <si>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</si>
  <si>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</si>
  <si>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</si>
  <si>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</si>
  <si>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</si>
  <si>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</si>
  <si>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</si>
  <si>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</si>
  <si>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</si>
  <si>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</si>
  <si>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</si>
  <si>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</si>
  <si>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</si>
  <si>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</si>
  <si>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</si>
  <si>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</si>
  <si>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</si>
  <si>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</si>
  <si>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</si>
  <si>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</si>
  <si>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</si>
  <si>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</si>
  <si>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</si>
  <si>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</si>
  <si>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</si>
  <si>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</si>
  <si>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</si>
  <si>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</si>
  <si>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</si>
  <si>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</si>
  <si>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</si>
  <si>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</si>
  <si>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</si>
  <si>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</si>
  <si>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</si>
  <si>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</si>
  <si>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</si>
  <si>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</si>
  <si>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</si>
  <si>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</si>
  <si>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</si>
  <si>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</si>
  <si>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</si>
  <si>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</si>
  <si>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</si>
  <si>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</si>
  <si>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</si>
  <si>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</si>
  <si>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</si>
  <si>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</si>
  <si>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</si>
  <si>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</si>
  <si>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</si>
  <si>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Bereikbaarheid contactpersoon</t>
  </si>
  <si>
    <t xml:space="preserve">Wat is uw advies voor (overbruggings) zorg thuis als betrokken zorgprofessional? </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</si>
  <si>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</si>
  <si>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</si>
  <si>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</si>
  <si>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</si>
  <si>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</si>
  <si>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</si>
  <si>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</si>
  <si>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</si>
  <si>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</si>
  <si>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</si>
  <si>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</si>
  <si>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</si>
  <si>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</si>
  <si>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</si>
  <si>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</si>
  <si>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</si>
  <si>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</si>
  <si>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</si>
  <si>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</si>
  <si>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</si>
  <si>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</si>
  <si>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</si>
  <si>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</si>
  <si>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</si>
  <si>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</si>
  <si>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</si>
  <si>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</si>
  <si>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</si>
  <si>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</si>
  <si>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</si>
  <si>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Palliatief terminale zorg</t>
  </si>
  <si>
    <t>Meerzorg</t>
  </si>
  <si>
    <t>Extra budget voor behandeling</t>
  </si>
  <si>
    <t>Overig</t>
  </si>
  <si>
    <t>Vervolgactie na rekenmodule</t>
  </si>
  <si>
    <t>Zorg aanvragen via iWLZ, geen extra toestemming vereist</t>
  </si>
  <si>
    <t>Rekenmodule voorleggen aan Zorgkantoor</t>
  </si>
  <si>
    <t>betaalde arbeid</t>
  </si>
  <si>
    <t>Wlz indiceerbaar</t>
  </si>
  <si>
    <t>toeslag beademing</t>
  </si>
  <si>
    <t>Eerst zorgvraag invullen</t>
  </si>
  <si>
    <t>VV</t>
  </si>
  <si>
    <t>H337</t>
  </si>
  <si>
    <t>Z110</t>
  </si>
  <si>
    <t>Z280</t>
  </si>
  <si>
    <t>Klinisch Intensieve Behandeling</t>
  </si>
  <si>
    <t>Z560</t>
  </si>
  <si>
    <t>Z916</t>
  </si>
  <si>
    <t>Z917</t>
  </si>
  <si>
    <t>Z999</t>
  </si>
  <si>
    <t>Z1000</t>
  </si>
  <si>
    <t>Z1001</t>
  </si>
  <si>
    <t>Z1002</t>
  </si>
  <si>
    <t>Z1003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</si>
  <si>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</si>
  <si>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</si>
  <si>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</si>
  <si>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</si>
  <si>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</si>
  <si>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</si>
  <si>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</si>
  <si>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</si>
  <si>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</si>
  <si>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</si>
  <si>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</si>
  <si>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</si>
  <si>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</si>
  <si>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</si>
  <si>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</si>
  <si>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</si>
  <si>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</si>
  <si>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</si>
  <si>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</si>
  <si>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</si>
  <si>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</si>
  <si>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</si>
  <si>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</si>
  <si>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</si>
  <si>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</si>
  <si>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</si>
  <si>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</si>
  <si>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</si>
  <si>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</si>
  <si>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</si>
  <si>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</si>
  <si>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</si>
  <si>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</si>
  <si>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</si>
  <si>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</si>
  <si>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</si>
  <si>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</si>
  <si>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</si>
  <si>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</si>
  <si>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</si>
  <si>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</si>
  <si>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</si>
  <si>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</si>
  <si>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</si>
  <si>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</si>
  <si>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</si>
  <si>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</si>
  <si>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</si>
  <si>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</si>
  <si>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</si>
  <si>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</si>
  <si>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</si>
  <si>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</si>
  <si>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</si>
  <si>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</si>
  <si>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</si>
  <si>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</si>
  <si>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</si>
  <si>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</si>
  <si>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</si>
  <si>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</si>
  <si>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</si>
  <si>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</si>
  <si>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</si>
  <si>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</si>
  <si>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</si>
  <si>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</si>
  <si>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</si>
  <si>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</si>
  <si>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meerzorg</t>
  </si>
  <si>
    <t>Max uren +25%</t>
  </si>
  <si>
    <t>Uren geleverd</t>
  </si>
  <si>
    <t>Grensuren</t>
  </si>
  <si>
    <t>Totale inzet uren</t>
  </si>
  <si>
    <t>Gemiddeld uren uit het ZZP</t>
  </si>
  <si>
    <t>LET OP: inzet uren past binnen reguliere ZZP uren. Meerzorg niet toegestaan</t>
  </si>
  <si>
    <t>(uren *25%)</t>
  </si>
  <si>
    <t>verschil</t>
  </si>
  <si>
    <t>geen beh</t>
  </si>
  <si>
    <t>Geen Zin</t>
  </si>
  <si>
    <t>BH Pos</t>
  </si>
  <si>
    <t>Per dag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</si>
  <si>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</si>
  <si>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</si>
  <si>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</si>
  <si>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</si>
  <si>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</si>
  <si>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</si>
  <si>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</si>
  <si>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</si>
  <si>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</si>
  <si>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</si>
  <si>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</si>
  <si>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</si>
  <si>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</si>
  <si>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</si>
  <si>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</si>
  <si>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</si>
  <si>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</si>
  <si>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</si>
  <si>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</si>
  <si>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</si>
  <si>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</si>
  <si>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</si>
  <si>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</si>
  <si>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</si>
  <si>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</si>
  <si>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</si>
  <si>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</si>
  <si>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</si>
  <si>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</si>
  <si>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</si>
  <si>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</si>
  <si>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</si>
  <si>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</si>
  <si>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</si>
  <si>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</si>
  <si>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</si>
  <si>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</si>
  <si>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</si>
  <si>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</si>
  <si>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</si>
  <si>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</si>
  <si>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</si>
  <si>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</si>
  <si>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</si>
  <si>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</si>
  <si>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</si>
  <si>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</si>
  <si>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</si>
  <si>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</si>
  <si>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</si>
  <si>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</si>
  <si>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</si>
  <si>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</si>
  <si>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</si>
  <si>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</si>
  <si>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</si>
  <si>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</si>
  <si>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</si>
  <si>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</si>
  <si>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</si>
  <si>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</si>
  <si>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</si>
  <si>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</si>
  <si>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</si>
  <si>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</si>
  <si>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</si>
  <si>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</si>
  <si>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</si>
  <si>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</si>
  <si>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</si>
  <si>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</si>
  <si>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</si>
  <si>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</si>
  <si>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</si>
  <si>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</si>
  <si>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</si>
  <si>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</si>
  <si>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</si>
  <si>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</si>
  <si>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</si>
  <si>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</si>
  <si>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</si>
  <si>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</si>
  <si>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</si>
  <si>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</si>
  <si>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</si>
  <si>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</si>
  <si>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</si>
  <si>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</si>
  <si>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</si>
  <si>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</si>
  <si>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</si>
  <si>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</si>
  <si>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</si>
  <si>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</si>
  <si>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</si>
  <si>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</si>
  <si>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</si>
  <si>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</si>
  <si>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</si>
  <si>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</si>
  <si>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</si>
  <si>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</si>
  <si>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</si>
  <si>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</si>
  <si>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</si>
  <si>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</si>
  <si>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</si>
  <si>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</si>
  <si>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</si>
  <si>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</si>
  <si>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</si>
  <si>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</si>
  <si>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</si>
  <si>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</si>
  <si>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</si>
  <si>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</si>
  <si>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</si>
  <si>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</si>
  <si>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</si>
  <si>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</si>
  <si>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</si>
  <si>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</si>
  <si>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</si>
  <si>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</si>
  <si>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</si>
  <si>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</si>
  <si>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</si>
  <si>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</si>
  <si>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</si>
  <si>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</si>
  <si>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</si>
  <si>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</si>
  <si>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</si>
  <si>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</si>
  <si>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</si>
  <si>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</si>
  <si>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</si>
  <si>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</si>
  <si>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</si>
  <si>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</si>
  <si>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</si>
  <si>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</si>
  <si>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</si>
  <si>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</si>
  <si>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</si>
  <si>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</si>
  <si>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</si>
  <si>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</si>
  <si>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</si>
  <si>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</si>
  <si>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</si>
  <si>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</si>
  <si>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</si>
  <si>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</si>
  <si>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</si>
  <si>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</si>
  <si>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</si>
  <si>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</si>
  <si>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</si>
  <si>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</si>
  <si>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</si>
  <si>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</si>
  <si>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</si>
  <si>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</si>
  <si>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</si>
  <si>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</si>
  <si>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</si>
  <si>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</si>
  <si>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</si>
  <si>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</si>
  <si>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</si>
  <si>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</si>
  <si>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</si>
  <si>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</si>
  <si>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</si>
  <si>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</si>
  <si>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</si>
  <si>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</si>
  <si>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</si>
  <si>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</si>
  <si>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</si>
  <si>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</si>
  <si>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</si>
  <si>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</si>
  <si>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</si>
  <si>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</si>
  <si>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</si>
  <si>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</si>
  <si>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</si>
  <si>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</si>
  <si>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</si>
  <si>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</si>
  <si>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</si>
  <si>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</si>
  <si>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</si>
  <si>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</si>
  <si>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</si>
  <si>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</si>
  <si>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</si>
  <si>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</si>
  <si>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</si>
  <si>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</si>
  <si>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</si>
  <si>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</si>
  <si>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</si>
  <si>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</si>
  <si>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</si>
  <si>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</si>
  <si>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</si>
  <si>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</si>
  <si>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</si>
  <si>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</si>
  <si>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</si>
  <si>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</si>
  <si>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</si>
  <si>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</si>
  <si>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</si>
  <si>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</si>
  <si>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</si>
  <si>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</si>
  <si>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</si>
  <si>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</si>
  <si>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</si>
  <si>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</si>
  <si>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</si>
  <si>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</si>
  <si>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</si>
  <si>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</si>
  <si>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</si>
  <si>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</si>
  <si>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</si>
  <si>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</si>
  <si>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</si>
  <si>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</si>
  <si>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</si>
  <si>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</si>
  <si>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</si>
  <si>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</si>
  <si>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</si>
  <si>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</si>
  <si>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</si>
  <si>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</si>
  <si>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</si>
  <si>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</si>
  <si>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</si>
  <si>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</si>
  <si>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</si>
  <si>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</si>
  <si>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</si>
  <si>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</si>
  <si>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</si>
  <si>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</si>
  <si>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</si>
  <si>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</si>
  <si>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</si>
  <si>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</si>
  <si>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</si>
  <si>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</si>
  <si>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</si>
  <si>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</si>
  <si>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</si>
  <si>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Code</t>
  </si>
  <si>
    <t>NHC</t>
  </si>
  <si>
    <t>BRW totaal</t>
  </si>
  <si>
    <t>Onderbouwing beleidsregelwaarde per prestatie</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</si>
  <si>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</si>
  <si>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</si>
  <si>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</si>
  <si>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</si>
  <si>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</si>
  <si>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</si>
  <si>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</si>
  <si>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</si>
  <si>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</si>
  <si>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</si>
  <si>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</si>
  <si>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</si>
  <si>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</si>
  <si>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</si>
  <si>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</si>
  <si>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</si>
  <si>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</si>
  <si>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</si>
  <si>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</si>
  <si>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</si>
  <si>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</si>
  <si>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</si>
  <si>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</si>
  <si>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</si>
  <si>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</si>
  <si>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</si>
  <si>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</si>
  <si>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</si>
  <si>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</si>
  <si>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</si>
  <si>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</si>
  <si>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</si>
  <si>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</si>
  <si>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</si>
  <si>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</si>
  <si>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</si>
  <si>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</si>
  <si>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</si>
  <si>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</si>
  <si>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</si>
  <si>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</si>
  <si>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</si>
  <si>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</si>
  <si>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</si>
  <si>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</si>
  <si>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</si>
  <si>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</si>
  <si>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</si>
  <si>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</si>
  <si>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</si>
  <si>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</si>
  <si>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</si>
  <si>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</si>
  <si>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</si>
  <si>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</si>
  <si>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</si>
  <si>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</si>
  <si>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</si>
  <si>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</si>
  <si>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</si>
  <si>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</si>
  <si>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</si>
  <si>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</si>
  <si>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</si>
  <si>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</si>
  <si>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</si>
  <si>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</si>
  <si>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</si>
  <si>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</si>
  <si>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</si>
  <si>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</si>
  <si>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</si>
  <si>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</si>
  <si>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</si>
  <si>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</si>
  <si>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</si>
  <si>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</si>
  <si>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</si>
  <si>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</si>
  <si>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</si>
  <si>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</si>
  <si>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</si>
  <si>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</si>
  <si>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</si>
  <si>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</si>
  <si>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</si>
  <si>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</si>
  <si>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</si>
  <si>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</si>
  <si>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</si>
  <si>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</si>
  <si>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</si>
  <si>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</si>
  <si>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</si>
  <si>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</si>
  <si>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</si>
  <si>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</si>
  <si>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</si>
  <si>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</si>
  <si>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</si>
  <si>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</si>
  <si>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</si>
  <si>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</si>
  <si>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</si>
  <si>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</si>
  <si>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</si>
  <si>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</si>
  <si>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</si>
  <si>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</si>
  <si>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</si>
  <si>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</si>
  <si>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</si>
  <si>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</si>
  <si>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</si>
  <si>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</si>
  <si>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</si>
  <si>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</si>
  <si>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</si>
  <si>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</si>
  <si>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</si>
  <si>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</si>
  <si>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</si>
  <si>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</si>
  <si>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</si>
  <si>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</si>
  <si>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</si>
  <si>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</si>
  <si>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</si>
  <si>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</si>
  <si>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</si>
  <si>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</si>
  <si>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</si>
  <si>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</si>
  <si>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</si>
  <si>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</si>
  <si>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</si>
  <si>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</si>
  <si>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</si>
  <si>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</si>
  <si>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 xml:space="preserve">Crisisopvang/spoedzorg lvg </t>
  </si>
  <si>
    <t>Logeren ghz-vg</t>
  </si>
  <si>
    <t>Logeren ghz-lg</t>
  </si>
  <si>
    <t>Logeren ghz-lvg</t>
  </si>
  <si>
    <t>Logeren ghz-zg</t>
  </si>
  <si>
    <t>Logeren vv</t>
  </si>
  <si>
    <t>Dagbesteding vg licht (vg1-vg4)</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</si>
  <si>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</si>
  <si>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</si>
  <si>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</si>
  <si>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</si>
  <si>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</si>
  <si>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</si>
  <si>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</si>
  <si>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</si>
  <si>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</si>
  <si>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</si>
  <si>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</si>
  <si>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</si>
  <si>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</si>
  <si>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</si>
  <si>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</si>
  <si>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</si>
  <si>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</si>
  <si>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</si>
  <si>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</si>
  <si>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</si>
  <si>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</si>
  <si>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ZZP's</t>
  </si>
  <si>
    <t>Dagbesteding apart?</t>
  </si>
  <si>
    <t>Verblijf2</t>
  </si>
  <si>
    <t>BHind</t>
  </si>
  <si>
    <t>VPT2</t>
  </si>
  <si>
    <t>VolPT2</t>
  </si>
  <si>
    <t>Vul weekbedrag PGB in:</t>
  </si>
  <si>
    <t>Vervoer</t>
  </si>
  <si>
    <t>Dag</t>
  </si>
  <si>
    <t>Totale zorg</t>
  </si>
  <si>
    <t>PGB bedrag</t>
  </si>
  <si>
    <t>PGB</t>
  </si>
  <si>
    <t>Totaal ingezette zorg</t>
  </si>
  <si>
    <t>Datum aanvraag</t>
  </si>
  <si>
    <t>Opname</t>
  </si>
  <si>
    <t>Opname2</t>
  </si>
  <si>
    <t>F125 Dagbesteding lza</t>
  </si>
  <si>
    <t>H106 Verpleging speciaal</t>
  </si>
  <si>
    <t>H117 Huishoudelijke hulp</t>
  </si>
  <si>
    <t>H120 Pv Speciaal</t>
  </si>
  <si>
    <t>H127 Pv incl. beschikbaarheid</t>
  </si>
  <si>
    <t>H128 Verpleging incl. beschikbaarheid</t>
  </si>
  <si>
    <t>H301 Begeleiding zg visueel</t>
  </si>
  <si>
    <t>H303 Begeleiding zg auditief</t>
  </si>
  <si>
    <t>H321 Reiskosten prestaties behandeling (H325 t/m H331 en H334 t/m H336)</t>
  </si>
  <si>
    <t>H332 Behandeling zg visueel</t>
  </si>
  <si>
    <t>H333 Behandeling zg auditief</t>
  </si>
  <si>
    <t>H334 Behandeling IOG (j)lvg</t>
  </si>
  <si>
    <t>H337 Reiskosten prestatie behandeling (H332 en H333)</t>
  </si>
  <si>
    <t>H800 Dagbesteding somatisch  ondersteunend</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</si>
  <si>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</si>
  <si>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</si>
  <si>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</si>
  <si>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</si>
  <si>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</si>
  <si>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</si>
  <si>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</si>
  <si>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</si>
  <si>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</si>
  <si>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</si>
  <si>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</si>
  <si>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</si>
  <si>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</si>
  <si>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</si>
  <si>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</si>
  <si>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</si>
  <si>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</si>
  <si>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</si>
  <si>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</si>
  <si>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</si>
  <si>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</si>
  <si>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</si>
  <si>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</si>
  <si>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</si>
  <si>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</si>
  <si>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</si>
  <si>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</si>
  <si>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</si>
  <si>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</si>
  <si>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</si>
  <si>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</si>
  <si>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</si>
  <si>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</si>
  <si>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</si>
  <si>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</si>
  <si>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</si>
  <si>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</si>
  <si>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t>EKT</t>
  </si>
  <si>
    <t>Extra kosten thuis</t>
  </si>
  <si>
    <t>Beademing</t>
  </si>
  <si>
    <t xml:space="preserve"> Totaal jaarbasis</t>
  </si>
  <si>
    <t>Totaal weekbasis</t>
  </si>
  <si>
    <t>Doelmatig</t>
  </si>
  <si>
    <t>Persoon met SOM, LG en/of ZG beperking met betaalde arbeid of die opleiding/studie volgt</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</si>
  <si>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</si>
  <si>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</si>
  <si>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</si>
  <si>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</si>
  <si>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</si>
  <si>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</si>
  <si>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</si>
  <si>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</si>
  <si>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</si>
  <si>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t>4.</t>
  </si>
  <si>
    <t>5.</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</si>
  <si>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</si>
  <si>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</si>
  <si>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</si>
  <si>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</si>
  <si>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</si>
  <si>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</si>
  <si>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</si>
  <si>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</si>
  <si>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</si>
  <si>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</si>
  <si>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</si>
  <si>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</si>
  <si>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</si>
  <si>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</si>
  <si>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</si>
  <si>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</si>
  <si>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</si>
  <si>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</si>
  <si>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</si>
  <si>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</si>
  <si>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</si>
  <si>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</si>
  <si>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</si>
  <si>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</si>
  <si>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</si>
  <si>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</si>
  <si>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</si>
  <si>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</si>
  <si>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</si>
  <si>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</si>
  <si>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</si>
  <si>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</si>
  <si>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</si>
  <si>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</si>
  <si>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</si>
  <si>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</si>
  <si>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</si>
  <si>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</si>
  <si>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</si>
  <si>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</si>
  <si>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</si>
  <si>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</si>
  <si>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Loon</t>
  </si>
  <si>
    <t>Materieel</t>
  </si>
  <si>
    <t>Dagbesteding vg zwaar (vg8)</t>
  </si>
  <si>
    <t>VPT EX behandeling</t>
  </si>
  <si>
    <t>VPT incl behandeling</t>
  </si>
  <si>
    <t>Profiel</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</si>
  <si>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</si>
  <si>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</si>
  <si>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</si>
  <si>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</si>
  <si>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</si>
  <si>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</si>
  <si>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</si>
  <si>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</si>
  <si>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 xml:space="preserve">Z560 Crisisopvang/spoedzorg lvg </t>
  </si>
  <si>
    <t>Z280 Klinisch Intensieve Behandeling</t>
  </si>
  <si>
    <t>Z999 Logeren ghz-vg</t>
  </si>
  <si>
    <t>Z1000 Logeren ghz-lg</t>
  </si>
  <si>
    <t>Z1001 Logeren ghz-lvg</t>
  </si>
  <si>
    <t>Z1002 Logeren ghz-zg</t>
  </si>
  <si>
    <t>Z1003 Logeren vv</t>
  </si>
  <si>
    <t>Ja; Extra kosten thuis</t>
  </si>
  <si>
    <t>Lijst4</t>
  </si>
  <si>
    <t>lijst4</t>
  </si>
  <si>
    <t>Ruimte ZZP</t>
  </si>
  <si>
    <t>Ruimte behandeling</t>
  </si>
  <si>
    <t>Ruimte EKT</t>
  </si>
  <si>
    <t>Uitgegeven</t>
  </si>
  <si>
    <t>ZIN EXCL BH</t>
  </si>
  <si>
    <t>Totaal uitgegeven</t>
  </si>
  <si>
    <t>Ruimte minus uitgegeven</t>
  </si>
  <si>
    <t>Totaal ruimte</t>
  </si>
  <si>
    <t>Uitgegeven minus ruimte</t>
  </si>
  <si>
    <t>ZIN BH</t>
  </si>
  <si>
    <t>Indien B137 "restant" is, geldt de regel dat de ruimte voor behandeling alleen voor behandeling ingezet wordt. Dus wordt de rekenmethode anders</t>
  </si>
  <si>
    <t>Is behandeling-INZET meer dan de ruimte?</t>
  </si>
  <si>
    <t>Is er sprake EKT?</t>
  </si>
  <si>
    <t>Etmalen deeltijd verblijf</t>
  </si>
  <si>
    <t>Aantal etmalen  verblijf p/w</t>
  </si>
  <si>
    <t>Logeren icm MPT</t>
  </si>
  <si>
    <t>Aan te vragen deel verblijf</t>
  </si>
  <si>
    <t>Aantal etmalen verblijf</t>
  </si>
  <si>
    <t>Tarief per week vbl</t>
  </si>
  <si>
    <t>Tarief MPT/PGB</t>
  </si>
  <si>
    <t>WEEK</t>
  </si>
  <si>
    <t>DAG</t>
  </si>
  <si>
    <t>Verblijfdeel</t>
  </si>
  <si>
    <t>MPT/PGB deel</t>
  </si>
  <si>
    <t>Totaal week</t>
  </si>
  <si>
    <t>EKT bij DTV</t>
  </si>
  <si>
    <t>EKT bij Logeren</t>
  </si>
  <si>
    <t>Ruimte BH</t>
  </si>
  <si>
    <t>BH bij DTV</t>
  </si>
  <si>
    <t>BH bij Logeren</t>
  </si>
  <si>
    <t>Aan te vragen Logeren</t>
  </si>
  <si>
    <t>LVG</t>
  </si>
  <si>
    <t>Sector</t>
  </si>
  <si>
    <t>Vb</t>
  </si>
  <si>
    <t>UD</t>
  </si>
  <si>
    <t>IS</t>
  </si>
  <si>
    <t>Bedrag logeren</t>
  </si>
  <si>
    <t>Bedrag MPT</t>
  </si>
  <si>
    <t xml:space="preserve">Totaal week </t>
  </si>
  <si>
    <t>DTV</t>
  </si>
  <si>
    <t>9VV</t>
  </si>
  <si>
    <t>1ZGAUD</t>
  </si>
  <si>
    <t>4ZGAUD</t>
  </si>
  <si>
    <t>2ZGAUD</t>
  </si>
  <si>
    <t>3ZGAUD</t>
  </si>
  <si>
    <t>1ZGVIS</t>
  </si>
  <si>
    <t>2ZGVIS</t>
  </si>
  <si>
    <t>3ZGVIS</t>
  </si>
  <si>
    <t>4ZGVIS</t>
  </si>
  <si>
    <t>5ZGVIS</t>
  </si>
  <si>
    <t>Deelrijd verblijf icm MPT</t>
  </si>
  <si>
    <t>D041</t>
  </si>
  <si>
    <t>D051</t>
  </si>
  <si>
    <t>D061</t>
  </si>
  <si>
    <t>D071</t>
  </si>
  <si>
    <t>D081</t>
  </si>
  <si>
    <t>D031 DTV 3VV</t>
  </si>
  <si>
    <t>D041 DTV 4VV</t>
  </si>
  <si>
    <t>D051 DTV 5VV</t>
  </si>
  <si>
    <t>D061 DTV 6VV</t>
  </si>
  <si>
    <t>D071 DTV 7VV</t>
  </si>
  <si>
    <t>D081 DTV 8VV</t>
  </si>
  <si>
    <t>D430</t>
  </si>
  <si>
    <t>D440</t>
  </si>
  <si>
    <t>D454</t>
  </si>
  <si>
    <t>D460</t>
  </si>
  <si>
    <t>D470</t>
  </si>
  <si>
    <t>D480</t>
  </si>
  <si>
    <t>D430 DTV 3VG</t>
  </si>
  <si>
    <t>D440 DTV 4VG</t>
  </si>
  <si>
    <t>D454 DTV 5VG</t>
  </si>
  <si>
    <t>D460 DTV 6VG</t>
  </si>
  <si>
    <t>D470 DTV 7VG</t>
  </si>
  <si>
    <t>D480 DTV 8VG</t>
  </si>
  <si>
    <t>D624</t>
  </si>
  <si>
    <t>D640</t>
  </si>
  <si>
    <t>D650</t>
  </si>
  <si>
    <t>D660</t>
  </si>
  <si>
    <t>D670</t>
  </si>
  <si>
    <t>D624 DTV 2LG</t>
  </si>
  <si>
    <t>D640 DTV 4LG</t>
  </si>
  <si>
    <t>D650 DTV 5LG</t>
  </si>
  <si>
    <t>D670 DTV 7LG</t>
  </si>
  <si>
    <t>D710 DTV ZGaud1</t>
  </si>
  <si>
    <t>D720 DTV ZGaud2</t>
  </si>
  <si>
    <t>D730</t>
  </si>
  <si>
    <t>D730 DTV ZGaud3</t>
  </si>
  <si>
    <t>D740 DTV Zgaud4</t>
  </si>
  <si>
    <t>D660 DTV 6LG</t>
  </si>
  <si>
    <t>D824</t>
  </si>
  <si>
    <t>D830</t>
  </si>
  <si>
    <t>D840</t>
  </si>
  <si>
    <t>D850</t>
  </si>
  <si>
    <t>D814 DTV ZGvis1</t>
  </si>
  <si>
    <t>D824 DTV ZGvis2</t>
  </si>
  <si>
    <t>D830 DTV ZGvis3</t>
  </si>
  <si>
    <t>D840 DTV ZGvis4</t>
  </si>
  <si>
    <t>D850 DTV ZGvis5</t>
  </si>
  <si>
    <t>Deeltijd_verblijf</t>
  </si>
  <si>
    <t>D720</t>
  </si>
  <si>
    <t>D740</t>
  </si>
  <si>
    <t>Komt het profiel voor in PGB range met DB?</t>
  </si>
  <si>
    <t>Per jaar</t>
  </si>
  <si>
    <t>Dagbestedingdeel</t>
  </si>
  <si>
    <t>Deeltijd verblijf icm zorg thuis</t>
  </si>
  <si>
    <t>incl vervoer</t>
  </si>
  <si>
    <t>VBL</t>
  </si>
  <si>
    <t>AGB</t>
  </si>
  <si>
    <t>Let op: Overschrijding ivm duurdere dagbesteding:</t>
  </si>
  <si>
    <t>Let op: Overschrijding ivm duurdere behandeling</t>
  </si>
  <si>
    <t>bedrag incl EKT:</t>
  </si>
  <si>
    <t>LET OP: Verblijf moet 7 etmalen bevatten of keuze DTV!</t>
  </si>
  <si>
    <t>100%, hiermee worden toewijspercentages berekend</t>
  </si>
  <si>
    <t>Leveringsvorm</t>
  </si>
  <si>
    <t>H118</t>
  </si>
  <si>
    <t>H138</t>
  </si>
  <si>
    <t>H139</t>
  </si>
  <si>
    <t>H306</t>
  </si>
  <si>
    <t xml:space="preserve">H138 Thuiszorgtechnologie ten behoeve van persoonlijke verzorging </t>
  </si>
  <si>
    <t>H139 Thuiszorgtechnologie ten behoeve van verpleging</t>
  </si>
  <si>
    <t>H118 Verpleging speciaal aan kinderen tot 18 jaar incl. beschikbaarheid</t>
  </si>
  <si>
    <t>H306 Thuiszorgtechnologie ten behoeve van begeleiding</t>
  </si>
  <si>
    <t>ADVIES ZORGAANBIEDER VERANTWOORD THUIS VPT/MPT, EVENTUEEL IN COMBINATIE MET DTV</t>
  </si>
  <si>
    <t>Regulier VPT of MPT, eventueel in combinatie met DTV is verantwoord</t>
  </si>
  <si>
    <t>Regulier VPT of MPT, eventueel in combinatie met DTV is niet verantwoord</t>
  </si>
  <si>
    <t>Overbruggingszorg thuis, eventueel in combinatie met DTV  tot opname is verantwoord</t>
  </si>
  <si>
    <t>Overbruggingszorg thuis, eventueel in combinatie met DTV tot opname is niet verantwoord</t>
  </si>
  <si>
    <t>Ja, thuiswonend kind met ontwikkelperspectief</t>
  </si>
  <si>
    <t>7.</t>
  </si>
  <si>
    <t>Er zijn geen mobiliteitshulmiddelen of woningaanpassingen nodig</t>
  </si>
  <si>
    <t>Ja, dit is georganiseerd</t>
  </si>
  <si>
    <t xml:space="preserve">9. </t>
  </si>
  <si>
    <t>8.</t>
  </si>
  <si>
    <t>Nee, er is geen sprake van onvrijwillige zorg</t>
  </si>
  <si>
    <t>Toelichting</t>
  </si>
  <si>
    <t>Zijn de noodzakelijke mobiliteitshulpmiddelen en woningaanpassingen thuis (en bij deeltijd verblijf ook in een instelling) georganiseerd?</t>
  </si>
  <si>
    <t>Nee, dit is nog niet georganiseerd. (toelichten)</t>
  </si>
  <si>
    <t>Is er sprake van onvrijwillige zorg in het kader van de Wet zorg en dwang?</t>
  </si>
  <si>
    <t>Ja , er is sprake van onvrijwillige zorg (toelichten)</t>
  </si>
  <si>
    <t xml:space="preserve">         Ruimte voor zorg in natura</t>
  </si>
  <si>
    <t>Doelmatigheidsbedrag DTV en zorg thuis samen</t>
  </si>
  <si>
    <t>A. Werkwijze inclusief veranderingen ten opzichte van huidige versie i.v.m DTV</t>
  </si>
  <si>
    <t xml:space="preserve">1. In de rekenmodule iWlz  is bij Aan te vragen zorg  nu "Deeltijd verblijf icm zorg thuis" toegevoegd </t>
  </si>
  <si>
    <r>
      <t>2.</t>
    </r>
    <r>
      <rPr>
        <sz val="7"/>
        <color theme="1"/>
        <rFont val="Times New Roman"/>
        <family val="1"/>
      </rPr>
      <t> </t>
    </r>
    <r>
      <rPr>
        <sz val="11"/>
        <color theme="1"/>
        <rFont val="Calibri"/>
        <family val="2"/>
        <scheme val="minor"/>
      </rPr>
      <t xml:space="preserve">Als voor deeltijdverblijf gekozen wordt, dan wordt het totale doelmatigheidsbedrag weergegeven voor het totaal aan DTV en zorg thuis. De doelmatigheid DTV wordt getoetst tegen deze totale ruimte. Deze ruimte is afhankelijk van de verdeling van het aantal etmalen DTV en zorg thuis (3 ½, 4, 4 ½). </t>
    </r>
  </si>
  <si>
    <t>3. De rekenmodule toont het 100% basisbudget voor zorg thuis. Dit wordt voor DTV gebruikt om de aan te vragen percentages te berekenen. Zowel DTV als de zorg thuis wordt uitgedrukt als percentage van het reguliere basisbudget voor zorg thuis (MPT/pgb budget).</t>
  </si>
  <si>
    <t>4. De rekenmodule toont de verdeling van percentages over de betrokken AGB codes en over de zorgtoewijzing Opname Ja en Opname Nee.</t>
  </si>
  <si>
    <t>5. De aanbieder die de zorg thuis levert krijgt het percentage toegewezen voor de zorg thuis (DTV opname Nee). De aanbieder die het verblijf levert, krijgt de toewijzing voor verblijf (DTV opname Ja). Als 1 aanbieder zowel de zorg thuis als het verblijf levert (bijv. week op week af bij zelfde aanbieder) dan krijgt de verblijfsaanbieder het totale percentage toegewezen via DTV opname Ja.  Vanuit de toewijzing DTV opname Ja levert de verblijfsaanbieder ook de zorg thuis.</t>
  </si>
  <si>
    <t>6. De rekenmodule toont of de kosten van BH, BHGRP en/of BGGRP het basisbudget voor BH en BGGRP overschrijdt. Hiermee kan gecontroleerd worden of de overschrijding van EKT aangevraagd kan worden als maatwerktoeslag "Overig - Extra Behandeling" of dat meerzorg aangevraagd moet worden. Het basisbudget BGGRP komt uit de PGB tarieventabel.</t>
  </si>
  <si>
    <t>B. Rekenregels alle leveringsvormen</t>
  </si>
  <si>
    <r>
      <t>1.</t>
    </r>
    <r>
      <rPr>
        <sz val="7"/>
        <color theme="1"/>
        <rFont val="Times New Roman"/>
        <family val="1"/>
      </rPr>
      <t xml:space="preserve">       </t>
    </r>
    <r>
      <rPr>
        <sz val="11"/>
        <color theme="1"/>
        <rFont val="Calibri"/>
        <family val="2"/>
        <scheme val="minor"/>
      </rPr>
      <t xml:space="preserve">Per leveringsvorm Verblijf, VPT, MPT /PGB toont de rekenmodule of er sprake is van (on)doelmatige zorg. </t>
    </r>
  </si>
  <si>
    <r>
      <t>a.</t>
    </r>
    <r>
      <rPr>
        <sz val="7"/>
        <color theme="1"/>
        <rFont val="Times New Roman"/>
        <family val="1"/>
      </rPr>
      <t xml:space="preserve">       </t>
    </r>
    <r>
      <rPr>
        <sz val="11"/>
        <color theme="1"/>
        <rFont val="Calibri"/>
        <family val="2"/>
        <scheme val="minor"/>
      </rPr>
      <t xml:space="preserve">Verblijf: percentages worden berekend op basis van het ZZP tarief incl. BG incl. BH (tarieven uit NZa beleidsregel ZZP). Toeslagen worden niet via iWlz aangevraagd, en niet in percentage berekend. Percentages worden alleen gebruikt om aan te geven dat er verdeling is over verblijf en dagbesteding. Voor verblijf is er geen toetsing op doelmatigheid. </t>
    </r>
  </si>
  <si>
    <r>
      <t>b.</t>
    </r>
    <r>
      <rPr>
        <sz val="7"/>
        <color theme="1"/>
        <rFont val="Times New Roman"/>
        <family val="1"/>
      </rPr>
      <t xml:space="preserve">      </t>
    </r>
    <r>
      <rPr>
        <sz val="11"/>
        <color theme="1"/>
        <rFont val="Calibri"/>
        <family val="2"/>
        <scheme val="minor"/>
      </rPr>
      <t>VPT : het VPT tarief incl. BGG incl. BH (tarieven uit NZa beleidsregel VPT). Toeslagen worden niet via iWlz aangevraagd, en niet in percentage berekend.</t>
    </r>
  </si>
  <si>
    <r>
      <t>c.</t>
    </r>
    <r>
      <rPr>
        <sz val="7"/>
        <color theme="1"/>
        <rFont val="Times New Roman"/>
        <family val="1"/>
      </rPr>
      <t xml:space="preserve">       </t>
    </r>
    <r>
      <rPr>
        <sz val="11"/>
        <color theme="1"/>
        <rFont val="Calibri"/>
        <family val="2"/>
        <scheme val="minor"/>
      </rPr>
      <t>DTV: de totale ruimte voor DTV wordt als volgt berekend. Het DTV tarief maal het aantal etmalen DTV, plus  het pgb tarief (incl vervoer) maal het aantal etmalen thuis. Het DTV tarief is altijd exclusief BH. Voor de V&amp;V zijn de DTV prestaties inclusief BGGRP. Alle BH (V&amp;V en GZ) en de BGGRP (GZ), ook tijdens het verblijf, wordt als zorg thuis gedeclareerd. En wordt niet gecorrigeerd voor het aantal etmalen thuis. De ruimte voor BH is hetzelfde als voor MPT en VPT. Het basisbudget voor BGGRP (GZ) komt uit de ZZPtabel voor pgb en is gelijk aan de pgb ruimte voor BGGRP. Zie ook punt 6. hierboven.</t>
    </r>
  </si>
  <si>
    <r>
      <t>d.</t>
    </r>
    <r>
      <rPr>
        <sz val="7"/>
        <color theme="1"/>
        <rFont val="Times New Roman"/>
        <family val="1"/>
      </rPr>
      <t xml:space="preserve">       </t>
    </r>
    <r>
      <rPr>
        <sz val="11"/>
        <color theme="1"/>
        <rFont val="Calibri"/>
        <family val="2"/>
        <scheme val="minor"/>
      </rPr>
      <t>MPT/pgb: het pgb tarief incl. vervoer (PGB tarieven per ZZP uit ZINL tabel). Dus zonder BH.</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</si>
  <si>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bijzondere situaties die deelbaar zijn over meerdere aanbieders en/of over MPT en pgb.</t>
    </r>
  </si>
  <si>
    <r>
      <t xml:space="preserve">a. </t>
    </r>
    <r>
      <rPr>
        <sz val="11"/>
        <color theme="1"/>
        <rFont val="Calibri"/>
        <family val="2"/>
        <scheme val="minor"/>
      </rPr>
      <t>Verblijf en VPT:  geen extra budget van toepassing. 100% is maximum percentage.</t>
    </r>
  </si>
  <si>
    <r>
      <t>b.</t>
    </r>
    <r>
      <rPr>
        <sz val="11"/>
        <color theme="1"/>
        <rFont val="Times New Roman"/>
        <family val="1"/>
      </rPr>
      <t> </t>
    </r>
    <r>
      <rPr>
        <sz val="11"/>
        <color theme="1"/>
        <rFont val="Calibri"/>
        <family val="2"/>
        <scheme val="minor"/>
      </rPr>
      <t>DTV: extra budget wordt alleen berekend over het zorg thuis deel en niet over het DTV deel. Voor zorg thuis gelden dezelfde bijzondere situaties (extra budget) als voor MPT</t>
    </r>
  </si>
  <si>
    <t>c. MPT: EKT, PTZ, invasieve en noninvasieve beademing, meerzorg, (extra) BH, GVP, Overig. BH mag niet gedeeld worden met pgb. Zie verder het Voorschrift voor de werkwijze rondom toeslagen thuis inclusief de 2 nieuwe maatwerktoeslagen ivm dure BGGRP, BH en BHGRP</t>
  </si>
  <si>
    <r>
      <t xml:space="preserve">d. MPT/Pgb combinatie:  EKT, PTZ, invasieve en noninvasieve beademing, meerzorg,  </t>
    </r>
    <r>
      <rPr>
        <sz val="11"/>
        <color rgb="FF000000"/>
        <rFont val="Calibri"/>
        <family val="2"/>
        <scheme val="minor"/>
      </rPr>
      <t>GVP, Overig</t>
    </r>
    <r>
      <rPr>
        <sz val="11"/>
        <color theme="1"/>
        <rFont val="Calibri"/>
        <family val="2"/>
        <scheme val="minor"/>
      </rPr>
      <t>.  Zie verder het Voorschrift voor de werkwijze rondom toeslagen thuis inclusief de 2 nieuwe maatwerktoeslagen ivm dure BGGRP, BH en BHGRP. De toeslagen Woontoeslag, Persoonlijk assistentiebudget, kleinschalige woonvoorziening worden niet meegenomen in de pgb ruimte</t>
    </r>
  </si>
  <si>
    <r>
      <t>b.</t>
    </r>
    <r>
      <rPr>
        <sz val="7"/>
        <color theme="1"/>
        <rFont val="Calibri"/>
        <family val="2"/>
        <scheme val="minor"/>
      </rPr>
      <t>      </t>
    </r>
    <r>
      <rPr>
        <sz val="11"/>
        <color theme="1"/>
        <rFont val="Calibri"/>
        <family val="2"/>
        <scheme val="minor"/>
      </rPr>
      <t>DTV: de</t>
    </r>
    <r>
      <rPr>
        <sz val="7"/>
        <color theme="1"/>
        <rFont val="Calibri"/>
        <family val="2"/>
        <scheme val="minor"/>
      </rPr>
      <t xml:space="preserve"> </t>
    </r>
    <r>
      <rPr>
        <sz val="11"/>
        <color theme="1"/>
        <rFont val="Calibri"/>
        <family val="2"/>
        <scheme val="minor"/>
      </rPr>
      <t>aparte toeslagprestaties die bovenop het standaardtarief DTV gedeclareerd kunnen worden. Bijv. vervoer, meerzorg</t>
    </r>
  </si>
  <si>
    <t>c.      MPT:  geen uitzondering. BH en ademhalingsondersteuning zijn meegenomen in percentage omdat ze deelbaar zijn over meerdere aanbieders.</t>
  </si>
  <si>
    <r>
      <t>d.</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</si>
  <si>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t>4. Voor alle in de rekenmodule gebruikte NZa tarieven rekent de rekenmodule met 97% van het landelijk tarief.</t>
  </si>
  <si>
    <t>5. Voor DTV toont de rekenmodule alle NZa prestaties die als DTV gedeclareerd mogen worden (NZa beleidsregel ZZP). Deze prestaties zijn altijd excl BGG en excl BH. De zorg thuis en alle BGGRP en BH wordt altijd gedeclareerd als extramurale prestaties (beleidsregel modulaire zorg), ook de BGGRP en BH die tijdens het verblijf gedeclareerd.  Deze zijn onderdeel van MPT (BGGRP, BH en BHGRP) en pgb (alleen BGGRP) percentage.</t>
  </si>
  <si>
    <r>
      <t>6.</t>
    </r>
    <r>
      <rPr>
        <sz val="7"/>
        <color theme="1"/>
        <rFont val="Times New Roman"/>
        <family val="1"/>
      </rPr>
      <t> </t>
    </r>
    <r>
      <rPr>
        <sz val="11"/>
        <color theme="1"/>
        <rFont val="Calibri"/>
        <family val="2"/>
        <scheme val="minor"/>
      </rPr>
      <t xml:space="preserve">Voor alle leveringsvormen wordt voor de berekening van het percentage uitgegaan van 100% van het basisbudget behorend bij het geïndiceerde ZZP, en dus niet van het sectorvreemde ZZP.  </t>
    </r>
  </si>
  <si>
    <t>7. Het budget dat extra beschikbaar is voor BH naast zorg thuis en DTV is gemaximeerd op het verschil tussen het tarief voor het VPT inclusief BH minus het tarief voor het VPT exclusief BH. Betreft de VPT tarieven excl dagbesteding (NZa beleidsregel VPT).</t>
  </si>
  <si>
    <t>8. De EKT wordt berekend over het basisbudget voor zorg thuis (exclusief BH). Indien er BH (altijd natura) wordt geleverd, dan wordt EKT ook over het BH budget berekend. Het maximale percentage EKT  over het basisbudget is 125% (excl BH). Voor DTV wordt de EKT berekend over het basisbudget voor het zorg thuis deel, dus inclusief het weekbudget voor BH en BGGRP.</t>
  </si>
  <si>
    <t>8. De hoogte van de toeslagen invasieve en non-invasieve ademhalingsondersteuning voor zorg thuis zijn gemaximeerd op de intramurale toeslag invasieve of noninvasieve ademhalingsondersteuning (NZa beleidsregels ZZP).</t>
  </si>
  <si>
    <t xml:space="preserve">9. Er zijn 3 afwijkingen tussen berekenen van doelmatigheid in de rekenmodule en bij de monitoring achteraf van de totale gedeclareerde kosten van zorg thuis. Vervoer wordt (nog) niet meegenomen in het percentage in de rekenmodule. Dit geldt ook voor het extra etmaal logeren dat op vertrekdatum mag worden gedeclareerd, en ook voor  de dagbesteding die in specifieke gevallen bovenop het logeren mag worden gedeclareerd. Hierdoor kunnen percentages afwijken van werkelijke kosten. </t>
  </si>
  <si>
    <t>GGZ</t>
  </si>
  <si>
    <t>1GGZ-W</t>
  </si>
  <si>
    <t>2GGZ-W</t>
  </si>
  <si>
    <t>3GGZ-W</t>
  </si>
  <si>
    <t>4GGZ-W</t>
  </si>
  <si>
    <t>5GGZ-W</t>
  </si>
  <si>
    <t>Z492</t>
  </si>
  <si>
    <t>Crisiszorg ghz - categorie licht</t>
  </si>
  <si>
    <t>Z493</t>
  </si>
  <si>
    <t>Crisiszorg ghz - categorie midden</t>
  </si>
  <si>
    <t>Z494</t>
  </si>
  <si>
    <t>Crisiszorg ghz - categorie zwaar</t>
  </si>
  <si>
    <t>Z1004</t>
  </si>
  <si>
    <t>H001G</t>
  </si>
  <si>
    <t>Dagbesteding ggz wonen-1</t>
  </si>
  <si>
    <t>H002G</t>
  </si>
  <si>
    <t>Dagbesteding ggz wonen-2</t>
  </si>
  <si>
    <t>H003G</t>
  </si>
  <si>
    <t>Dagbesteding ggz wonen-3</t>
  </si>
  <si>
    <t>H004G</t>
  </si>
  <si>
    <t>Dagbesteding ggz wonen-4</t>
  </si>
  <si>
    <t>H005G</t>
  </si>
  <si>
    <t>Dagbesteding ggz wonen-5</t>
  </si>
  <si>
    <t>H005G Dagbesteding ggz wonen-5</t>
  </si>
  <si>
    <t>H004G Dagbesteding ggz wonen-4</t>
  </si>
  <si>
    <t>H003G Dagbesteding ggz wonen-3</t>
  </si>
  <si>
    <t>H002G Dagbesteding ggz wonen-2</t>
  </si>
  <si>
    <t>H001G Dagbesteding ggz wonen-1</t>
  </si>
  <si>
    <t>Z1004 Logeren GGZ wonen</t>
  </si>
  <si>
    <t>Z494 Crisiszorg ghz - categorie zwaar</t>
  </si>
  <si>
    <t>Z493 Crisiszorg ghz - categorie midden</t>
  </si>
  <si>
    <t>ZZP 1 ggz wonen met intensieve begeleiding incl. BH excl. DB (integraal bekostigingsmodel)</t>
  </si>
  <si>
    <t>ZZP 2 ggz wonen met intensieve begeleiding en verzorging incl. BH excl. DB  (integraal bekostigingsmodel)</t>
  </si>
  <si>
    <t>ZZP 3 ggz wonen met intensieve begeleiding en gedragsregulering incl. BH excl. DB  (integraal bekostigingsmodel)</t>
  </si>
  <si>
    <t>ZZP 4 ggz wonen met intensieve begeleiding en intensieve verpleging en verzorging incl. BH excl. DB  (integraal bekostigingsmodel)</t>
  </si>
  <si>
    <t>ZZP 5 ggz beveiligd wonen vanwege extreme gedragsproblematiek met zeer intensieve begeleiding incl. BH excl. DB  (integraal bekostigingsmodel)</t>
  </si>
  <si>
    <t>ZZP 1 ggz wonen met intensieve begeleiding incl. BH incl. DB  (integraal bekostigingsmodel)</t>
  </si>
  <si>
    <t>ZZP 2 ggz wonen met intensieve begeleiding en verzorging incl. BH incl. DB  (integraal bekostigingsmodel)</t>
  </si>
  <si>
    <t>ZZP 3 ggz wonen met intensieve begeleiding en gedragsregulering incl. BH incl. DB  (integraal bekostigingsmodel)</t>
  </si>
  <si>
    <t>ZZP 4 ggz wonen met intensieve begeleiding en intensieve verpleging en verzorging incl. BH incl. DB  (integraal bekostigingsmodel)</t>
  </si>
  <si>
    <t>ZZP 5 ggz beveiligd wonen vanwege extreme gedragsproblematiek met zeer intensieve begeleiding incl. BH incl. DB  (integraal bekostigingsmodel)</t>
  </si>
  <si>
    <t>ZZP 1 ggz wonen met intensieve begeleiding excl. BH incl. DB - modulair bekostigingsmodel</t>
  </si>
  <si>
    <t>ZZP 2 ggz wonen met intensieve begeleiding en verzorging excl. BH incl. DB - modulair bekostigingsmodel</t>
  </si>
  <si>
    <t>ZZP 3 ggz wonen met intensieve begeleiding en gedragsregulering excl. BH incl. DB - modulair bekostigingsmodel</t>
  </si>
  <si>
    <t>ZZP 4 ggz wonen met intensieve begeleiding en intensieve verpleging en verzorging excl. BH incl. DB - modulair bekostigingsmodel</t>
  </si>
  <si>
    <t>ZZP 5 ggz beveiligd wonen vanwege extreme gedragsproblematiek met zeer intensieve begeleiding excl. BH incl. DB - modulair bekostigingsmodel</t>
  </si>
  <si>
    <t>ZZP 1 ggz wonen met intensieve begeleiding excl. BH excl. DB - modulair bekostigingsmodel</t>
  </si>
  <si>
    <t>ZZP 2 ggz wonen met intensieve begeleiding en verzorging excl. BH excl. DB - modulair bekostigingsmodel</t>
  </si>
  <si>
    <t>ZZP 3 ggz wonen met intensieve begeleiding en gedragsregulering excl. BH excl. DB - modulair bekostigingsmodel</t>
  </si>
  <si>
    <t>ZZP 4 ggz wonen met intensieve begeleiding en intensieve verpleging en verzorging excl. BH excl. DB - modulair bekostigingsmodel</t>
  </si>
  <si>
    <t>ZZP 5 ggz beveiligd wonen vanwege extreme gedragsproblematiek met zeer intensieve begeleiding excl. BH excl. DB - modulair bekostigingsmodel</t>
  </si>
  <si>
    <t>VPT 1 ggz wonen met intensieve begeleiding excl. BH excl. DB - modulair bekostigingsmodel</t>
  </si>
  <si>
    <t>VPT 2 ggz wonen met intensieve begeleiding en verzorging excl. BH excl. DB - modulair bekostigingsmodel</t>
  </si>
  <si>
    <t>VPT 3 ggz wonen met intensieve begeleiding en gedragsregulering excl. BH excl. DB - modulair bekostigingsmodel</t>
  </si>
  <si>
    <t>VPT 4 ggz wonen met intensieve begeleiding en intensieve verpleging en verzorging excl. BH excl. DB - modulair bekostigingsmodel</t>
  </si>
  <si>
    <t>VPT 5 ggz beveiligd wonen vanwege extreme gedragsproblematiek met zeer intensieve begeleiding excl. BH excl. DB - modulair bekostigingsmodel</t>
  </si>
  <si>
    <t>VPT 1 ggz wonen met intensieve begeleiding excl. BH incl. DB - modulair bekostigingsmodel</t>
  </si>
  <si>
    <t>VPT 2 ggz wonen met intensieve begeleiding en verzorging excl. BH incl. DB - modulair bekostigingsmodel</t>
  </si>
  <si>
    <t>VPT 3 ggz wonen met intensieve begeleiding en gedragsregulering excl. BH incl. DB - modulair bekostigingsmodel</t>
  </si>
  <si>
    <t>VPT 4 ggz wonen met intensieve begeleiding en intensieve verpleging en verzorging excl. BH incl. DB - modulair bekostigingsmodel</t>
  </si>
  <si>
    <t>VPT 5 ggz beveiligd wonen vanwege extreme gedragsproblematiek met zeer intensieve begeleiding excl. BH incl. DB - modulair bekostigingsmodel</t>
  </si>
  <si>
    <t>H906 Dagbesteding vg midden (vg8)</t>
  </si>
  <si>
    <t>weg</t>
  </si>
  <si>
    <t>H119 Verpleging speciaal aan kinderen tot 18 jaar exclusief beschikbaarheid</t>
  </si>
  <si>
    <t>H119</t>
  </si>
  <si>
    <t>H401</t>
  </si>
  <si>
    <t>H402</t>
  </si>
  <si>
    <t>H403</t>
  </si>
  <si>
    <t>H404</t>
  </si>
  <si>
    <t>H405</t>
  </si>
  <si>
    <t>H401 DTV 1GGZ-W</t>
  </si>
  <si>
    <t>Z230G ZZP 3 ggz wonen excl. BH excl. DB</t>
  </si>
  <si>
    <t>Z240G ZZP 4 ggz wonen excl. BH excl. DB</t>
  </si>
  <si>
    <t>Z210G ZZP 1 ggz wonen excl. BH excl. DB</t>
  </si>
  <si>
    <t>Z250G ZZP 5 ggz beveiligd wonen excl. BH excl. DB</t>
  </si>
  <si>
    <t>Z221G ZZP 2 ggz wonen excl. BH incl. DB</t>
  </si>
  <si>
    <t>Z211G ZZP 1 ggz wonen excl. BH incl. DB</t>
  </si>
  <si>
    <t>Z253G ZZP 5 ggz beveiligd wonen incl. BH incl. DB</t>
  </si>
  <si>
    <t>Z252G ZZP 5 ggz beveiligd wonen  incl. BH excl. DB</t>
  </si>
  <si>
    <t>Z242G ZZP 4 ggz wonen incl. BH excl. DB</t>
  </si>
  <si>
    <t>Z213G ZZP 1 ggz wonen incl. BH incl. DB</t>
  </si>
  <si>
    <t>Z223G ZZP 2 ggz wonen incl. BH incl. DB</t>
  </si>
  <si>
    <t>Z233G ZZP 3 ggz wonen incl. BH incl. DB</t>
  </si>
  <si>
    <t>Z243G ZZP 4 ggz wonen incl. BH incl. DB</t>
  </si>
  <si>
    <t>Z232G ZZP 3 ggz wonen incl. BH excl. DB</t>
  </si>
  <si>
    <t>Z222G ZZP 2 ggz wonen incl. BH excl. DB</t>
  </si>
  <si>
    <t>Z212G ZZP 1 ggz wonen incl. BH excl. DB</t>
  </si>
  <si>
    <t>Z231G ZZP 3 ggz wonen excl. BH incl. DB</t>
  </si>
  <si>
    <t>Z241G ZZP 4 ggz wonen excl. BH incl. DB</t>
  </si>
  <si>
    <t>Z251G ZZP 5 ggz beveiligd wonen excl. BH incl. DB</t>
  </si>
  <si>
    <t>Z220G ZZP 2 ggz wonen excl. BH excl. DB</t>
  </si>
  <si>
    <t>V251G VPT 5 ggz beveiligd wonen excl. BH incl. DB</t>
  </si>
  <si>
    <t>V241G VPT 4 ggz wonen excl. BH incl. DB</t>
  </si>
  <si>
    <t>V220G VPT 2 ggz wonen excl. BH excl. DB</t>
  </si>
  <si>
    <t>V230G VPT 3 ggz wonen excl. BH excl. DB</t>
  </si>
  <si>
    <t>V240G VPT 4 ggz wonen excl. BH excl. DB</t>
  </si>
  <si>
    <t>V250G VPT 5 ggz beveiligd wonen excl. BH excl. DB</t>
  </si>
  <si>
    <t>V211G VPT 1 ggz wonen excl. BH incl. DB</t>
  </si>
  <si>
    <t>V221G VPT 2 ggz wonen excl. BH incl. DB</t>
  </si>
  <si>
    <t>V231G VPT 3 ggz wonen excl. BH incl. DB</t>
  </si>
  <si>
    <t>V210G VPT 1 ggz wonen excl. BH excl. DB</t>
  </si>
  <si>
    <t>H001</t>
  </si>
  <si>
    <t>V210</t>
  </si>
  <si>
    <t>V220</t>
  </si>
  <si>
    <t>V230</t>
  </si>
  <si>
    <t>V240</t>
  </si>
  <si>
    <t>V250</t>
  </si>
  <si>
    <t>V211</t>
  </si>
  <si>
    <t>V221</t>
  </si>
  <si>
    <t>V231</t>
  </si>
  <si>
    <t>V241</t>
  </si>
  <si>
    <t>V251</t>
  </si>
  <si>
    <t>Z211</t>
  </si>
  <si>
    <t>Z221</t>
  </si>
  <si>
    <t>Z231</t>
  </si>
  <si>
    <t>Z241</t>
  </si>
  <si>
    <t>Z251</t>
  </si>
  <si>
    <t>Z210</t>
  </si>
  <si>
    <t>Z220</t>
  </si>
  <si>
    <t>Z230</t>
  </si>
  <si>
    <t>Z240</t>
  </si>
  <si>
    <t>Z250</t>
  </si>
  <si>
    <t>H002</t>
  </si>
  <si>
    <t>H003</t>
  </si>
  <si>
    <t>H004</t>
  </si>
  <si>
    <t>H005</t>
  </si>
  <si>
    <t>H402 DTV 2GGZ-W</t>
  </si>
  <si>
    <t>H403 DTV 3GGZ-W</t>
  </si>
  <si>
    <t>H404 DTV 4GGZ-W</t>
  </si>
  <si>
    <t>H405 DTV 5GGZ-W</t>
  </si>
  <si>
    <t>"vul hier de dagtekening van verzending in"</t>
  </si>
  <si>
    <t>OpnameGGZVerblijfsprestatie</t>
  </si>
  <si>
    <t>Datum ingang ZTW</t>
  </si>
  <si>
    <t>Toeslag thuiswonend kind &lt;18</t>
  </si>
  <si>
    <t>Z999 Logeren GHZ-VG</t>
  </si>
  <si>
    <t>Z1001 Logeren GHZ-LVG</t>
  </si>
  <si>
    <t>Z1002 Logeren GHZ-ZG</t>
  </si>
  <si>
    <t>Z1003 Logeren VV</t>
  </si>
  <si>
    <t>H139 Thuizorgtechnologie ten behoeve van verpleging</t>
  </si>
  <si>
    <t>H338 Behandeling sglvg</t>
  </si>
  <si>
    <t>H338</t>
  </si>
  <si>
    <t>H804 Gespecialiseerde dagbehandeling Huntington lg of som</t>
  </si>
  <si>
    <t>H804</t>
  </si>
  <si>
    <t>H840 Dagbehandeling LG/NAH</t>
  </si>
  <si>
    <t>H840</t>
  </si>
  <si>
    <t>D740 DTV ZGaud4</t>
  </si>
  <si>
    <t>Z1004 Logeren ggz wonen</t>
  </si>
  <si>
    <t>Z1006 Logeren ghz-zevmb</t>
  </si>
  <si>
    <t>Z1006</t>
  </si>
  <si>
    <t>Z252G ZZP 5 ggz beveiligd wonen incl. BH excl. DB</t>
  </si>
  <si>
    <t>Crisiszorg vv met behandeling</t>
  </si>
  <si>
    <t>Z110 Crisiszorg vv met behandeling</t>
  </si>
  <si>
    <t>Z492 Crisiszorg ghz - categorie licht</t>
  </si>
  <si>
    <t>Logeren ggz wonen</t>
  </si>
  <si>
    <t>Logeren ghz-zevmb</t>
  </si>
  <si>
    <t>Z1007</t>
  </si>
  <si>
    <t>Beveiligde zorg LZ niveau 2</t>
  </si>
  <si>
    <t>Z1007 Beveiligde zorg LZ niveau 2</t>
  </si>
  <si>
    <t>Z1008</t>
  </si>
  <si>
    <t>Beveiligde zorg LZ niveau 3</t>
  </si>
  <si>
    <t>Z1008 Beveiligde zorg LZ niveau 3</t>
  </si>
  <si>
    <t>VPT 1vv excl.bh incl.db</t>
  </si>
  <si>
    <t>VPT 2vv excl.bh incl.db</t>
  </si>
  <si>
    <t>VPT 3vv excl.bh incl.db</t>
  </si>
  <si>
    <t>VPT 4vv excl.bh incl.db</t>
  </si>
  <si>
    <t>VPT 5vv excl.bh incl.db</t>
  </si>
  <si>
    <t>VPT 6vv excl.bh incl.db</t>
  </si>
  <si>
    <t>VPT 7vv excl.bh incl.db</t>
  </si>
  <si>
    <t>VPT 8vv excl.bh incl.db</t>
  </si>
  <si>
    <t>VPT 9bvv excl.bh incl.db</t>
  </si>
  <si>
    <t>VPT 10vv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</si>
  <si>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</si>
  <si>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</si>
  <si>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</si>
  <si>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</si>
  <si>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</si>
  <si>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</si>
  <si>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</si>
  <si>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</si>
  <si>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</si>
  <si>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</si>
  <si>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1vg excl.bh incl.db</t>
  </si>
  <si>
    <t>VPT 2vg excl.bh incl.db</t>
  </si>
  <si>
    <t>VPT 3vg excl.bh excl.db</t>
  </si>
  <si>
    <t>VPT 4vg excl.bh excl.db</t>
  </si>
  <si>
    <t>VPT 5vg excl.bh excl.db</t>
  </si>
  <si>
    <t>VPT 6vg excl.bh excl.db</t>
  </si>
  <si>
    <t>VPT 7vg excl.bh excl.db</t>
  </si>
  <si>
    <t>VPT 8vg excl.bh excl.db</t>
  </si>
  <si>
    <t>VPT 3vg excl.bh incl.db</t>
  </si>
  <si>
    <t>VPT 4vg excl.bh incl.db</t>
  </si>
  <si>
    <t>VPT 5vg excl.bh incl.db</t>
  </si>
  <si>
    <t>VPT 6vg excl.bh incl.db</t>
  </si>
  <si>
    <t>VPT 7vg excl.bh incl.db</t>
  </si>
  <si>
    <t>VPT 8vg excl.bh incl.db</t>
  </si>
  <si>
    <t>VPT 3vg incl.bh excl.db</t>
  </si>
  <si>
    <t>VPT 4vg incl.bh excl.db</t>
  </si>
  <si>
    <t>VPT 5vg incl.bh excl.db</t>
  </si>
  <si>
    <t>VPT 6vg incl.bh excl.db</t>
  </si>
  <si>
    <t>VPT 7vg incl.bh excl.db</t>
  </si>
  <si>
    <t>VPT 8vg incl.bh excl.db</t>
  </si>
  <si>
    <t>VPT 3vg incl.bh incl.db</t>
  </si>
  <si>
    <t>VPT 4vg incl.bh incl.db</t>
  </si>
  <si>
    <t>VPT 5vg incl.bh incl.db</t>
  </si>
  <si>
    <t>VPT 6vg incl.bh incl.db</t>
  </si>
  <si>
    <t>VPT 7vg incl.bh incl.db</t>
  </si>
  <si>
    <t>VPT 8vg incl.bh incl.db</t>
  </si>
  <si>
    <t>VPT 1lvg incl.bh incl.db</t>
  </si>
  <si>
    <t>VPT 2lvg incl.bh incl.db</t>
  </si>
  <si>
    <t>VPT 3lvg incl.bh incl.db</t>
  </si>
  <si>
    <t>VPT 4lvg incl.bh incl.db</t>
  </si>
  <si>
    <t>VPT 5lvg incl.bh incl.db</t>
  </si>
  <si>
    <t>VPT 1sglvg incl.bh incl.db</t>
  </si>
  <si>
    <t>VPT 1lg excl.bh excl.db</t>
  </si>
  <si>
    <t>VPT 2lg excl.bh excl.db</t>
  </si>
  <si>
    <t>VPT 1lg excl.bh incl.db</t>
  </si>
  <si>
    <t>VPT 2lg excl.bh incl.db</t>
  </si>
  <si>
    <t>VPT 3lg excl.bh excl.db</t>
  </si>
  <si>
    <t>VPT 4lg excl.bh excl.db</t>
  </si>
  <si>
    <t>VPT 5lg excl.bh excl.db</t>
  </si>
  <si>
    <t>VPT 6lg excl.bh excl.db</t>
  </si>
  <si>
    <t>VPT 7lg excl.bh excl.db</t>
  </si>
  <si>
    <t>VPT 3lg excl.bh incl.db</t>
  </si>
  <si>
    <t>VPT 4lg excl.bh incl.db</t>
  </si>
  <si>
    <t>VPT 5lg excl.bh incl.db</t>
  </si>
  <si>
    <t>VPT 6lg excl.bh incl.db</t>
  </si>
  <si>
    <t>VPT 7lg excl.bh incl.db</t>
  </si>
  <si>
    <t>VPT 3lg incl.bh excl.db</t>
  </si>
  <si>
    <t>VPT 4lg incl.bh excl.db</t>
  </si>
  <si>
    <t>VPT 5lg incl.bh excl.db</t>
  </si>
  <si>
    <t>VPT 6lg incl.bh excl.db</t>
  </si>
  <si>
    <t>VPT 7lg incl.bh excl.db</t>
  </si>
  <si>
    <t>VPT 3lg incl.bh incl.db</t>
  </si>
  <si>
    <t>VPT 4lg incl.bh incl.db</t>
  </si>
  <si>
    <t>VPT 5lg incl.bh incl.db</t>
  </si>
  <si>
    <t>VPT 6lg incl.bh incl.db</t>
  </si>
  <si>
    <t>VPT 7lg incl.bh incl.db</t>
  </si>
  <si>
    <t>VPT 1zg-auditief excl.bh excl.db</t>
  </si>
  <si>
    <t>VPT 2zg-auditief excl.bh excl.db</t>
  </si>
  <si>
    <t>VPT 3zg-auditief excl.bh excl.db</t>
  </si>
  <si>
    <t>VPT 4zg-auditief excl.bh excl.db</t>
  </si>
  <si>
    <t>VPT 1zg-auditief excl.bh incl.db</t>
  </si>
  <si>
    <t>VPT 2zg-auditief excl.bh incl.db</t>
  </si>
  <si>
    <t>VPT 3zg-auditief excl.bh incl.db</t>
  </si>
  <si>
    <t>VPT 4zg-auditief excl.bh incl.db</t>
  </si>
  <si>
    <t>VPT 1zg-auditief incl.bh excl.db</t>
  </si>
  <si>
    <t>VPT 2zg-auditief incl.bh excl.db</t>
  </si>
  <si>
    <t>VPT 3zg-auditief incl.bh excl.db</t>
  </si>
  <si>
    <t>VPT 4zg-auditief incl.bh excl.db</t>
  </si>
  <si>
    <t>VPT 1zg-auditief incl.bh incl.db</t>
  </si>
  <si>
    <t>VPT 2zg-auditief incl.bh incl.db</t>
  </si>
  <si>
    <t>VPT 3zg-auditief incl.bh incl.db</t>
  </si>
  <si>
    <t>VPT 4zg-auditief incl.bh incl.db</t>
  </si>
  <si>
    <t>VPT 1zg-visueel excl.bh excl.db</t>
  </si>
  <si>
    <t>VPT 2zg-visueel excl.bh excl.db</t>
  </si>
  <si>
    <t>VPT 1zg-visueel excl.bh incl.db</t>
  </si>
  <si>
    <t>VPT 2zg-visueel excl.bh incl.db</t>
  </si>
  <si>
    <t>VPT 3zg-visueel excl.bh excl.db</t>
  </si>
  <si>
    <t>VPT 4zg-visueel excl.bh excl.db</t>
  </si>
  <si>
    <t>VPT 5zg-visueel excl.bh excl.db</t>
  </si>
  <si>
    <t>VPT 3zg-visueel excl.bh incl.db</t>
  </si>
  <si>
    <t>VPT 4zg-visueel excl.bh incl.db</t>
  </si>
  <si>
    <t>VPT 5zg-visueel excl.bh incl.db</t>
  </si>
  <si>
    <t>VPT 3zg-visueel incl.bh excl.db</t>
  </si>
  <si>
    <t>VPT 4zg-visueel incl.bh excl.db</t>
  </si>
  <si>
    <t>VPT 5zg-visueel incl.bh excl.db</t>
  </si>
  <si>
    <t>VPT 3zg-visueel incl.bh incl.db</t>
  </si>
  <si>
    <t>VPT 4zg-visueel incl.bh incl.db</t>
  </si>
  <si>
    <t>VPT 5zg-visueel incl.bh incl.db</t>
  </si>
  <si>
    <t>H401 DTV 1ggz-w</t>
  </si>
  <si>
    <t>H402 DTV 2ggz-w</t>
  </si>
  <si>
    <t>H403 DTV 3ggz-w</t>
  </si>
  <si>
    <t>H404 DTV 4ggz-w</t>
  </si>
  <si>
    <t>H405 DTV 5ggz-w</t>
  </si>
  <si>
    <t>HH*Gunnings%</t>
  </si>
  <si>
    <t>Z1000 Logeren GHZ-LG</t>
  </si>
  <si>
    <t>Z1006 Logeren GHZ-ZEVMB</t>
  </si>
  <si>
    <t>Extra overbruggingszorg (urgent of actief plaatsen)</t>
  </si>
  <si>
    <t xml:space="preserve">kapitaallasten dagbesteding kind ghz/ </t>
  </si>
  <si>
    <t xml:space="preserve"> NIC</t>
  </si>
  <si>
    <t>dagbehandeling vg emg</t>
  </si>
  <si>
    <t>Bijlage H. Tarieventabel persoonsgebonden budget-Wlz 2023</t>
  </si>
  <si>
    <t>Huish. Hulp</t>
  </si>
  <si>
    <t>Verpleging</t>
  </si>
  <si>
    <t>Persoonlijke verzorging</t>
  </si>
  <si>
    <t>Totaal jaarbasis</t>
  </si>
  <si>
    <t>Versie 4 oktober 2021</t>
  </si>
  <si>
    <t>H307</t>
  </si>
  <si>
    <t>H308</t>
  </si>
  <si>
    <t>H309</t>
  </si>
  <si>
    <t>H310</t>
  </si>
  <si>
    <t>H311</t>
  </si>
  <si>
    <t>H307 Begeleiding ZIO (zorg in onderwijstijd</t>
  </si>
  <si>
    <t>H309 Dagbesteding lg kind licht ZIO (zorg in onderwijstijd)</t>
  </si>
  <si>
    <t>H308 Dagbesteding vg kind licht ZIO (zorg in onderwijstijd)</t>
  </si>
  <si>
    <t>H310 Dagbesteding zg kind auditief licht ZIO (zorg in onderwijstijd)</t>
  </si>
  <si>
    <t>H311 Dagbesteding zg kind visueel licht ZIO (zorg in onderwijstijd)</t>
  </si>
  <si>
    <t>€ –</t>
  </si>
  <si>
    <t>Toeslag logeren</t>
  </si>
  <si>
    <t>Bijlage 4 bij BR/REG-23122a Beleidsregel prestatiebeschrijvingen en tarieven zorgzwaartepakketten en volledig pakket thuis 2023</t>
  </si>
  <si>
    <t>loon</t>
  </si>
  <si>
    <t>materieel</t>
  </si>
  <si>
    <t>Combinatie van EKT en extra behandeling</t>
  </si>
  <si>
    <t>Logereb</t>
  </si>
  <si>
    <t>Gespecialiseerd verpleegkundig handelen</t>
  </si>
  <si>
    <t xml:space="preserve">Maatwerk ivm dure dagbesteding/ behandeling </t>
  </si>
  <si>
    <t>"vul hier de gewenste ingangsdatum zorgtoewijzing in"</t>
  </si>
  <si>
    <t>Aan te vragen zorg</t>
  </si>
  <si>
    <t>1GGZW</t>
  </si>
  <si>
    <t>2GGZW</t>
  </si>
  <si>
    <t>3GGZW</t>
  </si>
  <si>
    <t>4GGZW</t>
  </si>
  <si>
    <t>5GGZW</t>
  </si>
  <si>
    <t>versie: 20-01-2023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</si>
</sst>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quot;€&quot;* #,##0.00_);_(&quot;€&quot;* \(#,##0.00\);_(&quot;€&quot;* &quot;-&quot;??_);_(@_)"/>
    <numFmt numFmtId="165" formatCode="&quot;€&quot;#,##0_);[Red]\(&quot;€&quot;#,##0\)"/>
    <numFmt numFmtId="166" formatCode="_(* #,##0_);_(* \(#,##0\);_(* &quot;-&quot;_);_(@_)"/>
    <numFmt numFmtId="167" formatCode="_(* #,##0.00_);_(* \(#,##0.00\);_(* &quot;-&quot;??_);_(@_)"/>
    <numFmt numFmtId="168" formatCode="_-&quot;€&quot;\ * #,##0.00_-;_-&quot;€&quot;\ * #,##0.00\-;_-&quot;€&quot;\ * &quot;-&quot;??_-;_-@_-"/>
    <numFmt numFmtId="169" formatCode="0.0%"/>
    <numFmt numFmtId="170" formatCode="_ [$€-2]\ * #,##0.00_ ;_ [$€-2]\ * \-#,##0.00_ ;_ [$€-2]\ * &quot;-&quot;??_ ;_ @_ "/>
    <numFmt numFmtId="171" formatCode="_(&quot;€&quot;\ * #,##0_);_(&quot;€&quot;\ * \(#,##0\);_(&quot;€&quot;\ * &quot;-&quot;_);_(@_)"/>
    <numFmt numFmtId="172" formatCode="_-* #,##0.00_-;_-* #,##0.00\-;_-* &quot;-&quot;??_-;_-@_-"/>
    <numFmt numFmtId="173" formatCode="\ \ƒ* #,##0_ \ ;\ \ƒ* ;\ \ƒ* "/>
    <numFmt numFmtId="174" formatCode="&quot;F&quot;\ #,##0_-;&quot;F&quot;\ #,##0\-"/>
    <numFmt numFmtId="175" formatCode="#,##0_ \ ;\(#,##0\)_ ;"/>
    <numFmt numFmtId="176" formatCode="&quot;€&quot;\ #,##0.00"/>
    <numFmt numFmtId="177" formatCode="0.0"/>
    <numFmt numFmtId="178" formatCode="_-[$€]\ * #,##0.00_-;_-[$€]\ * #,##0.00\-;_-[$€]\ * &quot;-&quot;??_-;_-@_-"/>
    <numFmt numFmtId="179" formatCode="_ &quot;$&quot;\ * #,##0.00_ ;_ &quot;$&quot;\ * \-#,##0.00_ ;_ &quot;$&quot;\ * &quot;-&quot;??_ ;_ @_ "/>
    <numFmt numFmtId="180" formatCode="[$-413]General"/>
    <numFmt numFmtId="181" formatCode="[$€-413]&quot; &quot;#,##0.00;[Red][$€-413]&quot; &quot;#,##0.00&quot;-&quot;"/>
    <numFmt numFmtId="182" formatCode="_-&quot;€&quot;\ * #,##0.00_-;\-&quot;€&quot;\ * #,##0.00_-;_-&quot;€&quot;\ * &quot;-&quot;??_-;_-@_-"/>
  </numFmts>
  <fonts count="120">
    <font>
      <sz val="11"/>
      <color theme="1"/>
      <name val="Calibri"/>
      <family val="2"/>
      <scheme val="minor"/>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sz val="8"/>
      <color indexed="8"/>
      <name val="Arial"/>
      <family val="2"/>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1"/>
      <color rgb="FF333333"/>
      <name val="Arial"/>
      <family val="2"/>
    </font>
    <font>
      <sz val="10"/>
      <color rgb="FF333333"/>
      <name val="Arial"/>
      <family val="2"/>
    </font>
    <font>
      <sz val="10"/>
      <color rgb="FF000000"/>
      <name val="Arial"/>
      <family val="2"/>
    </font>
    <font>
      <sz val="10"/>
      <color theme="0"/>
      <name val="Calibri"/>
      <family val="2"/>
      <scheme val="minor"/>
    </font>
    <font>
      <b/>
      <u/>
      <sz val="11"/>
      <color theme="0"/>
      <name val="Calibri"/>
      <family val="2"/>
      <scheme val="minor"/>
    </font>
    <font>
      <i/>
      <sz val="10"/>
      <color theme="0"/>
      <name val="Calibri"/>
      <family val="2"/>
      <scheme val="minor"/>
    </font>
    <font>
      <i/>
      <sz val="10"/>
      <color theme="1"/>
      <name val="Calibri"/>
      <family val="2"/>
      <scheme val="minor"/>
    </font>
    <font>
      <sz val="11"/>
      <color theme="1"/>
      <name val="Times New Roman"/>
      <family val="1"/>
    </font>
    <font>
      <sz val="7"/>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sz val="12"/>
      <name val="Helv"/>
    </font>
    <font>
      <sz val="10"/>
      <name val="Calibri"/>
      <family val="2"/>
      <scheme val="minor"/>
    </font>
    <font>
      <sz val="11"/>
      <color theme="1"/>
      <name val="Calibri"/>
      <family val="2"/>
    </font>
    <font>
      <b/>
      <i/>
      <sz val="16"/>
      <color theme="1"/>
      <name val="Arial"/>
      <family val="2"/>
    </font>
    <font>
      <sz val="10"/>
      <color theme="1"/>
      <name val="Tahoma"/>
      <family val="2"/>
    </font>
    <font>
      <sz val="11"/>
      <color theme="1"/>
      <name val="Georgia"/>
      <family val="2"/>
    </font>
    <font>
      <b/>
      <i/>
      <u/>
      <sz val="11"/>
      <color theme="1"/>
      <name val="Arial"/>
      <family val="2"/>
    </font>
    <font>
      <sz val="10"/>
      <color theme="1"/>
      <name val="Century Gothic"/>
      <family val="2"/>
    </font>
    <font>
      <b/>
      <sz val="10"/>
      <color rgb="FF333333"/>
      <name val="RijksoverheidSans"/>
    </font>
  </fonts>
  <fills count="51">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14999847407452621"/>
        <bgColor theme="0" tint="-0.14999847407452621"/>
      </patternFill>
    </fill>
    <fill>
      <patternFill patternType="solid">
        <fgColor theme="7" tint="-0.499984740745262"/>
        <bgColor indexed="64"/>
      </patternFill>
    </fill>
    <fill>
      <patternFill patternType="solid">
        <fgColor rgb="FFFFFF00"/>
        <bgColor theme="0" tint="-0.14999847407452621"/>
      </patternFill>
    </fill>
    <fill>
      <patternFill patternType="solid">
        <fgColor rgb="FFFF0000"/>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theme="1"/>
      </top>
      <bottom/>
      <diagonal/>
    </border>
    <border>
      <left style="thin">
        <color indexed="64"/>
      </left>
      <right/>
      <top style="medium">
        <color theme="1"/>
      </top>
      <bottom/>
      <diagonal/>
    </border>
    <border>
      <left style="thin">
        <color indexed="64"/>
      </left>
      <right/>
      <top style="thin">
        <color theme="1"/>
      </top>
      <bottom style="thin">
        <color theme="1"/>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7442">
    <xf numFmtId="0" fontId="0" fillId="0" borderId="0"/>
    <xf numFmtId="164" fontId="12" fillId="0" borderId="0" applyFont="0" applyFill="0" applyBorder="0" applyAlignment="0" applyProtection="0"/>
    <xf numFmtId="0" fontId="13" fillId="0" borderId="0"/>
    <xf numFmtId="0" fontId="13" fillId="0" borderId="0"/>
    <xf numFmtId="0" fontId="13" fillId="0" borderId="0"/>
    <xf numFmtId="167" fontId="13" fillId="0" borderId="0" applyFont="0" applyFill="0" applyBorder="0" applyAlignment="0" applyProtection="0"/>
    <xf numFmtId="0" fontId="39" fillId="0" borderId="0" applyNumberFormat="0" applyFill="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72" fontId="13" fillId="0" borderId="0" applyFont="0" applyFill="0" applyBorder="0" applyAlignment="0" applyProtection="0"/>
    <xf numFmtId="172" fontId="13" fillId="0" borderId="0" applyFont="0" applyFill="0" applyBorder="0" applyAlignment="0" applyProtection="0"/>
    <xf numFmtId="0" fontId="46" fillId="0" borderId="0"/>
    <xf numFmtId="0" fontId="46" fillId="0" borderId="48"/>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47" fillId="0" borderId="0" applyFont="0" applyFill="0" applyBorder="0" applyAlignment="0" applyProtection="0"/>
    <xf numFmtId="0" fontId="48" fillId="37" borderId="48"/>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9" fontId="13" fillId="0" borderId="0" applyFont="0" applyFill="0" applyBorder="0" applyAlignment="0" applyProtection="0"/>
    <xf numFmtId="9" fontId="13" fillId="0" borderId="0" applyFont="0" applyFill="0" applyBorder="0" applyAlignment="0" applyProtection="0"/>
    <xf numFmtId="9" fontId="47" fillId="0" borderId="0" applyFont="0" applyFill="0" applyBorder="0" applyAlignment="0" applyProtection="0"/>
    <xf numFmtId="0" fontId="46"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47" fillId="0" borderId="0"/>
    <xf numFmtId="0" fontId="50" fillId="0" borderId="42" applyFill="0" applyBorder="0"/>
    <xf numFmtId="173" fontId="50" fillId="0" borderId="42" applyFill="0" applyBorder="0"/>
    <xf numFmtId="0" fontId="50" fillId="0" borderId="42" applyFill="0" applyBorder="0"/>
    <xf numFmtId="0" fontId="51" fillId="38" borderId="49"/>
    <xf numFmtId="174" fontId="13" fillId="38" borderId="49"/>
    <xf numFmtId="174" fontId="13" fillId="38" borderId="49"/>
    <xf numFmtId="174" fontId="13" fillId="38" borderId="49"/>
    <xf numFmtId="174" fontId="13" fillId="38" borderId="49"/>
    <xf numFmtId="175" fontId="51" fillId="38" borderId="49"/>
    <xf numFmtId="175" fontId="50" fillId="0" borderId="42" applyFill="0" applyBorder="0"/>
    <xf numFmtId="0" fontId="46" fillId="0" borderId="48"/>
    <xf numFmtId="0" fontId="52" fillId="39" borderId="0"/>
    <xf numFmtId="0" fontId="44" fillId="0" borderId="0" applyNumberFormat="0" applyFill="0" applyBorder="0" applyAlignment="0" applyProtection="0"/>
    <xf numFmtId="0" fontId="48" fillId="0" borderId="50"/>
    <xf numFmtId="0" fontId="48" fillId="0" borderId="48"/>
    <xf numFmtId="168" fontId="13" fillId="0" borderId="0" applyFont="0" applyFill="0" applyBorder="0" applyAlignment="0" applyProtection="0"/>
    <xf numFmtId="168" fontId="13"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46" fillId="0" borderId="52"/>
    <xf numFmtId="0" fontId="48" fillId="37" borderId="52"/>
    <xf numFmtId="0" fontId="51" fillId="38" borderId="53"/>
    <xf numFmtId="174" fontId="13" fillId="38" borderId="53"/>
    <xf numFmtId="174" fontId="13" fillId="38" borderId="53"/>
    <xf numFmtId="174" fontId="13" fillId="38" borderId="53"/>
    <xf numFmtId="174" fontId="13" fillId="38" borderId="53"/>
    <xf numFmtId="0" fontId="46" fillId="0" borderId="52"/>
    <xf numFmtId="0" fontId="48" fillId="0" borderId="52"/>
    <xf numFmtId="0" fontId="46" fillId="0" borderId="55"/>
    <xf numFmtId="0" fontId="48" fillId="37" borderId="55"/>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37" fontId="111" fillId="0" borderId="0"/>
    <xf numFmtId="0" fontId="111" fillId="0" borderId="0"/>
    <xf numFmtId="0" fontId="111" fillId="0" borderId="55"/>
    <xf numFmtId="178"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3" fillId="0" borderId="0"/>
    <xf numFmtId="0" fontId="111" fillId="0" borderId="0"/>
    <xf numFmtId="0" fontId="111" fillId="0" borderId="55"/>
    <xf numFmtId="37" fontId="111" fillId="0" borderId="0"/>
    <xf numFmtId="37" fontId="112" fillId="0" borderId="0"/>
    <xf numFmtId="0" fontId="46" fillId="0" borderId="55"/>
    <xf numFmtId="179" fontId="12" fillId="0" borderId="0" applyFont="0" applyFill="0" applyBorder="0" applyAlignment="0" applyProtection="0"/>
    <xf numFmtId="0" fontId="46" fillId="0" borderId="55"/>
    <xf numFmtId="168" fontId="13" fillId="0" borderId="0" applyFont="0" applyFill="0" applyBorder="0" applyAlignment="0" applyProtection="0"/>
    <xf numFmtId="0" fontId="13" fillId="0" borderId="0"/>
    <xf numFmtId="0" fontId="48" fillId="37" borderId="55"/>
    <xf numFmtId="0" fontId="13" fillId="0" borderId="0"/>
    <xf numFmtId="0" fontId="48" fillId="0" borderId="55"/>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0" fontId="46" fillId="0" borderId="0"/>
    <xf numFmtId="0" fontId="46" fillId="0" borderId="55"/>
    <xf numFmtId="0" fontId="46" fillId="0" borderId="55"/>
    <xf numFmtId="0" fontId="48" fillId="0" borderId="55"/>
    <xf numFmtId="0" fontId="111" fillId="0" borderId="55"/>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0" fontId="46" fillId="0" borderId="55"/>
    <xf numFmtId="0" fontId="46" fillId="0" borderId="0"/>
    <xf numFmtId="0" fontId="46" fillId="0" borderId="55"/>
    <xf numFmtId="0" fontId="46" fillId="0" borderId="55"/>
    <xf numFmtId="0" fontId="48" fillId="0" borderId="55"/>
    <xf numFmtId="164" fontId="12" fillId="0" borderId="0" applyFont="0" applyFill="0" applyBorder="0" applyAlignment="0" applyProtection="0"/>
    <xf numFmtId="0" fontId="13" fillId="0" borderId="0"/>
    <xf numFmtId="0" fontId="48" fillId="37" borderId="55"/>
    <xf numFmtId="0" fontId="46" fillId="0" borderId="55"/>
    <xf numFmtId="0" fontId="46" fillId="0" borderId="55"/>
    <xf numFmtId="167" fontId="47" fillId="0" borderId="0" applyFont="0" applyFill="0" applyBorder="0" applyAlignment="0" applyProtection="0"/>
    <xf numFmtId="179" fontId="12" fillId="0" borderId="0" applyFont="0" applyFill="0" applyBorder="0" applyAlignment="0" applyProtection="0"/>
    <xf numFmtId="0" fontId="51" fillId="38" borderId="49"/>
    <xf numFmtId="174" fontId="13" fillId="38" borderId="49"/>
    <xf numFmtId="174" fontId="13" fillId="38" borderId="49"/>
    <xf numFmtId="174" fontId="13" fillId="38" borderId="49"/>
    <xf numFmtId="0" fontId="13" fillId="0" borderId="0"/>
    <xf numFmtId="172" fontId="13" fillId="0" borderId="0" applyFont="0" applyFill="0" applyBorder="0" applyAlignment="0" applyProtection="0"/>
    <xf numFmtId="0" fontId="13" fillId="0" borderId="0"/>
    <xf numFmtId="0" fontId="13" fillId="0" borderId="0"/>
    <xf numFmtId="174" fontId="13" fillId="38" borderId="49"/>
    <xf numFmtId="0" fontId="46" fillId="0" borderId="55"/>
    <xf numFmtId="0" fontId="111" fillId="0" borderId="55"/>
    <xf numFmtId="0" fontId="48" fillId="37" borderId="55"/>
    <xf numFmtId="0" fontId="48" fillId="37" borderId="55"/>
    <xf numFmtId="0" fontId="111" fillId="0" borderId="55"/>
    <xf numFmtId="178" fontId="111" fillId="0" borderId="0" applyFont="0" applyFill="0" applyBorder="0" applyAlignment="0" applyProtection="0"/>
    <xf numFmtId="0" fontId="13" fillId="23" borderId="44" applyNumberFormat="0" applyFont="0" applyAlignment="0" applyProtection="0"/>
    <xf numFmtId="0" fontId="111" fillId="0" borderId="0"/>
    <xf numFmtId="37" fontId="111" fillId="0" borderId="0"/>
    <xf numFmtId="0" fontId="1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46" fillId="0" borderId="55"/>
    <xf numFmtId="0" fontId="111" fillId="0" borderId="0"/>
    <xf numFmtId="0" fontId="111" fillId="0" borderId="55"/>
    <xf numFmtId="37" fontId="111" fillId="0" borderId="0"/>
    <xf numFmtId="37" fontId="112" fillId="0" borderId="0"/>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03" fillId="42" borderId="0" applyNumberFormat="0" applyBorder="0" applyAlignment="0" applyProtection="0"/>
    <xf numFmtId="0" fontId="106" fillId="45" borderId="60" applyNumberFormat="0" applyAlignment="0" applyProtection="0"/>
    <xf numFmtId="0" fontId="108" fillId="46" borderId="63" applyNumberFormat="0" applyAlignment="0" applyProtection="0"/>
    <xf numFmtId="167"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6" fillId="0" borderId="55"/>
    <xf numFmtId="180" fontId="113" fillId="0" borderId="0"/>
    <xf numFmtId="0" fontId="109" fillId="0" borderId="0" applyNumberFormat="0" applyFill="0" applyBorder="0" applyAlignment="0" applyProtection="0"/>
    <xf numFmtId="0" fontId="102" fillId="41" borderId="0" applyNumberFormat="0" applyBorder="0" applyAlignment="0" applyProtection="0"/>
    <xf numFmtId="0" fontId="114" fillId="0" borderId="0">
      <alignment horizontal="center"/>
    </xf>
    <xf numFmtId="0" fontId="99" fillId="0" borderId="57" applyNumberFormat="0" applyFill="0" applyAlignment="0" applyProtection="0"/>
    <xf numFmtId="0" fontId="100" fillId="0" borderId="58" applyNumberFormat="0" applyFill="0" applyAlignment="0" applyProtection="0"/>
    <xf numFmtId="0" fontId="101" fillId="0" borderId="59" applyNumberFormat="0" applyFill="0" applyAlignment="0" applyProtection="0"/>
    <xf numFmtId="0" fontId="101" fillId="0" borderId="0" applyNumberFormat="0" applyFill="0" applyBorder="0" applyAlignment="0" applyProtection="0"/>
    <xf numFmtId="0" fontId="114" fillId="0" borderId="0">
      <alignment horizontal="center" textRotation="90"/>
    </xf>
    <xf numFmtId="0" fontId="104" fillId="44" borderId="60" applyNumberFormat="0" applyAlignment="0" applyProtection="0"/>
    <xf numFmtId="172" fontId="12" fillId="0" borderId="0" applyFont="0" applyFill="0" applyBorder="0" applyAlignment="0" applyProtection="0"/>
    <xf numFmtId="167" fontId="115"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16"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48" fillId="37" borderId="55"/>
    <xf numFmtId="0" fontId="107" fillId="0" borderId="62" applyNumberFormat="0" applyFill="0" applyAlignment="0" applyProtection="0"/>
    <xf numFmtId="0" fontId="110" fillId="43" borderId="0" applyNumberFormat="0" applyBorder="0" applyAlignment="0" applyProtection="0"/>
    <xf numFmtId="0" fontId="85" fillId="23" borderId="44" applyNumberFormat="0" applyFont="0" applyAlignment="0" applyProtection="0"/>
    <xf numFmtId="0" fontId="105" fillId="45" borderId="61" applyNumberFormat="0" applyAlignment="0" applyProtection="0"/>
    <xf numFmtId="9" fontId="40" fillId="0" borderId="0" applyFont="0" applyFill="0" applyBorder="0" applyAlignment="0" applyProtection="0"/>
    <xf numFmtId="9" fontId="1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7" fillId="0" borderId="0"/>
    <xf numFmtId="181" fontId="117"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15" fillId="0" borderId="0"/>
    <xf numFmtId="0" fontId="13" fillId="0" borderId="0"/>
    <xf numFmtId="0" fontId="12" fillId="0" borderId="0"/>
    <xf numFmtId="0" fontId="12" fillId="0" borderId="0"/>
    <xf numFmtId="0" fontId="40" fillId="0" borderId="0"/>
    <xf numFmtId="0" fontId="12" fillId="0" borderId="0"/>
    <xf numFmtId="0" fontId="12" fillId="0" borderId="0"/>
    <xf numFmtId="0" fontId="13" fillId="0" borderId="0"/>
    <xf numFmtId="0" fontId="12" fillId="0" borderId="0"/>
    <xf numFmtId="0" fontId="40" fillId="0" borderId="0"/>
    <xf numFmtId="0" fontId="12" fillId="0" borderId="0"/>
    <xf numFmtId="0" fontId="12" fillId="0" borderId="0"/>
    <xf numFmtId="0" fontId="46" fillId="0" borderId="55"/>
    <xf numFmtId="0" fontId="98" fillId="0" borderId="0" applyNumberFormat="0" applyFill="0" applyBorder="0" applyAlignment="0" applyProtection="0"/>
    <xf numFmtId="0" fontId="98" fillId="0" borderId="0" applyNumberFormat="0" applyFill="0" applyBorder="0" applyAlignment="0" applyProtection="0"/>
    <xf numFmtId="0" fontId="7" fillId="0" borderId="64" applyNumberFormat="0" applyFill="0" applyAlignment="0" applyProtection="0"/>
    <xf numFmtId="0" fontId="48" fillId="0" borderId="55"/>
    <xf numFmtId="168" fontId="12" fillId="0" borderId="0" applyFont="0" applyFill="0" applyBorder="0" applyAlignment="0" applyProtection="0"/>
    <xf numFmtId="164" fontId="12"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82" fontId="12" fillId="0" borderId="0" applyFont="0" applyFill="0" applyBorder="0" applyAlignment="0" applyProtection="0"/>
    <xf numFmtId="168" fontId="13"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0" fontId="6" fillId="0" borderId="0" applyNumberFormat="0" applyFill="0" applyBorder="0" applyAlignment="0" applyProtection="0"/>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0" fontId="51" fillId="38" borderId="49"/>
    <xf numFmtId="174" fontId="13" fillId="38" borderId="49"/>
    <xf numFmtId="174" fontId="13" fillId="38" borderId="49"/>
    <xf numFmtId="174" fontId="13" fillId="38" borderId="49"/>
    <xf numFmtId="174" fontId="13" fillId="38" borderId="49"/>
    <xf numFmtId="0" fontId="48" fillId="0" borderId="55"/>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11" fillId="0" borderId="55"/>
    <xf numFmtId="37" fontId="111" fillId="0" borderId="0"/>
    <xf numFmtId="37" fontId="112" fillId="0" borderId="0"/>
    <xf numFmtId="37" fontId="111" fillId="0" borderId="0"/>
    <xf numFmtId="0" fontId="51" fillId="38" borderId="49"/>
    <xf numFmtId="174" fontId="13" fillId="38" borderId="49"/>
    <xf numFmtId="174" fontId="13" fillId="38" borderId="49"/>
    <xf numFmtId="174" fontId="13" fillId="38" borderId="49"/>
    <xf numFmtId="174" fontId="13" fillId="38" borderId="49"/>
    <xf numFmtId="0" fontId="111" fillId="0" borderId="55"/>
    <xf numFmtId="0" fontId="46" fillId="0" borderId="55"/>
    <xf numFmtId="172" fontId="12" fillId="0" borderId="0" applyFont="0" applyFill="0" applyBorder="0" applyAlignment="0" applyProtection="0"/>
    <xf numFmtId="167" fontId="13" fillId="0" borderId="0" applyFont="0" applyFill="0" applyBorder="0" applyAlignment="0" applyProtection="0"/>
    <xf numFmtId="0" fontId="12" fillId="0" borderId="0"/>
    <xf numFmtId="0" fontId="115" fillId="0" borderId="0"/>
    <xf numFmtId="0" fontId="40" fillId="0" borderId="0"/>
    <xf numFmtId="0" fontId="12" fillId="0" borderId="0"/>
    <xf numFmtId="0" fontId="12" fillId="0" borderId="0"/>
    <xf numFmtId="0" fontId="46" fillId="0" borderId="55"/>
    <xf numFmtId="168" fontId="12" fillId="0" borderId="0" applyFont="0" applyFill="0" applyBorder="0" applyAlignment="0" applyProtection="0"/>
    <xf numFmtId="182" fontId="12" fillId="0" borderId="0" applyFont="0" applyFill="0" applyBorder="0" applyAlignment="0" applyProtection="0"/>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49"/>
    <xf numFmtId="0" fontId="111" fillId="0" borderId="55"/>
    <xf numFmtId="0" fontId="51" fillId="38" borderId="49"/>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37" borderId="55"/>
    <xf numFmtId="0" fontId="48" fillId="37" borderId="55"/>
    <xf numFmtId="174" fontId="13" fillId="38" borderId="49"/>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49"/>
    <xf numFmtId="0" fontId="46" fillId="0" borderId="55"/>
    <xf numFmtId="0" fontId="46" fillId="0" borderId="55"/>
    <xf numFmtId="0" fontId="46" fillId="0" borderId="55"/>
    <xf numFmtId="0" fontId="46" fillId="0" borderId="55"/>
    <xf numFmtId="174" fontId="13" fillId="38" borderId="49"/>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49"/>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49"/>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49"/>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174" fontId="13" fillId="38" borderId="49"/>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49"/>
    <xf numFmtId="0" fontId="46" fillId="0" borderId="55"/>
    <xf numFmtId="0" fontId="46" fillId="0" borderId="55"/>
    <xf numFmtId="174" fontId="13" fillId="38" borderId="49"/>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49"/>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49"/>
    <xf numFmtId="0" fontId="46" fillId="0" borderId="55"/>
    <xf numFmtId="0" fontId="111"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46" fillId="0" borderId="55"/>
    <xf numFmtId="174" fontId="13" fillId="38" borderId="49"/>
    <xf numFmtId="0" fontId="48" fillId="0" borderId="55"/>
    <xf numFmtId="0" fontId="48" fillId="37" borderId="55"/>
    <xf numFmtId="0" fontId="46" fillId="0" borderId="55"/>
    <xf numFmtId="174" fontId="13" fillId="38" borderId="49"/>
    <xf numFmtId="0" fontId="46" fillId="0" borderId="55"/>
    <xf numFmtId="0" fontId="48" fillId="37" borderId="55"/>
    <xf numFmtId="174" fontId="13" fillId="38" borderId="49"/>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174" fontId="13" fillId="38" borderId="49"/>
    <xf numFmtId="0" fontId="111" fillId="0" borderId="55"/>
    <xf numFmtId="0" fontId="48" fillId="37" borderId="55"/>
    <xf numFmtId="0" fontId="46" fillId="0" borderId="55"/>
    <xf numFmtId="174" fontId="13" fillId="38" borderId="49"/>
    <xf numFmtId="174" fontId="13" fillId="38" borderId="49"/>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6" fillId="0" borderId="55"/>
    <xf numFmtId="174" fontId="13" fillId="38" borderId="49"/>
    <xf numFmtId="0" fontId="48" fillId="0" borderId="55"/>
    <xf numFmtId="174" fontId="13" fillId="38" borderId="49"/>
    <xf numFmtId="174" fontId="13" fillId="38" borderId="49"/>
    <xf numFmtId="0" fontId="46" fillId="0" borderId="55"/>
    <xf numFmtId="174" fontId="13" fillId="38" borderId="49"/>
    <xf numFmtId="0" fontId="51" fillId="38" borderId="49"/>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174" fontId="13" fillId="38" borderId="49"/>
    <xf numFmtId="0" fontId="48" fillId="37" borderId="55"/>
    <xf numFmtId="0" fontId="46" fillId="0" borderId="55"/>
    <xf numFmtId="0" fontId="51" fillId="38" borderId="49"/>
    <xf numFmtId="174" fontId="13" fillId="38" borderId="49"/>
    <xf numFmtId="0" fontId="46" fillId="0" borderId="55"/>
    <xf numFmtId="0" fontId="46"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6" fillId="0" borderId="55"/>
    <xf numFmtId="174" fontId="13" fillId="38" borderId="49"/>
    <xf numFmtId="0" fontId="48" fillId="37" borderId="55"/>
    <xf numFmtId="0" fontId="48" fillId="37" borderId="55"/>
    <xf numFmtId="0" fontId="46" fillId="0" borderId="55"/>
    <xf numFmtId="0" fontId="46" fillId="0" borderId="55"/>
    <xf numFmtId="174" fontId="13" fillId="38" borderId="49"/>
    <xf numFmtId="0" fontId="48"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6" fillId="0" borderId="55"/>
    <xf numFmtId="174" fontId="13" fillId="38" borderId="49"/>
    <xf numFmtId="0" fontId="51" fillId="38" borderId="49"/>
    <xf numFmtId="0" fontId="48" fillId="0" borderId="55"/>
    <xf numFmtId="0" fontId="46" fillId="0" borderId="55"/>
    <xf numFmtId="174" fontId="13" fillId="38" borderId="49"/>
    <xf numFmtId="0" fontId="48" fillId="37" borderId="55"/>
    <xf numFmtId="0" fontId="46" fillId="0" borderId="55"/>
    <xf numFmtId="174" fontId="13" fillId="38" borderId="49"/>
    <xf numFmtId="0" fontId="46" fillId="0" borderId="55"/>
    <xf numFmtId="0" fontId="48" fillId="0" borderId="55"/>
    <xf numFmtId="0" fontId="51" fillId="38" borderId="49"/>
    <xf numFmtId="174" fontId="13" fillId="38" borderId="49"/>
    <xf numFmtId="0" fontId="48" fillId="0" borderId="55"/>
    <xf numFmtId="174" fontId="13" fillId="38" borderId="49"/>
    <xf numFmtId="0" fontId="48" fillId="0" borderId="55"/>
    <xf numFmtId="174" fontId="13" fillId="38" borderId="49"/>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6" fillId="0" borderId="55"/>
    <xf numFmtId="0" fontId="51" fillId="38" borderId="49"/>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8" fillId="0" borderId="55"/>
    <xf numFmtId="174" fontId="13" fillId="38" borderId="49"/>
    <xf numFmtId="174" fontId="13" fillId="38" borderId="49"/>
    <xf numFmtId="174" fontId="13" fillId="38" borderId="49"/>
    <xf numFmtId="0" fontId="48" fillId="37" borderId="55"/>
    <xf numFmtId="0" fontId="46" fillId="0" borderId="55"/>
    <xf numFmtId="0" fontId="48" fillId="37" borderId="55"/>
    <xf numFmtId="0" fontId="51" fillId="38" borderId="49"/>
    <xf numFmtId="0" fontId="48" fillId="0" borderId="55"/>
    <xf numFmtId="174" fontId="13" fillId="38" borderId="49"/>
    <xf numFmtId="174" fontId="13" fillId="38" borderId="49"/>
    <xf numFmtId="0" fontId="46" fillId="0" borderId="55"/>
    <xf numFmtId="0" fontId="48" fillId="0" borderId="55"/>
    <xf numFmtId="0" fontId="46" fillId="0" borderId="55"/>
    <xf numFmtId="0" fontId="48" fillId="0" borderId="55"/>
    <xf numFmtId="0" fontId="51"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0" fontId="48" fillId="0" borderId="55"/>
    <xf numFmtId="0" fontId="51" fillId="38" borderId="49"/>
    <xf numFmtId="174" fontId="13" fillId="38" borderId="49"/>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174" fontId="13" fillId="38" borderId="49"/>
    <xf numFmtId="174" fontId="13" fillId="38" borderId="49"/>
    <xf numFmtId="0" fontId="46" fillId="0" borderId="55"/>
    <xf numFmtId="0" fontId="48" fillId="37" borderId="55"/>
    <xf numFmtId="0" fontId="46" fillId="0" borderId="55"/>
    <xf numFmtId="0" fontId="46" fillId="0" borderId="55"/>
    <xf numFmtId="0" fontId="48" fillId="0" borderId="55"/>
    <xf numFmtId="174" fontId="13" fillId="38" borderId="49"/>
    <xf numFmtId="0" fontId="51" fillId="38" borderId="49"/>
    <xf numFmtId="174" fontId="13" fillId="38" borderId="49"/>
    <xf numFmtId="0" fontId="46" fillId="0" borderId="55"/>
    <xf numFmtId="0" fontId="48" fillId="37" borderId="55"/>
    <xf numFmtId="174" fontId="13" fillId="38" borderId="49"/>
    <xf numFmtId="0" fontId="46" fillId="0" borderId="55"/>
    <xf numFmtId="0" fontId="48" fillId="0" borderId="55"/>
    <xf numFmtId="0" fontId="51" fillId="38" borderId="49"/>
    <xf numFmtId="174" fontId="13" fillId="38" borderId="49"/>
    <xf numFmtId="0" fontId="46" fillId="0" borderId="55"/>
    <xf numFmtId="0" fontId="51" fillId="38" borderId="49"/>
    <xf numFmtId="0" fontId="48" fillId="0" borderId="55"/>
    <xf numFmtId="0" fontId="48" fillId="37" borderId="55"/>
    <xf numFmtId="0" fontId="48" fillId="0" borderId="55"/>
    <xf numFmtId="174" fontId="13" fillId="38" borderId="49"/>
    <xf numFmtId="0" fontId="111" fillId="0" borderId="55"/>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51" fillId="38" borderId="49"/>
    <xf numFmtId="0" fontId="46" fillId="0" borderId="55"/>
    <xf numFmtId="174" fontId="13" fillId="38" borderId="49"/>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0" fontId="46" fillId="0" borderId="55"/>
    <xf numFmtId="0" fontId="46" fillId="0" borderId="55"/>
    <xf numFmtId="174" fontId="13" fillId="38" borderId="49"/>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49"/>
    <xf numFmtId="0" fontId="48" fillId="37" borderId="55"/>
    <xf numFmtId="0" fontId="48" fillId="37" borderId="55"/>
    <xf numFmtId="0" fontId="46" fillId="0" borderId="55"/>
    <xf numFmtId="0" fontId="48" fillId="37" borderId="55"/>
    <xf numFmtId="174" fontId="13" fillId="38" borderId="49"/>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174" fontId="13" fillId="38" borderId="49"/>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8" fillId="0" borderId="55"/>
    <xf numFmtId="0" fontId="48"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49"/>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49"/>
    <xf numFmtId="174" fontId="13" fillId="38" borderId="49"/>
    <xf numFmtId="0" fontId="48" fillId="0" borderId="55"/>
    <xf numFmtId="0" fontId="46" fillId="0" borderId="55"/>
    <xf numFmtId="0" fontId="48" fillId="0" borderId="55"/>
    <xf numFmtId="174" fontId="13" fillId="38" borderId="49"/>
    <xf numFmtId="174" fontId="13" fillId="38" borderId="49"/>
    <xf numFmtId="0" fontId="46" fillId="0" borderId="55"/>
    <xf numFmtId="0" fontId="51" fillId="38" borderId="49"/>
    <xf numFmtId="0" fontId="51" fillId="38" borderId="49"/>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49"/>
    <xf numFmtId="174" fontId="13" fillId="38" borderId="49"/>
    <xf numFmtId="0" fontId="48" fillId="37" borderId="55"/>
    <xf numFmtId="174" fontId="13" fillId="38" borderId="49"/>
    <xf numFmtId="174" fontId="13" fillId="38" borderId="49"/>
    <xf numFmtId="174" fontId="13" fillId="38" borderId="49"/>
    <xf numFmtId="174" fontId="13" fillId="38" borderId="49"/>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49"/>
    <xf numFmtId="0" fontId="46" fillId="0" borderId="55"/>
    <xf numFmtId="174" fontId="13" fillId="38" borderId="49"/>
    <xf numFmtId="0" fontId="48" fillId="0" borderId="55"/>
    <xf numFmtId="0" fontId="46" fillId="0" borderId="55"/>
    <xf numFmtId="0" fontId="48" fillId="0" borderId="55"/>
    <xf numFmtId="0" fontId="46" fillId="0" borderId="55"/>
    <xf numFmtId="174" fontId="13" fillId="38" borderId="49"/>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49"/>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49"/>
    <xf numFmtId="0" fontId="48" fillId="37" borderId="55"/>
    <xf numFmtId="0" fontId="48" fillId="0" borderId="55"/>
    <xf numFmtId="0" fontId="51" fillId="38" borderId="49"/>
    <xf numFmtId="174" fontId="13" fillId="38" borderId="49"/>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49"/>
    <xf numFmtId="0" fontId="48" fillId="37" borderId="55"/>
    <xf numFmtId="0" fontId="48" fillId="37" borderId="55"/>
    <xf numFmtId="0" fontId="48" fillId="37" borderId="55"/>
    <xf numFmtId="0" fontId="48" fillId="0" borderId="55"/>
    <xf numFmtId="0" fontId="51" fillId="38" borderId="49"/>
    <xf numFmtId="0" fontId="46" fillId="0" borderId="55"/>
    <xf numFmtId="0" fontId="48" fillId="37" borderId="55"/>
    <xf numFmtId="174" fontId="13" fillId="38" borderId="49"/>
    <xf numFmtId="174" fontId="13" fillId="38" borderId="49"/>
    <xf numFmtId="0" fontId="46" fillId="0" borderId="55"/>
    <xf numFmtId="0" fontId="48" fillId="37" borderId="55"/>
    <xf numFmtId="174" fontId="13" fillId="38" borderId="49"/>
    <xf numFmtId="0" fontId="48" fillId="0" borderId="55"/>
    <xf numFmtId="174" fontId="13" fillId="38" borderId="49"/>
    <xf numFmtId="0" fontId="111" fillId="0"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174" fontId="13" fillId="38" borderId="49"/>
    <xf numFmtId="0" fontId="48" fillId="0" borderId="55"/>
    <xf numFmtId="0" fontId="46" fillId="0" borderId="55"/>
    <xf numFmtId="174" fontId="13" fillId="38" borderId="49"/>
    <xf numFmtId="0" fontId="48" fillId="0" borderId="55"/>
    <xf numFmtId="174" fontId="13" fillId="38" borderId="49"/>
    <xf numFmtId="0" fontId="46" fillId="0" borderId="55"/>
    <xf numFmtId="0" fontId="46" fillId="0" borderId="55"/>
    <xf numFmtId="0" fontId="111" fillId="0" borderId="55"/>
    <xf numFmtId="174" fontId="13" fillId="38" borderId="49"/>
    <xf numFmtId="0" fontId="48" fillId="37" borderId="55"/>
    <xf numFmtId="174" fontId="13" fillId="38" borderId="49"/>
    <xf numFmtId="174" fontId="13" fillId="38" borderId="49"/>
    <xf numFmtId="0" fontId="48" fillId="37" borderId="55"/>
    <xf numFmtId="0" fontId="48" fillId="0" borderId="55"/>
    <xf numFmtId="0" fontId="48" fillId="0" borderId="55"/>
    <xf numFmtId="0" fontId="51" fillId="38" borderId="49"/>
    <xf numFmtId="0" fontId="48" fillId="37" borderId="55"/>
    <xf numFmtId="174" fontId="13" fillId="38" borderId="49"/>
    <xf numFmtId="0" fontId="46" fillId="0" borderId="55"/>
    <xf numFmtId="0" fontId="48" fillId="0" borderId="55"/>
    <xf numFmtId="0" fontId="51" fillId="38" borderId="49"/>
    <xf numFmtId="174" fontId="13" fillId="38" borderId="49"/>
    <xf numFmtId="174" fontId="13" fillId="38" borderId="49"/>
    <xf numFmtId="174" fontId="13" fillId="38" borderId="49"/>
    <xf numFmtId="174" fontId="13" fillId="38" borderId="49"/>
    <xf numFmtId="174" fontId="13" fillId="38" borderId="49"/>
    <xf numFmtId="0" fontId="51" fillId="38" borderId="49"/>
    <xf numFmtId="0" fontId="48" fillId="37"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111" fillId="0" borderId="55"/>
    <xf numFmtId="0" fontId="48"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49"/>
    <xf numFmtId="0" fontId="46" fillId="0" borderId="55"/>
    <xf numFmtId="0" fontId="46" fillId="0" borderId="55"/>
    <xf numFmtId="0" fontId="111" fillId="0" borderId="55"/>
    <xf numFmtId="0" fontId="48" fillId="0" borderId="55"/>
    <xf numFmtId="0" fontId="48" fillId="37" borderId="55"/>
    <xf numFmtId="0" fontId="46" fillId="0" borderId="55"/>
    <xf numFmtId="0" fontId="48" fillId="0" borderId="55"/>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51" fillId="38" borderId="49"/>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174" fontId="13" fillId="38" borderId="56"/>
    <xf numFmtId="0" fontId="48" fillId="37" borderId="55"/>
    <xf numFmtId="0" fontId="46" fillId="0" borderId="55"/>
    <xf numFmtId="174" fontId="13" fillId="38" borderId="56"/>
    <xf numFmtId="0" fontId="48"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0" fontId="46" fillId="0" borderId="55"/>
    <xf numFmtId="0" fontId="51" fillId="38" borderId="56"/>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8" fillId="37" borderId="55"/>
    <xf numFmtId="174" fontId="13" fillId="38" borderId="49"/>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8" fillId="37" borderId="55"/>
    <xf numFmtId="0" fontId="46" fillId="0" borderId="55"/>
    <xf numFmtId="174" fontId="13" fillId="38" borderId="56"/>
    <xf numFmtId="0" fontId="51" fillId="38" borderId="56"/>
    <xf numFmtId="174" fontId="13" fillId="38" borderId="56"/>
    <xf numFmtId="0" fontId="48" fillId="37" borderId="55"/>
    <xf numFmtId="174" fontId="13" fillId="38" borderId="56"/>
    <xf numFmtId="0" fontId="51" fillId="38" borderId="56"/>
    <xf numFmtId="174" fontId="13" fillId="38" borderId="56"/>
    <xf numFmtId="0" fontId="48"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0" fontId="48" fillId="0" borderId="55"/>
    <xf numFmtId="0" fontId="51" fillId="38" borderId="56"/>
    <xf numFmtId="0" fontId="48" fillId="0" borderId="55"/>
    <xf numFmtId="174" fontId="13" fillId="38" borderId="56"/>
    <xf numFmtId="174" fontId="13" fillId="38" borderId="56"/>
    <xf numFmtId="0" fontId="48" fillId="0" borderId="55"/>
    <xf numFmtId="0" fontId="51" fillId="38" borderId="56"/>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0" borderId="55"/>
    <xf numFmtId="174" fontId="13" fillId="38" borderId="49"/>
    <xf numFmtId="174" fontId="13" fillId="38" borderId="49"/>
    <xf numFmtId="174" fontId="13" fillId="38" borderId="56"/>
    <xf numFmtId="0" fontId="51" fillId="38" borderId="56"/>
    <xf numFmtId="0" fontId="46" fillId="0" borderId="55"/>
    <xf numFmtId="0" fontId="48" fillId="37" borderId="55"/>
    <xf numFmtId="174" fontId="13" fillId="38" borderId="49"/>
    <xf numFmtId="0" fontId="48" fillId="37" borderId="55"/>
    <xf numFmtId="174" fontId="13" fillId="38" borderId="56"/>
    <xf numFmtId="174" fontId="13" fillId="38" borderId="56"/>
    <xf numFmtId="174" fontId="13" fillId="38" borderId="49"/>
    <xf numFmtId="0" fontId="46" fillId="0" borderId="55"/>
    <xf numFmtId="0" fontId="46" fillId="0" borderId="55"/>
    <xf numFmtId="174" fontId="13" fillId="38" borderId="56"/>
    <xf numFmtId="0" fontId="111" fillId="0" borderId="55"/>
    <xf numFmtId="174" fontId="13" fillId="38" borderId="49"/>
    <xf numFmtId="0" fontId="51" fillId="38" borderId="56"/>
    <xf numFmtId="0" fontId="48" fillId="37" borderId="55"/>
    <xf numFmtId="0" fontId="48" fillId="0" borderId="55"/>
    <xf numFmtId="0" fontId="46" fillId="0" borderId="55"/>
    <xf numFmtId="174" fontId="13" fillId="38" borderId="49"/>
    <xf numFmtId="174" fontId="13" fillId="38" borderId="56"/>
    <xf numFmtId="0" fontId="46" fillId="0" borderId="55"/>
    <xf numFmtId="0" fontId="48" fillId="37" borderId="55"/>
    <xf numFmtId="0" fontId="48" fillId="37" borderId="55"/>
    <xf numFmtId="174" fontId="13" fillId="38" borderId="56"/>
    <xf numFmtId="0" fontId="46" fillId="0" borderId="55"/>
    <xf numFmtId="174" fontId="13" fillId="38" borderId="56"/>
    <xf numFmtId="0" fontId="48"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6" fillId="0" borderId="55"/>
    <xf numFmtId="0" fontId="111" fillId="0" borderId="55"/>
    <xf numFmtId="0" fontId="48" fillId="0" borderId="55"/>
    <xf numFmtId="0" fontId="46" fillId="0" borderId="55"/>
    <xf numFmtId="174" fontId="13" fillId="38" borderId="56"/>
    <xf numFmtId="174" fontId="13" fillId="38" borderId="56"/>
    <xf numFmtId="174" fontId="13" fillId="38" borderId="56"/>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8" fillId="37" borderId="55"/>
    <xf numFmtId="174" fontId="13" fillId="38" borderId="49"/>
    <xf numFmtId="0" fontId="46" fillId="0" borderId="55"/>
    <xf numFmtId="174" fontId="13" fillId="38" borderId="49"/>
    <xf numFmtId="174" fontId="13" fillId="38" borderId="56"/>
    <xf numFmtId="0" fontId="48" fillId="37" borderId="55"/>
    <xf numFmtId="0" fontId="51" fillId="38" borderId="49"/>
    <xf numFmtId="0" fontId="48" fillId="0"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49"/>
    <xf numFmtId="174" fontId="13" fillId="38" borderId="49"/>
    <xf numFmtId="0" fontId="48" fillId="37" borderId="55"/>
    <xf numFmtId="0" fontId="48" fillId="0" borderId="55"/>
    <xf numFmtId="0" fontId="46" fillId="0" borderId="55"/>
    <xf numFmtId="174" fontId="13" fillId="38" borderId="56"/>
    <xf numFmtId="0" fontId="48" fillId="37" borderId="55"/>
    <xf numFmtId="0" fontId="46" fillId="0" borderId="55"/>
    <xf numFmtId="0" fontId="48" fillId="0" borderId="55"/>
    <xf numFmtId="0" fontId="48" fillId="0" borderId="55"/>
    <xf numFmtId="174" fontId="13" fillId="38" borderId="49"/>
    <xf numFmtId="0" fontId="48"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51" fillId="38" borderId="56"/>
    <xf numFmtId="0" fontId="51" fillId="38" borderId="49"/>
    <xf numFmtId="0" fontId="46" fillId="0" borderId="55"/>
    <xf numFmtId="174" fontId="13" fillId="38" borderId="49"/>
    <xf numFmtId="0" fontId="46" fillId="0" borderId="55"/>
    <xf numFmtId="174" fontId="13" fillId="38" borderId="49"/>
    <xf numFmtId="0" fontId="46" fillId="0" borderId="55"/>
    <xf numFmtId="0" fontId="46" fillId="0" borderId="55"/>
    <xf numFmtId="0" fontId="51" fillId="38" borderId="56"/>
    <xf numFmtId="0" fontId="48" fillId="0" borderId="55"/>
    <xf numFmtId="0" fontId="46" fillId="0" borderId="55"/>
    <xf numFmtId="0" fontId="46" fillId="0" borderId="55"/>
    <xf numFmtId="0" fontId="48" fillId="0" borderId="55"/>
    <xf numFmtId="0" fontId="111" fillId="0" borderId="55"/>
    <xf numFmtId="0" fontId="48" fillId="37" borderId="55"/>
    <xf numFmtId="0" fontId="46" fillId="0" borderId="55"/>
    <xf numFmtId="0" fontId="48" fillId="37" borderId="55"/>
    <xf numFmtId="0" fontId="48" fillId="37" borderId="55"/>
    <xf numFmtId="0" fontId="48" fillId="37" borderId="55"/>
    <xf numFmtId="174" fontId="13" fillId="38" borderId="56"/>
    <xf numFmtId="174" fontId="13" fillId="38" borderId="49"/>
    <xf numFmtId="0" fontId="48" fillId="0" borderId="55"/>
    <xf numFmtId="0" fontId="48" fillId="37" borderId="55"/>
    <xf numFmtId="0" fontId="46" fillId="0" borderId="55"/>
    <xf numFmtId="0" fontId="48"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51" fillId="38" borderId="56"/>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174" fontId="13" fillId="38" borderId="49"/>
    <xf numFmtId="0" fontId="48" fillId="37" borderId="55"/>
    <xf numFmtId="0" fontId="46" fillId="0"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51" fillId="38" borderId="49"/>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111"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8" fillId="0" borderId="55"/>
    <xf numFmtId="174" fontId="13" fillId="38" borderId="56"/>
    <xf numFmtId="0" fontId="48" fillId="0" borderId="55"/>
    <xf numFmtId="0" fontId="48" fillId="0" borderId="55"/>
    <xf numFmtId="0" fontId="46" fillId="0" borderId="55"/>
    <xf numFmtId="0" fontId="48" fillId="37"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111" fillId="0" borderId="55"/>
    <xf numFmtId="0" fontId="48" fillId="37"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8" fillId="37" borderId="55"/>
    <xf numFmtId="0" fontId="46" fillId="0" borderId="55"/>
    <xf numFmtId="0" fontId="51" fillId="38" borderId="56"/>
    <xf numFmtId="0" fontId="46" fillId="0" borderId="55"/>
    <xf numFmtId="0" fontId="48" fillId="37" borderId="55"/>
    <xf numFmtId="0" fontId="46" fillId="0" borderId="55"/>
    <xf numFmtId="0" fontId="51" fillId="38" borderId="49"/>
    <xf numFmtId="0" fontId="46" fillId="0" borderId="55"/>
    <xf numFmtId="0" fontId="48" fillId="37" borderId="55"/>
    <xf numFmtId="0" fontId="46" fillId="0" borderId="55"/>
    <xf numFmtId="0" fontId="48" fillId="37" borderId="55"/>
    <xf numFmtId="0" fontId="48" fillId="0" borderId="55"/>
    <xf numFmtId="0" fontId="48" fillId="0" borderId="55"/>
    <xf numFmtId="0" fontId="46" fillId="0" borderId="55"/>
    <xf numFmtId="174" fontId="13" fillId="38" borderId="56"/>
    <xf numFmtId="0" fontId="46" fillId="0" borderId="55"/>
    <xf numFmtId="0" fontId="46" fillId="0" borderId="55"/>
    <xf numFmtId="174" fontId="13" fillId="38" borderId="49"/>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51" fillId="38" borderId="56"/>
    <xf numFmtId="0" fontId="48" fillId="37"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37" borderId="55"/>
    <xf numFmtId="0" fontId="48" fillId="0" borderId="55"/>
    <xf numFmtId="0" fontId="48" fillId="37" borderId="55"/>
    <xf numFmtId="0" fontId="111" fillId="0" borderId="55"/>
    <xf numFmtId="0" fontId="46" fillId="0" borderId="55"/>
    <xf numFmtId="0" fontId="48" fillId="0" borderId="55"/>
    <xf numFmtId="0" fontId="48" fillId="0" borderId="55"/>
    <xf numFmtId="0" fontId="46" fillId="0" borderId="55"/>
    <xf numFmtId="0" fontId="51" fillId="38" borderId="49"/>
    <xf numFmtId="0" fontId="48" fillId="37" borderId="55"/>
    <xf numFmtId="174" fontId="13" fillId="38" borderId="56"/>
    <xf numFmtId="0" fontId="48" fillId="0" borderId="55"/>
    <xf numFmtId="0" fontId="48" fillId="0" borderId="55"/>
    <xf numFmtId="0" fontId="48" fillId="37" borderId="55"/>
    <xf numFmtId="0" fontId="46" fillId="0" borderId="55"/>
    <xf numFmtId="0" fontId="48" fillId="37" borderId="55"/>
    <xf numFmtId="174" fontId="13" fillId="38" borderId="49"/>
    <xf numFmtId="0" fontId="48" fillId="0" borderId="55"/>
    <xf numFmtId="0" fontId="46" fillId="0" borderId="55"/>
    <xf numFmtId="0" fontId="48" fillId="0" borderId="55"/>
    <xf numFmtId="174" fontId="13" fillId="38" borderId="56"/>
    <xf numFmtId="0" fontId="48" fillId="0" borderId="55"/>
    <xf numFmtId="0" fontId="46" fillId="0" borderId="55"/>
    <xf numFmtId="174" fontId="13" fillId="38" borderId="56"/>
    <xf numFmtId="0" fontId="51" fillId="38" borderId="49"/>
    <xf numFmtId="0" fontId="48" fillId="37" borderId="55"/>
    <xf numFmtId="0" fontId="111" fillId="0" borderId="55"/>
    <xf numFmtId="174" fontId="13" fillId="38" borderId="56"/>
    <xf numFmtId="0" fontId="111" fillId="0" borderId="55"/>
    <xf numFmtId="0" fontId="48" fillId="0" borderId="55"/>
    <xf numFmtId="0" fontId="48" fillId="37" borderId="55"/>
    <xf numFmtId="0" fontId="48" fillId="0" borderId="55"/>
    <xf numFmtId="174" fontId="13" fillId="38" borderId="56"/>
    <xf numFmtId="174" fontId="13" fillId="38" borderId="49"/>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0" borderId="55"/>
    <xf numFmtId="0" fontId="111" fillId="0" borderId="55"/>
    <xf numFmtId="0" fontId="48" fillId="0" borderId="55"/>
    <xf numFmtId="174" fontId="13" fillId="38" borderId="49"/>
    <xf numFmtId="0" fontId="46" fillId="0" borderId="55"/>
    <xf numFmtId="0" fontId="48" fillId="0" borderId="55"/>
    <xf numFmtId="0" fontId="46" fillId="0" borderId="55"/>
    <xf numFmtId="0" fontId="51" fillId="38" borderId="49"/>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51"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8" fillId="0" borderId="55"/>
    <xf numFmtId="0" fontId="111" fillId="0" borderId="55"/>
    <xf numFmtId="0" fontId="48" fillId="37" borderId="55"/>
    <xf numFmtId="0" fontId="51" fillId="38" borderId="49"/>
    <xf numFmtId="0" fontId="111" fillId="0" borderId="55"/>
    <xf numFmtId="0" fontId="48" fillId="0" borderId="55"/>
    <xf numFmtId="174" fontId="13" fillId="38" borderId="49"/>
    <xf numFmtId="0" fontId="46" fillId="0" borderId="55"/>
    <xf numFmtId="0" fontId="48" fillId="0" borderId="55"/>
    <xf numFmtId="0" fontId="48"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174" fontId="13" fillId="38" borderId="49"/>
    <xf numFmtId="0" fontId="48" fillId="37" borderId="55"/>
    <xf numFmtId="0" fontId="46" fillId="0" borderId="55"/>
    <xf numFmtId="0" fontId="46" fillId="0" borderId="55"/>
    <xf numFmtId="0" fontId="46" fillId="0" borderId="55"/>
    <xf numFmtId="174" fontId="13" fillId="38" borderId="49"/>
    <xf numFmtId="0" fontId="48" fillId="0" borderId="55"/>
    <xf numFmtId="0" fontId="48" fillId="37" borderId="55"/>
    <xf numFmtId="0" fontId="46" fillId="0" borderId="55"/>
    <xf numFmtId="0" fontId="46" fillId="0" borderId="55"/>
    <xf numFmtId="0" fontId="48" fillId="0" borderId="55"/>
    <xf numFmtId="174" fontId="13" fillId="38" borderId="49"/>
    <xf numFmtId="174" fontId="13" fillId="38" borderId="56"/>
    <xf numFmtId="0" fontId="48" fillId="0" borderId="55"/>
    <xf numFmtId="174" fontId="13" fillId="38" borderId="56"/>
    <xf numFmtId="0" fontId="46" fillId="0" borderId="55"/>
    <xf numFmtId="0" fontId="51" fillId="38" borderId="49"/>
    <xf numFmtId="0" fontId="48" fillId="37"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8" fillId="37" borderId="55"/>
    <xf numFmtId="0" fontId="46" fillId="0" borderId="55"/>
    <xf numFmtId="174" fontId="13" fillId="38" borderId="56"/>
    <xf numFmtId="174" fontId="13" fillId="38" borderId="49"/>
    <xf numFmtId="174" fontId="13" fillId="38" borderId="56"/>
    <xf numFmtId="0" fontId="48" fillId="37" borderId="55"/>
    <xf numFmtId="0" fontId="111"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6"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6" fillId="0" borderId="55"/>
    <xf numFmtId="174" fontId="13" fillId="38" borderId="49"/>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8" fillId="37" borderId="55"/>
    <xf numFmtId="0" fontId="46" fillId="0"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111" fillId="0" borderId="55"/>
    <xf numFmtId="174" fontId="13" fillId="38" borderId="56"/>
    <xf numFmtId="0" fontId="46" fillId="0" borderId="55"/>
    <xf numFmtId="0" fontId="111" fillId="0" borderId="55"/>
    <xf numFmtId="0" fontId="46" fillId="0" borderId="55"/>
    <xf numFmtId="0" fontId="48" fillId="0" borderId="55"/>
    <xf numFmtId="0" fontId="46"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174" fontId="13" fillId="38" borderId="49"/>
    <xf numFmtId="0" fontId="48" fillId="0" borderId="55"/>
    <xf numFmtId="0" fontId="46" fillId="0" borderId="55"/>
    <xf numFmtId="0" fontId="48" fillId="0" borderId="55"/>
    <xf numFmtId="0" fontId="46" fillId="0" borderId="55"/>
    <xf numFmtId="0" fontId="51" fillId="38" borderId="49"/>
    <xf numFmtId="0" fontId="46" fillId="0" borderId="55"/>
    <xf numFmtId="0" fontId="48" fillId="0" borderId="55"/>
    <xf numFmtId="0" fontId="48" fillId="37" borderId="55"/>
    <xf numFmtId="0" fontId="51" fillId="38" borderId="49"/>
    <xf numFmtId="0" fontId="48" fillId="0" borderId="55"/>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46" fillId="0" borderId="55"/>
    <xf numFmtId="0" fontId="48" fillId="37" borderId="55"/>
    <xf numFmtId="174" fontId="13" fillId="38" borderId="49"/>
    <xf numFmtId="0" fontId="48" fillId="37" borderId="55"/>
    <xf numFmtId="0" fontId="48" fillId="37" borderId="55"/>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51" fillId="38" borderId="49"/>
    <xf numFmtId="0" fontId="48" fillId="37" borderId="55"/>
    <xf numFmtId="0" fontId="48"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49"/>
    <xf numFmtId="0" fontId="48" fillId="37" borderId="55"/>
    <xf numFmtId="0" fontId="46" fillId="0" borderId="55"/>
    <xf numFmtId="174" fontId="13"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111"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8" fillId="37" borderId="55"/>
    <xf numFmtId="0" fontId="111" fillId="0" borderId="55"/>
    <xf numFmtId="0" fontId="48" fillId="0" borderId="55"/>
    <xf numFmtId="0" fontId="48" fillId="0" borderId="55"/>
    <xf numFmtId="174" fontId="13" fillId="38" borderId="49"/>
    <xf numFmtId="0" fontId="46" fillId="0" borderId="55"/>
    <xf numFmtId="0" fontId="48" fillId="0" borderId="55"/>
    <xf numFmtId="0" fontId="48" fillId="37" borderId="55"/>
    <xf numFmtId="0" fontId="48" fillId="0" borderId="55"/>
    <xf numFmtId="0" fontId="46" fillId="0" borderId="55"/>
    <xf numFmtId="0" fontId="48"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8" fillId="37" borderId="55"/>
    <xf numFmtId="0" fontId="46" fillId="0" borderId="55"/>
    <xf numFmtId="0" fontId="111" fillId="0" borderId="55"/>
    <xf numFmtId="0" fontId="46" fillId="0" borderId="55"/>
    <xf numFmtId="174" fontId="13" fillId="38" borderId="49"/>
    <xf numFmtId="0" fontId="111" fillId="0" borderId="55"/>
    <xf numFmtId="174" fontId="13" fillId="38" borderId="49"/>
    <xf numFmtId="0" fontId="48" fillId="37"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8" fillId="37" borderId="55"/>
    <xf numFmtId="0" fontId="48" fillId="0" borderId="55"/>
    <xf numFmtId="0" fontId="46" fillId="0" borderId="55"/>
    <xf numFmtId="174" fontId="13" fillId="38" borderId="49"/>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174" fontId="13" fillId="38" borderId="49"/>
    <xf numFmtId="174" fontId="13" fillId="38" borderId="56"/>
    <xf numFmtId="174" fontId="13" fillId="38" borderId="49"/>
    <xf numFmtId="174" fontId="13" fillId="38" borderId="49"/>
    <xf numFmtId="0" fontId="46" fillId="0" borderId="55"/>
    <xf numFmtId="0" fontId="51" fillId="38" borderId="49"/>
    <xf numFmtId="0" fontId="46" fillId="0"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111"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0" borderId="55"/>
    <xf numFmtId="0" fontId="48" fillId="37" borderId="55"/>
    <xf numFmtId="0" fontId="46" fillId="0" borderId="55"/>
    <xf numFmtId="174" fontId="13" fillId="38" borderId="49"/>
    <xf numFmtId="0" fontId="46" fillId="0" borderId="55"/>
    <xf numFmtId="0" fontId="48" fillId="0" borderId="55"/>
    <xf numFmtId="0" fontId="48" fillId="37" borderId="55"/>
    <xf numFmtId="174" fontId="13" fillId="38" borderId="49"/>
    <xf numFmtId="0" fontId="111" fillId="0" borderId="55"/>
    <xf numFmtId="0" fontId="48" fillId="37" borderId="55"/>
    <xf numFmtId="0" fontId="48" fillId="37" borderId="55"/>
    <xf numFmtId="0" fontId="46" fillId="0" borderId="55"/>
    <xf numFmtId="0" fontId="51" fillId="38" borderId="49"/>
    <xf numFmtId="0" fontId="48" fillId="0" borderId="55"/>
    <xf numFmtId="0" fontId="48" fillId="37" borderId="55"/>
    <xf numFmtId="0" fontId="48" fillId="0" borderId="55"/>
    <xf numFmtId="174" fontId="13" fillId="38" borderId="56"/>
    <xf numFmtId="0" fontId="48" fillId="0" borderId="55"/>
    <xf numFmtId="0" fontId="48" fillId="37" borderId="55"/>
    <xf numFmtId="174" fontId="13" fillId="38" borderId="49"/>
    <xf numFmtId="0" fontId="46" fillId="0" borderId="55"/>
    <xf numFmtId="174" fontId="13" fillId="38" borderId="49"/>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49"/>
    <xf numFmtId="174" fontId="13" fillId="38" borderId="49"/>
    <xf numFmtId="0" fontId="48" fillId="0" borderId="55"/>
    <xf numFmtId="174" fontId="13" fillId="38" borderId="49"/>
    <xf numFmtId="0" fontId="46" fillId="0" borderId="55"/>
    <xf numFmtId="0" fontId="48" fillId="37" borderId="55"/>
    <xf numFmtId="0" fontId="46" fillId="0" borderId="55"/>
    <xf numFmtId="0" fontId="111" fillId="0" borderId="55"/>
    <xf numFmtId="0" fontId="46" fillId="0" borderId="55"/>
    <xf numFmtId="174" fontId="13" fillId="38" borderId="49"/>
    <xf numFmtId="174" fontId="13" fillId="38" borderId="49"/>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174" fontId="13" fillId="38" borderId="49"/>
    <xf numFmtId="174" fontId="13" fillId="38" borderId="56"/>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51" fillId="38" borderId="49"/>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51" fillId="38" borderId="56"/>
    <xf numFmtId="174" fontId="13" fillId="38" borderId="49"/>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8" fillId="37" borderId="55"/>
    <xf numFmtId="174" fontId="13" fillId="38" borderId="56"/>
    <xf numFmtId="0" fontId="46" fillId="0"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48" fillId="37" borderId="55"/>
    <xf numFmtId="174" fontId="13" fillId="38" borderId="49"/>
    <xf numFmtId="0" fontId="46" fillId="0" borderId="55"/>
    <xf numFmtId="174" fontId="13" fillId="38" borderId="56"/>
    <xf numFmtId="174" fontId="13" fillId="38" borderId="49"/>
    <xf numFmtId="0" fontId="51" fillId="38" borderId="49"/>
    <xf numFmtId="0" fontId="111"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49"/>
    <xf numFmtId="0" fontId="48" fillId="37"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174" fontId="13" fillId="38" borderId="56"/>
    <xf numFmtId="174" fontId="13" fillId="38" borderId="56"/>
    <xf numFmtId="174" fontId="13" fillId="38" borderId="56"/>
    <xf numFmtId="0" fontId="46" fillId="0" borderId="55"/>
    <xf numFmtId="174" fontId="13" fillId="38" borderId="49"/>
    <xf numFmtId="174" fontId="13" fillId="38" borderId="49"/>
    <xf numFmtId="0" fontId="111" fillId="0" borderId="55"/>
    <xf numFmtId="0" fontId="51" fillId="38" borderId="56"/>
    <xf numFmtId="0" fontId="46" fillId="0" borderId="55"/>
    <xf numFmtId="0" fontId="46" fillId="0" borderId="55"/>
    <xf numFmtId="174" fontId="13" fillId="38" borderId="56"/>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6" fillId="0" borderId="55"/>
    <xf numFmtId="174" fontId="13" fillId="38" borderId="49"/>
    <xf numFmtId="0" fontId="48" fillId="37"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174" fontId="13" fillId="38" borderId="49"/>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56"/>
    <xf numFmtId="0" fontId="111" fillId="0" borderId="55"/>
    <xf numFmtId="0" fontId="51" fillId="38" borderId="56"/>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8" fillId="37" borderId="55"/>
    <xf numFmtId="174" fontId="13" fillId="38" borderId="56"/>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56"/>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56"/>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56"/>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56"/>
    <xf numFmtId="0" fontId="46" fillId="0" borderId="55"/>
    <xf numFmtId="0" fontId="111"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56"/>
    <xf numFmtId="0" fontId="48" fillId="0" borderId="55"/>
    <xf numFmtId="0" fontId="46" fillId="0" borderId="55"/>
    <xf numFmtId="174" fontId="13" fillId="38" borderId="56"/>
    <xf numFmtId="0" fontId="111" fillId="0" borderId="55"/>
    <xf numFmtId="0" fontId="48" fillId="37" borderId="55"/>
    <xf numFmtId="0" fontId="46" fillId="0" borderId="55"/>
    <xf numFmtId="174" fontId="13" fillId="38" borderId="56"/>
    <xf numFmtId="174" fontId="13" fillId="38" borderId="56"/>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56"/>
    <xf numFmtId="0" fontId="46" fillId="0" borderId="55"/>
    <xf numFmtId="174" fontId="13" fillId="38" borderId="56"/>
    <xf numFmtId="0" fontId="48" fillId="0" borderId="55"/>
    <xf numFmtId="174" fontId="13" fillId="38" borderId="56"/>
    <xf numFmtId="174" fontId="13" fillId="38" borderId="56"/>
    <xf numFmtId="0" fontId="46"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111"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51" fillId="38" borderId="56"/>
    <xf numFmtId="0" fontId="48" fillId="0" borderId="55"/>
    <xf numFmtId="0" fontId="48" fillId="37" borderId="55"/>
    <xf numFmtId="0" fontId="48" fillId="0" borderId="55"/>
    <xf numFmtId="174" fontId="13" fillId="38" borderId="56"/>
    <xf numFmtId="0" fontId="111"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56"/>
    <xf numFmtId="0" fontId="48"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8" fillId="0" borderId="55"/>
    <xf numFmtId="0" fontId="48" fillId="0"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174" fontId="13" fillId="38" borderId="56"/>
    <xf numFmtId="0" fontId="48" fillId="0" borderId="55"/>
    <xf numFmtId="0" fontId="46" fillId="0" borderId="55"/>
    <xf numFmtId="0" fontId="48" fillId="0" borderId="55"/>
    <xf numFmtId="174" fontId="13" fillId="38" borderId="56"/>
    <xf numFmtId="174" fontId="13" fillId="38" borderId="56"/>
    <xf numFmtId="0" fontId="46" fillId="0" borderId="55"/>
    <xf numFmtId="0" fontId="51" fillId="38" borderId="56"/>
    <xf numFmtId="0" fontId="51" fillId="38" borderId="56"/>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56"/>
    <xf numFmtId="0" fontId="46" fillId="0" borderId="55"/>
    <xf numFmtId="174" fontId="13" fillId="38" borderId="56"/>
    <xf numFmtId="0" fontId="48" fillId="0" borderId="55"/>
    <xf numFmtId="0" fontId="46" fillId="0" borderId="55"/>
    <xf numFmtId="0" fontId="48" fillId="0" borderId="55"/>
    <xf numFmtId="0" fontId="46" fillId="0" borderId="55"/>
    <xf numFmtId="174" fontId="13" fillId="38" borderId="56"/>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56"/>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51" fillId="38" borderId="56"/>
    <xf numFmtId="174" fontId="13" fillId="38" borderId="56"/>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0" borderId="55"/>
    <xf numFmtId="0" fontId="51" fillId="38" borderId="56"/>
    <xf numFmtId="0" fontId="46"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8" fillId="0" borderId="55"/>
    <xf numFmtId="174" fontId="13" fillId="38" borderId="56"/>
    <xf numFmtId="0" fontId="111"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111" fillId="0" borderId="55"/>
    <xf numFmtId="174" fontId="13" fillId="38" borderId="56"/>
    <xf numFmtId="0" fontId="48" fillId="37" borderId="55"/>
    <xf numFmtId="174" fontId="13" fillId="38" borderId="56"/>
    <xf numFmtId="174" fontId="13" fillId="38" borderId="56"/>
    <xf numFmtId="0" fontId="48" fillId="37" borderId="55"/>
    <xf numFmtId="0" fontId="48" fillId="0" borderId="55"/>
    <xf numFmtId="0" fontId="48" fillId="0" borderId="55"/>
    <xf numFmtId="0" fontId="51" fillId="38" borderId="56"/>
    <xf numFmtId="0" fontId="48" fillId="37" borderId="55"/>
    <xf numFmtId="174" fontId="13" fillId="38" borderId="56"/>
    <xf numFmtId="0" fontId="46" fillId="0" borderId="55"/>
    <xf numFmtId="0" fontId="48"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111"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0" fontId="48" fillId="0" borderId="55"/>
    <xf numFmtId="0" fontId="46" fillId="0" borderId="55"/>
    <xf numFmtId="0" fontId="111" fillId="0" borderId="55"/>
    <xf numFmtId="0" fontId="48" fillId="37" borderId="55"/>
    <xf numFmtId="0" fontId="46" fillId="0" borderId="55"/>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8" fillId="37" borderId="55"/>
    <xf numFmtId="0" fontId="48"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8" fillId="37" borderId="55"/>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8" fillId="0" borderId="55"/>
    <xf numFmtId="0" fontId="46" fillId="0" borderId="55"/>
    <xf numFmtId="0" fontId="48" fillId="37" borderId="55"/>
    <xf numFmtId="0" fontId="46" fillId="0" borderId="55"/>
    <xf numFmtId="0" fontId="48" fillId="37" borderId="55"/>
    <xf numFmtId="0" fontId="48" fillId="0" borderId="55"/>
    <xf numFmtId="0" fontId="111"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3" fillId="0" borderId="0"/>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67" fontId="13" fillId="0" borderId="0" applyFont="0" applyFill="0" applyBorder="0" applyAlignment="0" applyProtection="0"/>
    <xf numFmtId="167" fontId="47" fillId="0" borderId="0" applyFont="0" applyFill="0" applyBorder="0" applyAlignment="0" applyProtection="0"/>
    <xf numFmtId="172" fontId="13" fillId="0" borderId="0" applyFont="0" applyFill="0" applyBorder="0" applyAlignment="0" applyProtection="0"/>
    <xf numFmtId="167" fontId="118" fillId="0" borderId="0" applyFont="0" applyFill="0" applyBorder="0" applyAlignment="0" applyProtection="0"/>
    <xf numFmtId="167" fontId="116" fillId="0" borderId="0" applyFont="0" applyFill="0" applyBorder="0" applyAlignment="0" applyProtection="0"/>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9" fontId="118" fillId="0" borderId="0" applyFont="0" applyFill="0" applyBorder="0" applyAlignment="0" applyProtection="0"/>
    <xf numFmtId="9" fontId="12" fillId="0" borderId="0" applyFont="0" applyFill="0" applyBorder="0" applyAlignment="0" applyProtection="0"/>
    <xf numFmtId="37" fontId="111" fillId="0" borderId="0"/>
    <xf numFmtId="37" fontId="111" fillId="0" borderId="0"/>
    <xf numFmtId="0" fontId="115" fillId="0" borderId="0"/>
    <xf numFmtId="0" fontId="12" fillId="0" borderId="0"/>
    <xf numFmtId="0" fontId="13" fillId="0" borderId="0"/>
    <xf numFmtId="0" fontId="13" fillId="0" borderId="0"/>
    <xf numFmtId="0" fontId="12" fillId="0" borderId="0"/>
    <xf numFmtId="0" fontId="13" fillId="0" borderId="0"/>
    <xf numFmtId="37" fontId="112" fillId="0" borderId="0"/>
    <xf numFmtId="37" fontId="112" fillId="0" borderId="0"/>
    <xf numFmtId="0" fontId="118" fillId="0" borderId="0"/>
    <xf numFmtId="0" fontId="13" fillId="0" borderId="0"/>
    <xf numFmtId="37" fontId="111" fillId="0" borderId="0"/>
    <xf numFmtId="37" fontId="111" fillId="0" borderId="0"/>
    <xf numFmtId="0" fontId="12" fillId="0" borderId="0"/>
    <xf numFmtId="0" fontId="13" fillId="0" borderId="0"/>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13" fillId="0" borderId="0"/>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115" fillId="0" borderId="0"/>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49"/>
    <xf numFmtId="0" fontId="48" fillId="0" borderId="55"/>
    <xf numFmtId="0" fontId="46" fillId="0" borderId="55"/>
    <xf numFmtId="174" fontId="13" fillId="38" borderId="49"/>
    <xf numFmtId="174" fontId="13" fillId="38" borderId="49"/>
    <xf numFmtId="174" fontId="13" fillId="38" borderId="49"/>
    <xf numFmtId="0" fontId="51" fillId="38" borderId="49"/>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174" fontId="13" fillId="38" borderId="56"/>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111" fillId="0" borderId="55"/>
    <xf numFmtId="0" fontId="48" fillId="37" borderId="55"/>
    <xf numFmtId="0" fontId="48" fillId="37" borderId="55"/>
    <xf numFmtId="0" fontId="46" fillId="0" borderId="55"/>
    <xf numFmtId="0" fontId="48" fillId="37" borderId="55"/>
    <xf numFmtId="0" fontId="111" fillId="0" borderId="55"/>
    <xf numFmtId="0" fontId="46" fillId="0" borderId="55"/>
    <xf numFmtId="0" fontId="48" fillId="37" borderId="55"/>
    <xf numFmtId="174" fontId="13" fillId="38" borderId="56"/>
    <xf numFmtId="0" fontId="48" fillId="0" borderId="55"/>
    <xf numFmtId="174" fontId="13" fillId="38" borderId="56"/>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51" fillId="38" borderId="56"/>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6"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111" fillId="0" borderId="55"/>
    <xf numFmtId="0" fontId="48" fillId="37"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51" fillId="38" borderId="56"/>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51" fillId="38" borderId="56"/>
    <xf numFmtId="0" fontId="46" fillId="0" borderId="55"/>
    <xf numFmtId="0" fontId="48" fillId="37" borderId="55"/>
    <xf numFmtId="0" fontId="111" fillId="0" borderId="55"/>
    <xf numFmtId="0" fontId="48" fillId="37"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111" fillId="0" borderId="55"/>
    <xf numFmtId="0" fontId="51" fillId="38" borderId="56"/>
    <xf numFmtId="0" fontId="46" fillId="0" borderId="55"/>
    <xf numFmtId="0" fontId="48" fillId="37"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51" fillId="38" borderId="56"/>
    <xf numFmtId="0" fontId="48" fillId="37" borderId="55"/>
    <xf numFmtId="0" fontId="46" fillId="0" borderId="55"/>
    <xf numFmtId="0" fontId="48"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56"/>
    <xf numFmtId="0" fontId="46" fillId="0" borderId="55"/>
    <xf numFmtId="0" fontId="48" fillId="0" borderId="55"/>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0" fontId="111" fillId="0" borderId="55"/>
    <xf numFmtId="0" fontId="46" fillId="0" borderId="55"/>
    <xf numFmtId="0" fontId="48" fillId="37"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51" fillId="38" borderId="56"/>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174" fontId="13" fillId="38" borderId="56"/>
    <xf numFmtId="0" fontId="48" fillId="37" borderId="55"/>
    <xf numFmtId="0" fontId="111"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174" fontId="13" fillId="38" borderId="56"/>
    <xf numFmtId="0" fontId="48" fillId="37" borderId="55"/>
    <xf numFmtId="0" fontId="48" fillId="37" borderId="55"/>
    <xf numFmtId="174" fontId="13" fillId="38" borderId="56"/>
    <xf numFmtId="0" fontId="46" fillId="0" borderId="55"/>
    <xf numFmtId="0" fontId="48" fillId="37"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51" fillId="38" borderId="56"/>
    <xf numFmtId="0" fontId="48" fillId="37" borderId="55"/>
    <xf numFmtId="0" fontId="48" fillId="37" borderId="55"/>
    <xf numFmtId="0" fontId="48" fillId="37" borderId="55"/>
    <xf numFmtId="0" fontId="48" fillId="0" borderId="55"/>
    <xf numFmtId="0" fontId="48"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174" fontId="13" fillId="38" borderId="56"/>
    <xf numFmtId="174" fontId="13" fillId="38" borderId="56"/>
    <xf numFmtId="174" fontId="13" fillId="38" borderId="56"/>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111" fillId="0" borderId="55"/>
    <xf numFmtId="0" fontId="46" fillId="0" borderId="55"/>
    <xf numFmtId="0" fontId="48" fillId="37"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37" borderId="55"/>
    <xf numFmtId="0" fontId="48" fillId="37"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174" fontId="13" fillId="38" borderId="56"/>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37" borderId="55"/>
    <xf numFmtId="0" fontId="111" fillId="0" borderId="55"/>
    <xf numFmtId="0" fontId="51" fillId="38" borderId="56"/>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8" fillId="37"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174" fontId="13" fillId="38" borderId="56"/>
    <xf numFmtId="0" fontId="51" fillId="38" borderId="56"/>
    <xf numFmtId="0" fontId="46" fillId="0" borderId="55"/>
    <xf numFmtId="0" fontId="51"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46" fillId="0" borderId="55"/>
    <xf numFmtId="0" fontId="51" fillId="38" borderId="56"/>
    <xf numFmtId="0" fontId="51" fillId="38" borderId="56"/>
    <xf numFmtId="0" fontId="111" fillId="0" borderId="55"/>
    <xf numFmtId="0" fontId="51" fillId="38" borderId="56"/>
    <xf numFmtId="0" fontId="51" fillId="38" borderId="56"/>
    <xf numFmtId="0" fontId="46" fillId="0" borderId="55"/>
    <xf numFmtId="0" fontId="48" fillId="37"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174" fontId="13" fillId="38" borderId="56"/>
    <xf numFmtId="0" fontId="48" fillId="37"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0" borderId="55"/>
    <xf numFmtId="174" fontId="13" fillId="38" borderId="56"/>
    <xf numFmtId="0" fontId="111"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8" fillId="37"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8" fillId="37"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111" fillId="0" borderId="55"/>
    <xf numFmtId="0" fontId="46" fillId="0" borderId="55"/>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6" fillId="0" borderId="55"/>
    <xf numFmtId="0" fontId="48" fillId="37"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51"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0" fontId="46" fillId="0" borderId="55"/>
    <xf numFmtId="0" fontId="51"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0" fontId="51" fillId="38" borderId="56"/>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111"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51" fillId="38" borderId="56"/>
    <xf numFmtId="174" fontId="13" fillId="38" borderId="56"/>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8" fillId="37" borderId="55"/>
    <xf numFmtId="0" fontId="48" fillId="37" borderId="55"/>
    <xf numFmtId="0" fontId="48" fillId="0" borderId="55"/>
    <xf numFmtId="174" fontId="13" fillId="38" borderId="56"/>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111" fillId="0" borderId="55"/>
    <xf numFmtId="0" fontId="48" fillId="0" borderId="55"/>
    <xf numFmtId="0" fontId="48" fillId="37" borderId="55"/>
    <xf numFmtId="174" fontId="13" fillId="38" borderId="56"/>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174" fontId="13" fillId="38" borderId="56"/>
    <xf numFmtId="0" fontId="48"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111" fillId="0" borderId="55"/>
    <xf numFmtId="0" fontId="48" fillId="0" borderId="55"/>
    <xf numFmtId="0" fontId="46" fillId="0" borderId="55"/>
    <xf numFmtId="0" fontId="48" fillId="37" borderId="55"/>
    <xf numFmtId="0" fontId="48" fillId="0" borderId="55"/>
    <xf numFmtId="0" fontId="48" fillId="0" borderId="55"/>
    <xf numFmtId="0" fontId="48" fillId="37" borderId="55"/>
    <xf numFmtId="0" fontId="48" fillId="37" borderId="55"/>
    <xf numFmtId="0" fontId="46" fillId="0" borderId="55"/>
    <xf numFmtId="0" fontId="48" fillId="37" borderId="55"/>
    <xf numFmtId="174" fontId="13" fillId="38" borderId="56"/>
    <xf numFmtId="0" fontId="51" fillId="38" borderId="56"/>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46" fillId="0" borderId="55"/>
    <xf numFmtId="0" fontId="48" fillId="0" borderId="55"/>
    <xf numFmtId="0" fontId="46" fillId="0" borderId="55"/>
    <xf numFmtId="0" fontId="48" fillId="37" borderId="55"/>
    <xf numFmtId="0" fontId="48" fillId="37" borderId="55"/>
    <xf numFmtId="0" fontId="51" fillId="38" borderId="56"/>
    <xf numFmtId="0" fontId="48" fillId="37" borderId="55"/>
    <xf numFmtId="174" fontId="13" fillId="38" borderId="56"/>
    <xf numFmtId="0" fontId="46" fillId="0" borderId="55"/>
    <xf numFmtId="0" fontId="48" fillId="37" borderId="55"/>
    <xf numFmtId="0" fontId="48" fillId="0" borderId="55"/>
    <xf numFmtId="0" fontId="111" fillId="0" borderId="55"/>
    <xf numFmtId="174" fontId="13" fillId="38" borderId="56"/>
    <xf numFmtId="0" fontId="51" fillId="38" borderId="56"/>
    <xf numFmtId="174" fontId="13" fillId="38" borderId="56"/>
    <xf numFmtId="0" fontId="48" fillId="0" borderId="55"/>
    <xf numFmtId="0" fontId="46" fillId="0" borderId="55"/>
    <xf numFmtId="0" fontId="48" fillId="0" borderId="55"/>
    <xf numFmtId="0" fontId="46" fillId="0" borderId="55"/>
    <xf numFmtId="0" fontId="111" fillId="0" borderId="55"/>
    <xf numFmtId="0" fontId="48" fillId="37" borderId="55"/>
    <xf numFmtId="174" fontId="13" fillId="38" borderId="56"/>
    <xf numFmtId="0" fontId="48" fillId="37" borderId="55"/>
    <xf numFmtId="0" fontId="48" fillId="0" borderId="55"/>
    <xf numFmtId="0" fontId="51"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0" fontId="51" fillId="38" borderId="56"/>
    <xf numFmtId="174" fontId="13" fillId="38" borderId="56"/>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111" fillId="0" borderId="55"/>
    <xf numFmtId="0" fontId="46" fillId="0" borderId="55"/>
    <xf numFmtId="0" fontId="48" fillId="37" borderId="55"/>
    <xf numFmtId="0" fontId="48" fillId="0" borderId="55"/>
    <xf numFmtId="0" fontId="48" fillId="37" borderId="55"/>
    <xf numFmtId="0" fontId="48" fillId="0" borderId="55"/>
    <xf numFmtId="174" fontId="13" fillId="38" borderId="56"/>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111"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0" borderId="55"/>
    <xf numFmtId="0" fontId="46" fillId="0" borderId="55"/>
    <xf numFmtId="174" fontId="13" fillId="38" borderId="56"/>
    <xf numFmtId="0" fontId="111" fillId="0" borderId="55"/>
    <xf numFmtId="174" fontId="13" fillId="38" borderId="56"/>
    <xf numFmtId="174" fontId="13" fillId="38" borderId="56"/>
    <xf numFmtId="0" fontId="111" fillId="0" borderId="55"/>
    <xf numFmtId="174" fontId="13" fillId="38" borderId="56"/>
    <xf numFmtId="0" fontId="111" fillId="0" borderId="55"/>
    <xf numFmtId="174" fontId="13" fillId="38" borderId="56"/>
    <xf numFmtId="174" fontId="13" fillId="38" borderId="56"/>
    <xf numFmtId="0" fontId="48" fillId="0" borderId="55"/>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111"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0" fontId="51" fillId="38" borderId="56"/>
    <xf numFmtId="174" fontId="13" fillId="38" borderId="56"/>
    <xf numFmtId="0" fontId="48" fillId="0" borderId="55"/>
    <xf numFmtId="0" fontId="48" fillId="37" borderId="55"/>
    <xf numFmtId="0" fontId="48"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8" fillId="37" borderId="55"/>
    <xf numFmtId="0" fontId="48" fillId="0" borderId="55"/>
    <xf numFmtId="174" fontId="13" fillId="38" borderId="56"/>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174" fontId="13" fillId="38" borderId="56"/>
    <xf numFmtId="0" fontId="48" fillId="37" borderId="55"/>
    <xf numFmtId="174" fontId="13" fillId="38" borderId="56"/>
    <xf numFmtId="0" fontId="48"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0" fontId="48" fillId="0" borderId="55"/>
    <xf numFmtId="0" fontId="48" fillId="37"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8"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8" fillId="37" borderId="55"/>
    <xf numFmtId="0" fontId="51" fillId="38" borderId="56"/>
    <xf numFmtId="0" fontId="48" fillId="37" borderId="55"/>
    <xf numFmtId="0" fontId="51" fillId="38" borderId="56"/>
    <xf numFmtId="0" fontId="51" fillId="38" borderId="56"/>
    <xf numFmtId="174" fontId="13" fillId="38" borderId="56"/>
    <xf numFmtId="0" fontId="51" fillId="38" borderId="56"/>
    <xf numFmtId="0" fontId="48" fillId="37" borderId="55"/>
    <xf numFmtId="0" fontId="51" fillId="38" borderId="56"/>
    <xf numFmtId="174" fontId="13" fillId="38" borderId="56"/>
    <xf numFmtId="0" fontId="48" fillId="37" borderId="55"/>
    <xf numFmtId="0" fontId="51" fillId="38" borderId="56"/>
    <xf numFmtId="0" fontId="51" fillId="38" borderId="56"/>
    <xf numFmtId="0" fontId="48" fillId="37" borderId="55"/>
    <xf numFmtId="0" fontId="51" fillId="38" borderId="56"/>
    <xf numFmtId="0" fontId="46" fillId="0" borderId="55"/>
    <xf numFmtId="174" fontId="13"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174" fontId="13" fillId="38" borderId="56"/>
    <xf numFmtId="0" fontId="46" fillId="0" borderId="55"/>
    <xf numFmtId="0" fontId="51" fillId="38" borderId="56"/>
    <xf numFmtId="174" fontId="13" fillId="38" borderId="56"/>
    <xf numFmtId="174" fontId="13" fillId="38" borderId="56"/>
    <xf numFmtId="0" fontId="51"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51" fillId="38" borderId="56"/>
    <xf numFmtId="0" fontId="48" fillId="37" borderId="55"/>
    <xf numFmtId="0" fontId="46" fillId="0" borderId="55"/>
    <xf numFmtId="174" fontId="13" fillId="38" borderId="56"/>
    <xf numFmtId="0" fontId="51"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51" fillId="38" borderId="56"/>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56"/>
    <xf numFmtId="0" fontId="48" fillId="37" borderId="55"/>
    <xf numFmtId="174" fontId="13" fillId="38" borderId="56"/>
    <xf numFmtId="0" fontId="48" fillId="0" borderId="55"/>
    <xf numFmtId="0" fontId="48"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6" fillId="0" borderId="55"/>
    <xf numFmtId="0" fontId="48" fillId="37" borderId="55"/>
    <xf numFmtId="0" fontId="48" fillId="0" borderId="55"/>
    <xf numFmtId="0" fontId="48" fillId="37" borderId="55"/>
    <xf numFmtId="0" fontId="46" fillId="0" borderId="55"/>
    <xf numFmtId="0" fontId="48" fillId="0" borderId="55"/>
    <xf numFmtId="0" fontId="51"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174" fontId="13" fillId="38" borderId="56"/>
    <xf numFmtId="0" fontId="48" fillId="0" borderId="55"/>
    <xf numFmtId="0" fontId="48" fillId="37" borderId="55"/>
    <xf numFmtId="0" fontId="48" fillId="0" borderId="55"/>
    <xf numFmtId="0" fontId="48" fillId="0" borderId="55"/>
    <xf numFmtId="174" fontId="13" fillId="38" borderId="56"/>
    <xf numFmtId="0" fontId="46" fillId="0" borderId="55"/>
    <xf numFmtId="174" fontId="13" fillId="38" borderId="56"/>
    <xf numFmtId="0" fontId="48" fillId="0" borderId="55"/>
    <xf numFmtId="174" fontId="13" fillId="38" borderId="56"/>
    <xf numFmtId="0" fontId="48" fillId="37" borderId="55"/>
    <xf numFmtId="174" fontId="13" fillId="38" borderId="56"/>
    <xf numFmtId="0" fontId="51" fillId="38" borderId="56"/>
    <xf numFmtId="0" fontId="46" fillId="0" borderId="55"/>
    <xf numFmtId="0" fontId="46" fillId="0" borderId="55"/>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0" fontId="51" fillId="38" borderId="56"/>
    <xf numFmtId="174" fontId="13" fillId="38" borderId="56"/>
    <xf numFmtId="0" fontId="51" fillId="38" borderId="56"/>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51" fillId="38" borderId="56"/>
    <xf numFmtId="0" fontId="51" fillId="38" borderId="56"/>
    <xf numFmtId="0" fontId="48"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51" fillId="38" borderId="56"/>
    <xf numFmtId="0" fontId="48" fillId="37" borderId="55"/>
    <xf numFmtId="0" fontId="48" fillId="37" borderId="55"/>
    <xf numFmtId="174" fontId="13" fillId="38" borderId="56"/>
    <xf numFmtId="174" fontId="13" fillId="38" borderId="56"/>
    <xf numFmtId="0" fontId="46" fillId="0" borderId="55"/>
    <xf numFmtId="0" fontId="111" fillId="0" borderId="55"/>
    <xf numFmtId="0" fontId="48" fillId="37" borderId="55"/>
    <xf numFmtId="0" fontId="46" fillId="0" borderId="55"/>
    <xf numFmtId="0" fontId="51" fillId="38" borderId="56"/>
    <xf numFmtId="0" fontId="48" fillId="0" borderId="55"/>
    <xf numFmtId="0" fontId="46" fillId="0" borderId="55"/>
    <xf numFmtId="0" fontId="46" fillId="0" borderId="55"/>
    <xf numFmtId="0" fontId="46" fillId="0" borderId="55"/>
    <xf numFmtId="0" fontId="48" fillId="37" borderId="55"/>
    <xf numFmtId="0" fontId="48" fillId="37" borderId="55"/>
    <xf numFmtId="0" fontId="51" fillId="38" borderId="56"/>
    <xf numFmtId="0" fontId="48"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0" fontId="51" fillId="38" borderId="56"/>
    <xf numFmtId="174" fontId="13" fillId="38" borderId="56"/>
    <xf numFmtId="0" fontId="51" fillId="38" borderId="56"/>
    <xf numFmtId="174" fontId="13" fillId="38" borderId="56"/>
    <xf numFmtId="174" fontId="13" fillId="38" borderId="56"/>
    <xf numFmtId="0" fontId="46" fillId="0" borderId="55"/>
    <xf numFmtId="0" fontId="48" fillId="37"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6"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6" fillId="0" borderId="55"/>
    <xf numFmtId="0" fontId="48" fillId="0" borderId="55"/>
    <xf numFmtId="0" fontId="51" fillId="38" borderId="56"/>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174" fontId="13" fillId="38" borderId="56"/>
    <xf numFmtId="174" fontId="13" fillId="38" borderId="56"/>
    <xf numFmtId="0" fontId="48" fillId="0" borderId="55"/>
    <xf numFmtId="0" fontId="48" fillId="37"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174" fontId="13" fillId="38" borderId="56"/>
    <xf numFmtId="0" fontId="46" fillId="0" borderId="55"/>
    <xf numFmtId="0" fontId="48" fillId="0" borderId="55"/>
    <xf numFmtId="0" fontId="46"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51" fillId="38" borderId="56"/>
    <xf numFmtId="0" fontId="46"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8"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37" borderId="55"/>
    <xf numFmtId="0" fontId="111" fillId="0" borderId="55"/>
    <xf numFmtId="0" fontId="48"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8" fillId="0" borderId="55"/>
    <xf numFmtId="0" fontId="46" fillId="0" borderId="55"/>
    <xf numFmtId="0" fontId="48" fillId="0" borderId="55"/>
    <xf numFmtId="0" fontId="51" fillId="38" borderId="56"/>
    <xf numFmtId="0" fontId="111" fillId="0" borderId="55"/>
    <xf numFmtId="0" fontId="48" fillId="0" borderId="55"/>
    <xf numFmtId="0" fontId="48" fillId="37"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0" fontId="48"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6" fillId="0" borderId="55"/>
    <xf numFmtId="0" fontId="51" fillId="38" borderId="56"/>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111" fillId="0" borderId="55"/>
    <xf numFmtId="0" fontId="48" fillId="37"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174" fontId="13" fillId="38" borderId="56"/>
    <xf numFmtId="174" fontId="13" fillId="38" borderId="56"/>
    <xf numFmtId="0" fontId="111"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174" fontId="13" fillId="38" borderId="56"/>
    <xf numFmtId="0" fontId="46" fillId="0" borderId="55"/>
    <xf numFmtId="0" fontId="111" fillId="0" borderId="55"/>
    <xf numFmtId="0" fontId="46" fillId="0" borderId="55"/>
    <xf numFmtId="0" fontId="111" fillId="0" borderId="55"/>
    <xf numFmtId="0" fontId="48" fillId="0" borderId="55"/>
    <xf numFmtId="0" fontId="46" fillId="0" borderId="55"/>
    <xf numFmtId="0" fontId="111" fillId="0" borderId="55"/>
    <xf numFmtId="0" fontId="111" fillId="0" borderId="55"/>
    <xf numFmtId="0" fontId="48" fillId="37" borderId="55"/>
    <xf numFmtId="0" fontId="46" fillId="0" borderId="55"/>
    <xf numFmtId="0" fontId="111" fillId="0" borderId="55"/>
    <xf numFmtId="0" fontId="111" fillId="0" borderId="55"/>
    <xf numFmtId="174" fontId="13" fillId="38" borderId="56"/>
    <xf numFmtId="174" fontId="13" fillId="38" borderId="56"/>
    <xf numFmtId="0" fontId="111" fillId="0" borderId="55"/>
    <xf numFmtId="0" fontId="111"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111" fillId="0" borderId="55"/>
    <xf numFmtId="0" fontId="111" fillId="0" borderId="55"/>
    <xf numFmtId="0" fontId="48" fillId="0" borderId="55"/>
    <xf numFmtId="0" fontId="48" fillId="37"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111" fillId="0" borderId="55"/>
    <xf numFmtId="0" fontId="48" fillId="37" borderId="55"/>
    <xf numFmtId="0" fontId="111" fillId="0" borderId="55"/>
    <xf numFmtId="0" fontId="46" fillId="0" borderId="55"/>
    <xf numFmtId="0" fontId="46" fillId="0" borderId="55"/>
    <xf numFmtId="174" fontId="13" fillId="38" borderId="56"/>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111" fillId="0" borderId="55"/>
    <xf numFmtId="0" fontId="111" fillId="0" borderId="55"/>
    <xf numFmtId="174" fontId="13" fillId="38" borderId="56"/>
    <xf numFmtId="0" fontId="48" fillId="0" borderId="55"/>
    <xf numFmtId="0" fontId="111" fillId="0" borderId="55"/>
    <xf numFmtId="0" fontId="46" fillId="0" borderId="55"/>
    <xf numFmtId="0" fontId="111" fillId="0" borderId="55"/>
    <xf numFmtId="0" fontId="46" fillId="0" borderId="55"/>
    <xf numFmtId="0" fontId="111" fillId="0" borderId="55"/>
    <xf numFmtId="0" fontId="111" fillId="0" borderId="55"/>
    <xf numFmtId="174" fontId="13" fillId="38" borderId="56"/>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cellStyleXfs>
  <cellXfs count="540">
    <xf numFmtId="0" fontId="0" fillId="0" borderId="0" xfId="0"/>
    <xf numFmtId="0" fontId="0" fillId="0" borderId="0" xfId="0" applyFill="1"/>
    <xf numFmtId="164" fontId="0" fillId="0" borderId="0" xfId="0" applyNumberFormat="1"/>
    <xf numFmtId="0" fontId="6" fillId="0" borderId="0" xfId="0" applyFont="1"/>
    <xf numFmtId="0" fontId="0" fillId="3" borderId="0" xfId="0" applyFill="1"/>
    <xf numFmtId="164" fontId="0" fillId="0" borderId="0" xfId="0" applyNumberFormat="1" applyAlignment="1">
      <alignment horizontal="center"/>
    </xf>
    <xf numFmtId="164" fontId="0" fillId="0" borderId="0" xfId="0" applyNumberFormat="1" applyFill="1"/>
    <xf numFmtId="0" fontId="8" fillId="0" borderId="0" xfId="0" applyFont="1"/>
    <xf numFmtId="0" fontId="16" fillId="0" borderId="6" xfId="0" applyFont="1" applyBorder="1" applyAlignment="1" applyProtection="1">
      <alignment horizontal="center"/>
      <protection locked="0"/>
    </xf>
    <xf numFmtId="0" fontId="16" fillId="0" borderId="0" xfId="0" applyFont="1" applyBorder="1" applyAlignment="1" applyProtection="1">
      <alignment horizontal="center"/>
    </xf>
    <xf numFmtId="0" fontId="0" fillId="0" borderId="0" xfId="0" applyProtection="1"/>
    <xf numFmtId="0" fontId="22" fillId="0" borderId="0" xfId="0" applyFont="1" applyAlignment="1" applyProtection="1">
      <alignment horizontal="center" vertical="center"/>
    </xf>
    <xf numFmtId="0" fontId="23" fillId="0" borderId="0" xfId="0" applyFont="1" applyAlignment="1" applyProtection="1">
      <alignment horizontal="center"/>
    </xf>
    <xf numFmtId="0" fontId="16" fillId="5" borderId="0" xfId="0" applyFont="1" applyFill="1" applyProtection="1"/>
    <xf numFmtId="0" fontId="16" fillId="0" borderId="0" xfId="0" applyFont="1" applyProtection="1"/>
    <xf numFmtId="0" fontId="17" fillId="0" borderId="0" xfId="0" applyFont="1" applyAlignment="1" applyProtection="1">
      <alignment vertical="center"/>
    </xf>
    <xf numFmtId="0" fontId="21" fillId="5" borderId="0" xfId="0" applyFont="1" applyFill="1" applyAlignment="1" applyProtection="1"/>
    <xf numFmtId="0" fontId="17" fillId="0" borderId="0" xfId="0" applyFont="1" applyProtection="1"/>
    <xf numFmtId="0" fontId="16" fillId="0" borderId="0" xfId="0" applyFont="1" applyAlignment="1" applyProtection="1">
      <alignment wrapText="1"/>
    </xf>
    <xf numFmtId="0" fontId="0" fillId="0" borderId="0" xfId="0" applyAlignment="1" applyProtection="1"/>
    <xf numFmtId="0" fontId="16" fillId="0" borderId="0" xfId="0" applyFont="1" applyAlignment="1" applyProtection="1"/>
    <xf numFmtId="0" fontId="19" fillId="0" borderId="0" xfId="0" applyFont="1" applyAlignment="1" applyProtection="1">
      <alignment vertical="center" wrapText="1"/>
    </xf>
    <xf numFmtId="0" fontId="18" fillId="0" borderId="0" xfId="0" applyFont="1" applyAlignment="1" applyProtection="1">
      <alignment horizontal="left"/>
    </xf>
    <xf numFmtId="0" fontId="16" fillId="0" borderId="0" xfId="0" applyFont="1" applyAlignment="1" applyProtection="1">
      <alignment horizontal="left"/>
    </xf>
    <xf numFmtId="0" fontId="16" fillId="0" borderId="0" xfId="0" applyFont="1" applyAlignment="1">
      <alignment vertical="center"/>
    </xf>
    <xf numFmtId="164" fontId="1" fillId="5" borderId="0" xfId="0" applyNumberFormat="1" applyFont="1" applyFill="1" applyAlignment="1" applyProtection="1"/>
    <xf numFmtId="0" fontId="0" fillId="0" borderId="0" xfId="0"/>
    <xf numFmtId="0" fontId="34" fillId="0" borderId="6" xfId="0" applyFont="1" applyBorder="1"/>
    <xf numFmtId="0" fontId="35" fillId="0" borderId="6" xfId="0" applyFont="1" applyBorder="1"/>
    <xf numFmtId="171" fontId="34" fillId="0" borderId="6" xfId="0" applyNumberFormat="1" applyFont="1" applyBorder="1"/>
    <xf numFmtId="171" fontId="35" fillId="0" borderId="6" xfId="0" applyNumberFormat="1" applyFont="1" applyBorder="1"/>
    <xf numFmtId="0" fontId="14" fillId="0" borderId="0" xfId="0" applyFont="1" applyFill="1" applyBorder="1" applyAlignment="1">
      <alignment horizontal="left" vertical="top" wrapText="1"/>
    </xf>
    <xf numFmtId="0" fontId="0" fillId="0" borderId="0" xfId="0" applyFont="1"/>
    <xf numFmtId="164" fontId="37" fillId="0" borderId="0" xfId="1" applyFont="1" applyFill="1"/>
    <xf numFmtId="0" fontId="0" fillId="0" borderId="0" xfId="0" applyFont="1" applyFill="1"/>
    <xf numFmtId="2" fontId="0" fillId="0" borderId="0" xfId="0" applyNumberFormat="1"/>
    <xf numFmtId="0" fontId="7" fillId="0" borderId="0" xfId="0" applyFont="1"/>
    <xf numFmtId="0" fontId="0" fillId="0" borderId="6" xfId="0" applyBorder="1" applyProtection="1">
      <protection locked="0"/>
    </xf>
    <xf numFmtId="0" fontId="1" fillId="0" borderId="0" xfId="0" applyFont="1"/>
    <xf numFmtId="0" fontId="0" fillId="0" borderId="0" xfId="0"/>
    <xf numFmtId="0" fontId="0" fillId="0" borderId="0" xfId="0"/>
    <xf numFmtId="0" fontId="53" fillId="0" borderId="0" xfId="0" applyFont="1"/>
    <xf numFmtId="176" fontId="0" fillId="0" borderId="0" xfId="0" applyNumberFormat="1" applyAlignment="1">
      <alignment horizontal="center"/>
    </xf>
    <xf numFmtId="49" fontId="0" fillId="0" borderId="0" xfId="0" applyNumberFormat="1" applyAlignment="1">
      <alignment horizontal="center"/>
    </xf>
    <xf numFmtId="0" fontId="54" fillId="0" borderId="0" xfId="0" applyFont="1"/>
    <xf numFmtId="176" fontId="53" fillId="0" borderId="0" xfId="0" applyNumberFormat="1" applyFont="1" applyAlignment="1">
      <alignment horizontal="center"/>
    </xf>
    <xf numFmtId="0" fontId="53" fillId="0" borderId="0" xfId="0" applyFont="1" applyAlignment="1">
      <alignment horizontal="center"/>
    </xf>
    <xf numFmtId="164" fontId="56" fillId="5" borderId="0" xfId="0" applyNumberFormat="1" applyFont="1" applyFill="1" applyProtection="1"/>
    <xf numFmtId="164" fontId="55" fillId="0" borderId="0" xfId="0" applyNumberFormat="1" applyFont="1" applyFill="1" applyAlignment="1" applyProtection="1"/>
    <xf numFmtId="0" fontId="4" fillId="0" borderId="0" xfId="0" applyFont="1"/>
    <xf numFmtId="0" fontId="4" fillId="0" borderId="0" xfId="0" applyFont="1" applyFill="1" applyBorder="1" applyAlignment="1"/>
    <xf numFmtId="169" fontId="4" fillId="11" borderId="29" xfId="0" applyNumberFormat="1" applyFont="1" applyFill="1" applyBorder="1"/>
    <xf numFmtId="0" fontId="4" fillId="8" borderId="23" xfId="0" applyFont="1" applyFill="1" applyBorder="1"/>
    <xf numFmtId="0" fontId="4" fillId="8" borderId="26" xfId="0" applyFont="1" applyFill="1" applyBorder="1"/>
    <xf numFmtId="169" fontId="4" fillId="11" borderId="24" xfId="0" applyNumberFormat="1" applyFont="1" applyFill="1" applyBorder="1"/>
    <xf numFmtId="0" fontId="4" fillId="20" borderId="0" xfId="0" applyFont="1" applyFill="1"/>
    <xf numFmtId="0" fontId="4" fillId="3" borderId="0" xfId="0" applyFont="1" applyFill="1"/>
    <xf numFmtId="0" fontId="4" fillId="8" borderId="0" xfId="0" applyFont="1" applyFill="1"/>
    <xf numFmtId="0" fontId="57" fillId="14" borderId="0" xfId="0" applyFont="1" applyFill="1" applyBorder="1" applyAlignment="1">
      <alignment horizontal="left" vertical="top" wrapText="1"/>
    </xf>
    <xf numFmtId="0" fontId="4" fillId="19" borderId="0" xfId="0" applyFont="1" applyFill="1"/>
    <xf numFmtId="0" fontId="58" fillId="9" borderId="6" xfId="0" applyFont="1" applyFill="1" applyBorder="1" applyAlignment="1">
      <alignment horizontal="left" vertical="top" wrapText="1"/>
    </xf>
    <xf numFmtId="0" fontId="4" fillId="8" borderId="36" xfId="0" applyFont="1" applyFill="1" applyBorder="1"/>
    <xf numFmtId="0" fontId="4" fillId="9" borderId="24" xfId="0" applyFont="1" applyFill="1" applyBorder="1"/>
    <xf numFmtId="0" fontId="4" fillId="9" borderId="0" xfId="0" applyFont="1" applyFill="1" applyBorder="1"/>
    <xf numFmtId="0" fontId="4" fillId="8" borderId="24" xfId="0" applyFont="1" applyFill="1" applyBorder="1"/>
    <xf numFmtId="0" fontId="4" fillId="8" borderId="27" xfId="0" applyFont="1" applyFill="1" applyBorder="1"/>
    <xf numFmtId="169" fontId="4" fillId="11" borderId="27" xfId="0" applyNumberFormat="1" applyFont="1" applyFill="1" applyBorder="1"/>
    <xf numFmtId="0" fontId="58" fillId="9" borderId="0" xfId="0" applyFont="1" applyFill="1" applyAlignment="1">
      <alignment horizontal="left" vertical="top" wrapText="1"/>
    </xf>
    <xf numFmtId="169" fontId="4" fillId="11" borderId="25" xfId="0" applyNumberFormat="1" applyFont="1" applyFill="1" applyBorder="1"/>
    <xf numFmtId="164" fontId="56" fillId="5" borderId="0" xfId="0" applyNumberFormat="1" applyFont="1" applyFill="1" applyAlignment="1" applyProtection="1"/>
    <xf numFmtId="164" fontId="4" fillId="0" borderId="0" xfId="0" applyNumberFormat="1" applyFont="1"/>
    <xf numFmtId="0" fontId="4" fillId="8" borderId="33" xfId="0" applyFont="1" applyFill="1" applyBorder="1"/>
    <xf numFmtId="0" fontId="4" fillId="8" borderId="35" xfId="0" applyFont="1" applyFill="1" applyBorder="1"/>
    <xf numFmtId="0" fontId="4" fillId="9" borderId="36" xfId="0" applyFont="1" applyFill="1" applyBorder="1"/>
    <xf numFmtId="0" fontId="4" fillId="8" borderId="34" xfId="0" applyFont="1" applyFill="1" applyBorder="1"/>
    <xf numFmtId="0" fontId="4" fillId="9" borderId="6" xfId="0" applyFont="1" applyFill="1" applyBorder="1"/>
    <xf numFmtId="0" fontId="4" fillId="9" borderId="37" xfId="0" applyFont="1" applyFill="1" applyBorder="1"/>
    <xf numFmtId="0" fontId="4" fillId="8" borderId="25" xfId="0" applyFont="1" applyFill="1" applyBorder="1"/>
    <xf numFmtId="0" fontId="4" fillId="8" borderId="28" xfId="0" applyFont="1" applyFill="1" applyBorder="1"/>
    <xf numFmtId="0" fontId="4" fillId="0" borderId="0" xfId="0" applyFont="1" applyAlignment="1"/>
    <xf numFmtId="167" fontId="4" fillId="0" borderId="0" xfId="0" applyNumberFormat="1" applyFont="1"/>
    <xf numFmtId="0" fontId="4" fillId="7" borderId="0" xfId="0" applyFont="1" applyFill="1"/>
    <xf numFmtId="0" fontId="4" fillId="6" borderId="0" xfId="0" applyFont="1" applyFill="1"/>
    <xf numFmtId="0" fontId="4" fillId="13" borderId="5" xfId="0" applyFont="1" applyFill="1" applyBorder="1"/>
    <xf numFmtId="0" fontId="4" fillId="13" borderId="0" xfId="0" applyFont="1" applyFill="1"/>
    <xf numFmtId="0" fontId="10" fillId="14" borderId="0" xfId="0" applyFont="1" applyFill="1" applyAlignment="1"/>
    <xf numFmtId="0" fontId="10" fillId="14" borderId="0" xfId="0" applyFont="1" applyFill="1" applyAlignment="1">
      <alignment wrapText="1"/>
    </xf>
    <xf numFmtId="0" fontId="4" fillId="15" borderId="0" xfId="0" applyFont="1" applyFill="1"/>
    <xf numFmtId="0" fontId="4" fillId="9" borderId="0" xfId="0" applyFont="1" applyFill="1"/>
    <xf numFmtId="164" fontId="4" fillId="9" borderId="0" xfId="0" applyNumberFormat="1" applyFont="1" applyFill="1"/>
    <xf numFmtId="0" fontId="4" fillId="17" borderId="0" xfId="0" applyFont="1" applyFill="1"/>
    <xf numFmtId="0" fontId="4" fillId="14" borderId="0" xfId="0" applyFont="1" applyFill="1"/>
    <xf numFmtId="0" fontId="4" fillId="16" borderId="0" xfId="0" applyFont="1" applyFill="1"/>
    <xf numFmtId="0" fontId="4" fillId="18" borderId="0" xfId="0" applyFont="1" applyFill="1"/>
    <xf numFmtId="0" fontId="60" fillId="13" borderId="5" xfId="0" applyFont="1" applyFill="1" applyBorder="1"/>
    <xf numFmtId="0" fontId="61" fillId="12" borderId="3" xfId="0" applyFont="1" applyFill="1" applyBorder="1" applyAlignment="1">
      <alignment horizontal="right" vertical="center"/>
    </xf>
    <xf numFmtId="0" fontId="61" fillId="12" borderId="4" xfId="0" applyFont="1" applyFill="1" applyBorder="1" applyAlignment="1">
      <alignment vertical="center"/>
    </xf>
    <xf numFmtId="0" fontId="4" fillId="6" borderId="17" xfId="0" applyFont="1" applyFill="1" applyBorder="1"/>
    <xf numFmtId="0" fontId="4" fillId="6" borderId="0" xfId="0" applyFont="1" applyFill="1" applyBorder="1"/>
    <xf numFmtId="0" fontId="4" fillId="13" borderId="0" xfId="0" applyFont="1" applyFill="1" applyBorder="1"/>
    <xf numFmtId="0" fontId="59" fillId="12" borderId="32" xfId="0" applyFont="1" applyFill="1" applyBorder="1" applyAlignment="1">
      <alignment horizontal="left" vertical="center"/>
    </xf>
    <xf numFmtId="0" fontId="4" fillId="0" borderId="0" xfId="0" applyFont="1" applyAlignment="1">
      <alignment horizontal="left"/>
    </xf>
    <xf numFmtId="0" fontId="60" fillId="13" borderId="0" xfId="0" applyFont="1" applyFill="1" applyBorder="1"/>
    <xf numFmtId="0" fontId="4" fillId="6" borderId="12" xfId="0" applyFont="1" applyFill="1" applyBorder="1"/>
    <xf numFmtId="0" fontId="59" fillId="12" borderId="3" xfId="0" applyFont="1" applyFill="1" applyBorder="1" applyAlignment="1">
      <alignment horizontal="right" vertical="center"/>
    </xf>
    <xf numFmtId="0" fontId="59" fillId="12" borderId="4" xfId="0" applyFont="1" applyFill="1" applyBorder="1" applyAlignment="1">
      <alignment horizontal="right" vertical="center"/>
    </xf>
    <xf numFmtId="0" fontId="59" fillId="12" borderId="4" xfId="0" applyFont="1" applyFill="1" applyBorder="1" applyAlignment="1">
      <alignment vertical="center"/>
    </xf>
    <xf numFmtId="0" fontId="4" fillId="12" borderId="0" xfId="0" applyFont="1" applyFill="1"/>
    <xf numFmtId="0" fontId="59" fillId="9" borderId="3" xfId="0" applyFont="1" applyFill="1" applyBorder="1" applyAlignment="1">
      <alignment horizontal="right" vertical="center"/>
    </xf>
    <xf numFmtId="164" fontId="4" fillId="14" borderId="0" xfId="0" applyNumberFormat="1" applyFont="1" applyFill="1"/>
    <xf numFmtId="164" fontId="4" fillId="18" borderId="0" xfId="0" applyNumberFormat="1" applyFont="1" applyFill="1"/>
    <xf numFmtId="0" fontId="59" fillId="2" borderId="1" xfId="0" applyFont="1" applyFill="1" applyBorder="1" applyAlignment="1">
      <alignment horizontal="right" vertical="center"/>
    </xf>
    <xf numFmtId="0" fontId="59" fillId="2" borderId="2" xfId="0" applyFont="1" applyFill="1" applyBorder="1" applyAlignment="1">
      <alignment horizontal="right" vertical="center"/>
    </xf>
    <xf numFmtId="0" fontId="59" fillId="2" borderId="5" xfId="0" applyFont="1" applyFill="1" applyBorder="1" applyAlignment="1">
      <alignment horizontal="right" vertical="center"/>
    </xf>
    <xf numFmtId="2" fontId="4" fillId="0" borderId="0" xfId="0" applyNumberFormat="1" applyFont="1"/>
    <xf numFmtId="0" fontId="4" fillId="12" borderId="17" xfId="0" applyFont="1" applyFill="1" applyBorder="1"/>
    <xf numFmtId="0" fontId="4" fillId="12" borderId="19" xfId="0" applyFont="1" applyFill="1" applyBorder="1"/>
    <xf numFmtId="0" fontId="4" fillId="10" borderId="20" xfId="0" applyFont="1" applyFill="1" applyBorder="1" applyAlignment="1"/>
    <xf numFmtId="0" fontId="4" fillId="10" borderId="18" xfId="0" applyFont="1" applyFill="1" applyBorder="1" applyAlignment="1"/>
    <xf numFmtId="0" fontId="4" fillId="10" borderId="19" xfId="0" applyFont="1" applyFill="1" applyBorder="1" applyAlignment="1"/>
    <xf numFmtId="164" fontId="57" fillId="0" borderId="0" xfId="1" applyFont="1" applyFill="1"/>
    <xf numFmtId="164" fontId="57" fillId="14" borderId="0" xfId="1" applyFont="1" applyFill="1"/>
    <xf numFmtId="164" fontId="4" fillId="15" borderId="0" xfId="0" applyNumberFormat="1" applyFont="1" applyFill="1"/>
    <xf numFmtId="0" fontId="61" fillId="12" borderId="4" xfId="0" applyFont="1" applyFill="1" applyBorder="1" applyAlignment="1">
      <alignment horizontal="right" vertical="center"/>
    </xf>
    <xf numFmtId="165" fontId="4" fillId="0" borderId="1" xfId="0" applyNumberFormat="1" applyFont="1" applyBorder="1"/>
    <xf numFmtId="165" fontId="4" fillId="12" borderId="0" xfId="0" applyNumberFormat="1" applyFont="1" applyFill="1"/>
    <xf numFmtId="0" fontId="4" fillId="0" borderId="0" xfId="0" applyFont="1" applyAlignment="1">
      <alignment horizontal="center"/>
    </xf>
    <xf numFmtId="164" fontId="4" fillId="16" borderId="0" xfId="0" applyNumberFormat="1" applyFont="1" applyFill="1" applyAlignment="1"/>
    <xf numFmtId="0" fontId="60" fillId="13" borderId="0" xfId="0" applyFont="1" applyFill="1"/>
    <xf numFmtId="49" fontId="61" fillId="12" borderId="4" xfId="0" applyNumberFormat="1" applyFont="1" applyFill="1" applyBorder="1" applyAlignment="1">
      <alignment horizontal="right" vertical="center"/>
    </xf>
    <xf numFmtId="0" fontId="59" fillId="2" borderId="3" xfId="0" applyFont="1" applyFill="1" applyBorder="1" applyAlignment="1">
      <alignment horizontal="right" vertical="center"/>
    </xf>
    <xf numFmtId="0" fontId="59" fillId="2" borderId="4" xfId="0" applyFont="1" applyFill="1" applyBorder="1" applyAlignment="1">
      <alignment horizontal="right" vertical="center"/>
    </xf>
    <xf numFmtId="0" fontId="4" fillId="4" borderId="0" xfId="0" applyFont="1" applyFill="1"/>
    <xf numFmtId="0" fontId="4" fillId="6" borderId="40" xfId="0" applyFont="1" applyFill="1" applyBorder="1"/>
    <xf numFmtId="0" fontId="4" fillId="12" borderId="12" xfId="0" applyFont="1" applyFill="1" applyBorder="1"/>
    <xf numFmtId="0" fontId="4" fillId="12" borderId="13" xfId="0" applyFont="1" applyFill="1" applyBorder="1"/>
    <xf numFmtId="0" fontId="4" fillId="10" borderId="21" xfId="0" applyFont="1" applyFill="1" applyBorder="1" applyAlignment="1"/>
    <xf numFmtId="0" fontId="4" fillId="10" borderId="6" xfId="0" applyFont="1" applyFill="1" applyBorder="1" applyAlignment="1"/>
    <xf numFmtId="0" fontId="61" fillId="10" borderId="6" xfId="0" applyFont="1" applyFill="1" applyBorder="1" applyAlignment="1"/>
    <xf numFmtId="0" fontId="61" fillId="10" borderId="13" xfId="0" applyFont="1" applyFill="1" applyBorder="1" applyAlignment="1"/>
    <xf numFmtId="0" fontId="4" fillId="17" borderId="0" xfId="0" applyFont="1" applyFill="1" applyBorder="1" applyAlignment="1"/>
    <xf numFmtId="164" fontId="4" fillId="16" borderId="0" xfId="0" applyNumberFormat="1" applyFont="1" applyFill="1"/>
    <xf numFmtId="0" fontId="55" fillId="13" borderId="0" xfId="0" applyFont="1" applyFill="1" applyBorder="1"/>
    <xf numFmtId="0" fontId="55" fillId="13" borderId="0" xfId="0" applyFont="1" applyFill="1"/>
    <xf numFmtId="0" fontId="61" fillId="0" borderId="3" xfId="0" applyFont="1" applyBorder="1" applyAlignment="1">
      <alignment horizontal="right" vertical="center"/>
    </xf>
    <xf numFmtId="0" fontId="61" fillId="0" borderId="4" xfId="0" applyFont="1" applyBorder="1" applyAlignment="1">
      <alignment horizontal="right" vertical="center"/>
    </xf>
    <xf numFmtId="165" fontId="61" fillId="0" borderId="4" xfId="0" applyNumberFormat="1" applyFont="1" applyBorder="1" applyAlignment="1">
      <alignment horizontal="right" vertical="center"/>
    </xf>
    <xf numFmtId="165" fontId="4" fillId="0" borderId="0" xfId="0" applyNumberFormat="1" applyFont="1"/>
    <xf numFmtId="0" fontId="4" fillId="6" borderId="14" xfId="0" applyFont="1" applyFill="1" applyBorder="1"/>
    <xf numFmtId="0" fontId="61" fillId="2" borderId="3" xfId="0" applyFont="1" applyFill="1" applyBorder="1" applyAlignment="1">
      <alignment horizontal="right" vertical="center"/>
    </xf>
    <xf numFmtId="0" fontId="61" fillId="2" borderId="4" xfId="0" applyFont="1" applyFill="1" applyBorder="1" applyAlignment="1">
      <alignment horizontal="right" vertical="center"/>
    </xf>
    <xf numFmtId="0" fontId="4" fillId="10" borderId="12" xfId="0" applyFont="1" applyFill="1" applyBorder="1" applyAlignment="1"/>
    <xf numFmtId="0" fontId="4" fillId="13" borderId="0" xfId="0" applyFont="1" applyFill="1" applyAlignment="1">
      <alignment horizontal="left"/>
    </xf>
    <xf numFmtId="0" fontId="57" fillId="14" borderId="0" xfId="0" applyFont="1" applyFill="1" applyBorder="1" applyAlignment="1">
      <alignment horizontal="left" vertical="top"/>
    </xf>
    <xf numFmtId="170" fontId="4" fillId="18" borderId="0" xfId="0" applyNumberFormat="1" applyFont="1" applyFill="1"/>
    <xf numFmtId="0" fontId="60" fillId="13" borderId="0" xfId="0" applyFont="1" applyFill="1" applyAlignment="1">
      <alignment horizontal="left"/>
    </xf>
    <xf numFmtId="0" fontId="4" fillId="0" borderId="0" xfId="0" applyFont="1" applyAlignment="1">
      <alignment horizontal="right"/>
    </xf>
    <xf numFmtId="0" fontId="4" fillId="12" borderId="40" xfId="0" applyFont="1" applyFill="1" applyBorder="1"/>
    <xf numFmtId="0" fontId="4" fillId="12" borderId="41" xfId="0" applyFont="1" applyFill="1" applyBorder="1"/>
    <xf numFmtId="0" fontId="4" fillId="13" borderId="0" xfId="0" applyFont="1" applyFill="1" applyBorder="1" applyAlignment="1">
      <alignment horizontal="right"/>
    </xf>
    <xf numFmtId="0" fontId="4" fillId="12" borderId="14" xfId="0" applyFont="1" applyFill="1" applyBorder="1"/>
    <xf numFmtId="0" fontId="4" fillId="12" borderId="16" xfId="0" applyFont="1" applyFill="1" applyBorder="1"/>
    <xf numFmtId="0" fontId="4" fillId="12" borderId="38" xfId="0" applyFont="1" applyFill="1" applyBorder="1"/>
    <xf numFmtId="0" fontId="4" fillId="12" borderId="39" xfId="0" applyFont="1" applyFill="1" applyBorder="1"/>
    <xf numFmtId="164" fontId="4" fillId="0" borderId="0" xfId="1" applyFont="1"/>
    <xf numFmtId="0" fontId="4" fillId="12" borderId="0" xfId="0" applyFont="1" applyFill="1" applyBorder="1"/>
    <xf numFmtId="171" fontId="62" fillId="0" borderId="6" xfId="0" applyNumberFormat="1" applyFont="1" applyBorder="1"/>
    <xf numFmtId="2" fontId="63" fillId="3" borderId="6" xfId="0" applyNumberFormat="1" applyFont="1" applyFill="1" applyBorder="1" applyAlignment="1" applyProtection="1">
      <alignment horizontal="center"/>
      <protection hidden="1"/>
    </xf>
    <xf numFmtId="0" fontId="4" fillId="10" borderId="13" xfId="0" applyFont="1" applyFill="1" applyBorder="1" applyAlignment="1"/>
    <xf numFmtId="0" fontId="4" fillId="12" borderId="5" xfId="0" applyFont="1" applyFill="1" applyBorder="1"/>
    <xf numFmtId="0" fontId="61" fillId="10" borderId="15" xfId="0" applyFont="1" applyFill="1" applyBorder="1" applyAlignment="1"/>
    <xf numFmtId="0" fontId="4" fillId="10" borderId="14" xfId="0" applyFont="1" applyFill="1" applyBorder="1" applyAlignment="1"/>
    <xf numFmtId="0" fontId="4" fillId="10" borderId="15" xfId="0" applyFont="1" applyFill="1" applyBorder="1" applyAlignment="1"/>
    <xf numFmtId="0" fontId="4" fillId="10" borderId="16" xfId="0" applyFont="1" applyFill="1" applyBorder="1" applyAlignment="1"/>
    <xf numFmtId="0" fontId="4" fillId="0" borderId="0" xfId="0" applyFont="1" applyFill="1" applyBorder="1"/>
    <xf numFmtId="164" fontId="4" fillId="0" borderId="0" xfId="0" applyNumberFormat="1" applyFont="1" applyFill="1" applyBorder="1"/>
    <xf numFmtId="164" fontId="60" fillId="13" borderId="0" xfId="0" applyNumberFormat="1" applyFont="1" applyFill="1"/>
    <xf numFmtId="0" fontId="4" fillId="0" borderId="0" xfId="0" applyFont="1" applyFill="1"/>
    <xf numFmtId="0" fontId="4" fillId="3" borderId="0" xfId="0" applyFont="1" applyFill="1" applyBorder="1" applyAlignment="1"/>
    <xf numFmtId="167" fontId="4" fillId="3" borderId="0" xfId="0" applyNumberFormat="1" applyFont="1" applyFill="1"/>
    <xf numFmtId="0" fontId="55" fillId="12" borderId="0" xfId="0" applyFont="1" applyFill="1" applyAlignment="1"/>
    <xf numFmtId="167" fontId="55" fillId="12" borderId="0" xfId="0" applyNumberFormat="1" applyFont="1" applyFill="1" applyAlignment="1"/>
    <xf numFmtId="0" fontId="61" fillId="9" borderId="3" xfId="0" applyFont="1" applyFill="1" applyBorder="1" applyAlignment="1">
      <alignment horizontal="right" vertical="center"/>
    </xf>
    <xf numFmtId="0" fontId="61" fillId="12" borderId="5" xfId="0" applyFont="1" applyFill="1" applyBorder="1" applyAlignment="1">
      <alignment horizontal="right" vertical="center"/>
    </xf>
    <xf numFmtId="164" fontId="4" fillId="3" borderId="0" xfId="0" applyNumberFormat="1" applyFont="1" applyFill="1"/>
    <xf numFmtId="2" fontId="4" fillId="3" borderId="6" xfId="0" applyNumberFormat="1" applyFont="1" applyFill="1" applyBorder="1" applyAlignment="1">
      <alignment horizontal="center"/>
    </xf>
    <xf numFmtId="168" fontId="57" fillId="14" borderId="0" xfId="0" applyNumberFormat="1" applyFont="1" applyFill="1" applyProtection="1">
      <protection locked="0"/>
    </xf>
    <xf numFmtId="176" fontId="4" fillId="10" borderId="0" xfId="0" applyNumberFormat="1" applyFont="1" applyFill="1" applyAlignment="1">
      <alignment horizontal="center"/>
    </xf>
    <xf numFmtId="167" fontId="57" fillId="14" borderId="0" xfId="1" applyNumberFormat="1" applyFont="1" applyFill="1"/>
    <xf numFmtId="0" fontId="4" fillId="6" borderId="51" xfId="0" applyFont="1" applyFill="1" applyBorder="1"/>
    <xf numFmtId="164" fontId="64" fillId="5" borderId="0" xfId="0" applyNumberFormat="1" applyFont="1" applyFill="1" applyAlignment="1" applyProtection="1"/>
    <xf numFmtId="164" fontId="64" fillId="5" borderId="0" xfId="1" applyFont="1" applyFill="1" applyAlignment="1" applyProtection="1"/>
    <xf numFmtId="0" fontId="0" fillId="0" borderId="0" xfId="0" applyAlignment="1">
      <alignment horizontal="center"/>
    </xf>
    <xf numFmtId="0" fontId="0" fillId="7" borderId="0" xfId="0" applyFill="1"/>
    <xf numFmtId="0" fontId="55" fillId="21" borderId="0" xfId="0" applyFont="1" applyFill="1" applyProtection="1">
      <protection locked="0"/>
    </xf>
    <xf numFmtId="0" fontId="5" fillId="21" borderId="0" xfId="0" applyFont="1" applyFill="1" applyProtection="1"/>
    <xf numFmtId="9" fontId="5" fillId="21" borderId="0" xfId="0" applyNumberFormat="1" applyFont="1" applyFill="1" applyBorder="1" applyAlignment="1">
      <alignment horizontal="center"/>
    </xf>
    <xf numFmtId="164" fontId="55" fillId="21" borderId="0" xfId="0" applyNumberFormat="1" applyFont="1" applyFill="1" applyAlignment="1" applyProtection="1"/>
    <xf numFmtId="0" fontId="67" fillId="7" borderId="0" xfId="0" applyFont="1" applyFill="1"/>
    <xf numFmtId="164" fontId="67" fillId="7" borderId="0" xfId="0" applyNumberFormat="1" applyFont="1" applyFill="1"/>
    <xf numFmtId="164" fontId="67" fillId="7" borderId="0" xfId="0" applyNumberFormat="1" applyFont="1" applyFill="1" applyAlignment="1" applyProtection="1"/>
    <xf numFmtId="0" fontId="1" fillId="7" borderId="0" xfId="0" applyFont="1" applyFill="1"/>
    <xf numFmtId="1" fontId="67" fillId="7" borderId="0" xfId="0" applyNumberFormat="1" applyFont="1" applyFill="1"/>
    <xf numFmtId="0" fontId="67" fillId="7" borderId="0" xfId="0" applyFont="1" applyFill="1" applyBorder="1" applyAlignment="1" applyProtection="1">
      <alignment horizontal="center"/>
    </xf>
    <xf numFmtId="0" fontId="67" fillId="7" borderId="0" xfId="0" applyFont="1" applyFill="1" applyBorder="1" applyAlignment="1">
      <alignment horizontal="center"/>
    </xf>
    <xf numFmtId="9" fontId="67" fillId="7" borderId="0" xfId="0" applyNumberFormat="1" applyFont="1" applyFill="1" applyBorder="1" applyAlignment="1">
      <alignment horizontal="center"/>
    </xf>
    <xf numFmtId="0" fontId="0" fillId="7" borderId="0" xfId="0" applyFill="1" applyProtection="1"/>
    <xf numFmtId="0" fontId="5" fillId="7" borderId="0" xfId="0" applyFont="1" applyFill="1" applyProtection="1"/>
    <xf numFmtId="0" fontId="5" fillId="7" borderId="0" xfId="0" applyFont="1" applyFill="1" applyAlignment="1" applyProtection="1">
      <alignment horizontal="center"/>
    </xf>
    <xf numFmtId="0" fontId="67" fillId="7" borderId="0" xfId="0" applyFont="1" applyFill="1" applyProtection="1"/>
    <xf numFmtId="0" fontId="0" fillId="7" borderId="0" xfId="0" applyFill="1" applyAlignment="1" applyProtection="1"/>
    <xf numFmtId="0" fontId="9" fillId="7" borderId="0" xfId="0" applyFont="1" applyFill="1" applyProtection="1"/>
    <xf numFmtId="0" fontId="2" fillId="7" borderId="0" xfId="0" applyFont="1" applyFill="1" applyProtection="1"/>
    <xf numFmtId="0" fontId="11" fillId="7" borderId="0" xfId="0" applyFont="1" applyFill="1" applyAlignment="1" applyProtection="1">
      <alignment horizontal="center"/>
    </xf>
    <xf numFmtId="0" fontId="4" fillId="7" borderId="0" xfId="0" applyFont="1" applyFill="1" applyProtection="1"/>
    <xf numFmtId="0" fontId="0" fillId="7" borderId="0" xfId="0" applyFill="1" applyAlignment="1" applyProtection="1">
      <alignment horizontal="center"/>
    </xf>
    <xf numFmtId="0" fontId="26" fillId="7" borderId="0" xfId="0" applyFont="1" applyFill="1" applyProtection="1"/>
    <xf numFmtId="0" fontId="26" fillId="7" borderId="0" xfId="0" applyFont="1" applyFill="1" applyAlignment="1" applyProtection="1">
      <alignment horizontal="left"/>
    </xf>
    <xf numFmtId="0" fontId="65" fillId="7" borderId="0" xfId="0" applyFont="1" applyFill="1" applyProtection="1"/>
    <xf numFmtId="164" fontId="0" fillId="7" borderId="0" xfId="0" applyNumberFormat="1" applyFill="1" applyAlignment="1" applyProtection="1"/>
    <xf numFmtId="0" fontId="1" fillId="7" borderId="0" xfId="0" applyFont="1" applyFill="1" applyAlignment="1" applyProtection="1">
      <alignment horizontal="center"/>
    </xf>
    <xf numFmtId="0" fontId="0" fillId="7" borderId="0" xfId="0" applyFont="1" applyFill="1" applyAlignment="1" applyProtection="1"/>
    <xf numFmtId="9" fontId="3" fillId="7" borderId="0" xfId="130" applyFont="1" applyFill="1" applyAlignment="1" applyProtection="1">
      <alignment horizontal="left"/>
    </xf>
    <xf numFmtId="0" fontId="1" fillId="7" borderId="0" xfId="0" applyFont="1" applyFill="1" applyProtection="1"/>
    <xf numFmtId="0" fontId="1" fillId="7" borderId="0" xfId="0" applyFont="1" applyFill="1" applyAlignment="1" applyProtection="1">
      <alignment wrapText="1"/>
    </xf>
    <xf numFmtId="9" fontId="1" fillId="7" borderId="0" xfId="0" applyNumberFormat="1" applyFont="1" applyFill="1" applyAlignment="1" applyProtection="1">
      <alignment horizontal="left"/>
    </xf>
    <xf numFmtId="0" fontId="1" fillId="7" borderId="0" xfId="0" applyFont="1" applyFill="1" applyAlignment="1" applyProtection="1"/>
    <xf numFmtId="164" fontId="1" fillId="7" borderId="0" xfId="0" applyNumberFormat="1" applyFont="1" applyFill="1" applyAlignment="1" applyProtection="1"/>
    <xf numFmtId="0" fontId="69" fillId="7" borderId="0" xfId="6" applyFont="1" applyFill="1" applyProtection="1"/>
    <xf numFmtId="0" fontId="69" fillId="7" borderId="0" xfId="6" applyFont="1" applyFill="1" applyAlignment="1" applyProtection="1">
      <alignment horizontal="center"/>
      <protection locked="0"/>
    </xf>
    <xf numFmtId="0" fontId="66" fillId="7" borderId="0" xfId="0" applyFont="1" applyFill="1" applyAlignment="1" applyProtection="1">
      <alignment horizontal="center"/>
    </xf>
    <xf numFmtId="164" fontId="56" fillId="7" borderId="0" xfId="0" applyNumberFormat="1" applyFont="1" applyFill="1" applyAlignment="1" applyProtection="1"/>
    <xf numFmtId="164" fontId="56" fillId="7" borderId="0" xfId="0" applyNumberFormat="1" applyFont="1" applyFill="1" applyAlignment="1" applyProtection="1">
      <alignment horizontal="center"/>
    </xf>
    <xf numFmtId="9" fontId="1" fillId="7" borderId="0" xfId="0" applyNumberFormat="1" applyFont="1" applyFill="1"/>
    <xf numFmtId="164" fontId="1" fillId="7" borderId="0" xfId="0" applyNumberFormat="1" applyFont="1" applyFill="1"/>
    <xf numFmtId="0" fontId="1" fillId="7" borderId="0" xfId="0" applyFont="1" applyFill="1" applyAlignment="1" applyProtection="1">
      <alignment horizontal="center"/>
      <protection locked="0"/>
    </xf>
    <xf numFmtId="9" fontId="4" fillId="0" borderId="0" xfId="0" applyNumberFormat="1" applyFont="1"/>
    <xf numFmtId="0" fontId="71" fillId="7" borderId="0" xfId="0" applyFont="1" applyFill="1" applyProtection="1"/>
    <xf numFmtId="0" fontId="70" fillId="7" borderId="0" xfId="0" applyFont="1" applyFill="1" applyProtection="1"/>
    <xf numFmtId="0" fontId="72" fillId="7" borderId="0" xfId="0" applyFont="1" applyFill="1" applyProtection="1">
      <protection locked="0"/>
    </xf>
    <xf numFmtId="0" fontId="72" fillId="7" borderId="0" xfId="0" applyFont="1" applyFill="1" applyAlignment="1" applyProtection="1">
      <alignment horizontal="left"/>
      <protection locked="0"/>
    </xf>
    <xf numFmtId="0" fontId="73" fillId="7" borderId="0" xfId="0" applyFont="1" applyFill="1" applyProtection="1"/>
    <xf numFmtId="0" fontId="73" fillId="7" borderId="0" xfId="0" applyFont="1" applyFill="1" applyAlignment="1" applyProtection="1">
      <alignment horizontal="left"/>
    </xf>
    <xf numFmtId="0" fontId="74" fillId="7" borderId="0" xfId="0" applyFont="1" applyFill="1" applyProtection="1"/>
    <xf numFmtId="0" fontId="75" fillId="7" borderId="0" xfId="0" applyFont="1" applyFill="1" applyProtection="1"/>
    <xf numFmtId="0" fontId="76" fillId="7" borderId="0" xfId="0" applyFont="1" applyFill="1" applyAlignment="1" applyProtection="1">
      <alignment horizontal="center"/>
    </xf>
    <xf numFmtId="0" fontId="77" fillId="7" borderId="0" xfId="0" applyFont="1" applyFill="1" applyProtection="1"/>
    <xf numFmtId="0" fontId="78" fillId="7" borderId="0" xfId="0" applyFont="1" applyFill="1" applyAlignment="1" applyProtection="1">
      <alignment horizontal="left"/>
    </xf>
    <xf numFmtId="0" fontId="74" fillId="7" borderId="0" xfId="0" applyFont="1" applyFill="1" applyAlignment="1" applyProtection="1">
      <alignment wrapText="1"/>
    </xf>
    <xf numFmtId="0" fontId="74" fillId="7" borderId="0" xfId="0" applyFont="1" applyFill="1" applyAlignment="1" applyProtection="1">
      <alignment horizontal="center" wrapText="1"/>
    </xf>
    <xf numFmtId="0" fontId="79" fillId="7" borderId="0" xfId="0" applyFont="1" applyFill="1" applyAlignment="1" applyProtection="1">
      <alignment horizontal="left"/>
    </xf>
    <xf numFmtId="0" fontId="6" fillId="7" borderId="0" xfId="0" applyFont="1" applyFill="1" applyAlignment="1" applyProtection="1"/>
    <xf numFmtId="0" fontId="80" fillId="7" borderId="0" xfId="0" applyFont="1" applyFill="1"/>
    <xf numFmtId="0" fontId="70" fillId="7" borderId="0" xfId="0" applyFont="1" applyFill="1"/>
    <xf numFmtId="164" fontId="70" fillId="7" borderId="0" xfId="0" applyNumberFormat="1" applyFont="1" applyFill="1" applyAlignment="1">
      <alignment horizontal="center"/>
    </xf>
    <xf numFmtId="164" fontId="70" fillId="7" borderId="0" xfId="0" applyNumberFormat="1" applyFont="1" applyFill="1"/>
    <xf numFmtId="0" fontId="81" fillId="7" borderId="0" xfId="0" applyFont="1" applyFill="1" applyAlignment="1" applyProtection="1">
      <alignment horizontal="center"/>
      <protection locked="0"/>
    </xf>
    <xf numFmtId="0" fontId="81" fillId="7" borderId="0" xfId="0" applyFont="1" applyFill="1" applyAlignment="1" applyProtection="1">
      <alignment horizontal="center"/>
    </xf>
    <xf numFmtId="0" fontId="81" fillId="7" borderId="0" xfId="0" applyFont="1" applyFill="1" applyProtection="1"/>
    <xf numFmtId="169" fontId="81" fillId="7" borderId="0" xfId="0" applyNumberFormat="1" applyFont="1" applyFill="1" applyProtection="1"/>
    <xf numFmtId="164" fontId="82" fillId="7" borderId="0" xfId="0" applyNumberFormat="1" applyFont="1" applyFill="1" applyAlignment="1" applyProtection="1">
      <alignment horizontal="center"/>
    </xf>
    <xf numFmtId="9" fontId="81" fillId="7" borderId="0" xfId="0" applyNumberFormat="1" applyFont="1" applyFill="1" applyProtection="1"/>
    <xf numFmtId="164" fontId="11" fillId="7" borderId="0" xfId="0" applyNumberFormat="1" applyFont="1" applyFill="1" applyAlignment="1" applyProtection="1">
      <protection locked="0"/>
    </xf>
    <xf numFmtId="164" fontId="74" fillId="7" borderId="0" xfId="0" applyNumberFormat="1" applyFont="1" applyFill="1" applyProtection="1"/>
    <xf numFmtId="164" fontId="74" fillId="7" borderId="0" xfId="0" applyNumberFormat="1" applyFont="1" applyFill="1" applyAlignment="1" applyProtection="1">
      <alignment horizontal="center"/>
    </xf>
    <xf numFmtId="164" fontId="74" fillId="7" borderId="0" xfId="0" applyNumberFormat="1" applyFont="1" applyFill="1" applyAlignment="1">
      <alignment horizontal="center"/>
    </xf>
    <xf numFmtId="0" fontId="83"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176" fontId="0" fillId="0" borderId="0" xfId="0" applyNumberFormat="1"/>
    <xf numFmtId="10" fontId="3" fillId="7" borderId="0" xfId="130" applyNumberFormat="1" applyFont="1" applyFill="1" applyAlignment="1" applyProtection="1">
      <alignment horizontal="left"/>
    </xf>
    <xf numFmtId="0" fontId="4" fillId="10" borderId="54" xfId="0" applyFont="1" applyFill="1" applyBorder="1" applyAlignment="1"/>
    <xf numFmtId="0" fontId="5" fillId="21" borderId="8" xfId="0" applyFont="1" applyFill="1" applyBorder="1" applyAlignment="1" applyProtection="1">
      <alignment horizontal="center"/>
    </xf>
    <xf numFmtId="0" fontId="89" fillId="0" borderId="0" xfId="0" applyFont="1"/>
    <xf numFmtId="0" fontId="4" fillId="40" borderId="0" xfId="0" applyFont="1" applyFill="1"/>
    <xf numFmtId="0" fontId="4" fillId="19" borderId="0" xfId="0" applyFont="1" applyFill="1" applyBorder="1" applyAlignment="1"/>
    <xf numFmtId="0" fontId="90" fillId="0" borderId="0" xfId="0" applyFont="1"/>
    <xf numFmtId="9" fontId="5" fillId="7" borderId="0" xfId="0" applyNumberFormat="1" applyFont="1" applyFill="1" applyBorder="1" applyAlignment="1">
      <alignment horizontal="center"/>
    </xf>
    <xf numFmtId="0" fontId="5" fillId="7" borderId="0" xfId="0" applyNumberFormat="1" applyFont="1" applyFill="1" applyBorder="1" applyAlignment="1">
      <alignment horizontal="center"/>
    </xf>
    <xf numFmtId="9" fontId="5" fillId="21" borderId="8" xfId="0" applyNumberFormat="1" applyFont="1" applyFill="1" applyBorder="1" applyAlignment="1">
      <alignment horizontal="center"/>
    </xf>
    <xf numFmtId="0" fontId="16" fillId="0" borderId="0" xfId="0" applyFont="1" applyAlignment="1" applyProtection="1">
      <alignment wrapText="1"/>
    </xf>
    <xf numFmtId="0" fontId="16" fillId="0" borderId="0" xfId="0" applyFont="1" applyAlignment="1" applyProtection="1"/>
    <xf numFmtId="0" fontId="0" fillId="0" borderId="0" xfId="0" applyAlignment="1" applyProtection="1"/>
    <xf numFmtId="0" fontId="19" fillId="0" borderId="0" xfId="0" applyFont="1" applyAlignment="1" applyProtection="1">
      <alignment vertical="center" wrapText="1"/>
    </xf>
    <xf numFmtId="0" fontId="0" fillId="0" borderId="0" xfId="0" applyAlignment="1">
      <alignment wrapText="1"/>
    </xf>
    <xf numFmtId="0" fontId="20" fillId="5" borderId="0" xfId="0" applyFont="1" applyFill="1" applyAlignment="1" applyProtection="1">
      <alignment vertical="center"/>
    </xf>
    <xf numFmtId="0" fontId="16" fillId="5" borderId="0" xfId="0" applyFont="1" applyFill="1" applyAlignment="1" applyProtection="1">
      <alignment vertical="center"/>
    </xf>
    <xf numFmtId="0" fontId="0" fillId="0" borderId="0" xfId="0" applyAlignment="1" applyProtection="1">
      <alignment vertical="center"/>
    </xf>
    <xf numFmtId="0" fontId="21" fillId="5" borderId="0" xfId="0" applyFont="1" applyFill="1" applyAlignment="1" applyProtection="1">
      <alignment vertical="center"/>
    </xf>
    <xf numFmtId="0" fontId="16" fillId="0" borderId="0" xfId="0" applyFont="1" applyFill="1" applyBorder="1" applyProtection="1"/>
    <xf numFmtId="0" fontId="16" fillId="0" borderId="0" xfId="0" applyFont="1" applyBorder="1" applyAlignment="1" applyProtection="1">
      <alignment wrapText="1"/>
    </xf>
    <xf numFmtId="0" fontId="16" fillId="0" borderId="0" xfId="0" applyFont="1" applyBorder="1" applyProtection="1"/>
    <xf numFmtId="0" fontId="16" fillId="0" borderId="49" xfId="0" applyFont="1" applyBorder="1" applyAlignment="1" applyProtection="1">
      <alignment horizontal="center"/>
      <protection locked="0"/>
    </xf>
    <xf numFmtId="0" fontId="16" fillId="0" borderId="6" xfId="0" applyFont="1" applyBorder="1" applyAlignment="1" applyProtection="1">
      <alignment wrapText="1"/>
      <protection locked="0"/>
    </xf>
    <xf numFmtId="0" fontId="16" fillId="7" borderId="0" xfId="0" applyFont="1" applyFill="1" applyProtection="1"/>
    <xf numFmtId="0" fontId="16" fillId="0" borderId="0" xfId="0" applyFont="1" applyBorder="1" applyAlignment="1" applyProtection="1">
      <alignment horizontal="center"/>
    </xf>
    <xf numFmtId="0" fontId="0" fillId="0" borderId="0" xfId="0" applyProtection="1"/>
    <xf numFmtId="0" fontId="16" fillId="0" borderId="0" xfId="0" applyFont="1" applyProtection="1"/>
    <xf numFmtId="0" fontId="0" fillId="0" borderId="0" xfId="0" applyAlignment="1" applyProtection="1"/>
    <xf numFmtId="0" fontId="16" fillId="0" borderId="0" xfId="0" applyFont="1" applyAlignment="1" applyProtection="1"/>
    <xf numFmtId="164" fontId="0" fillId="0" borderId="0" xfId="0" applyNumberFormat="1" applyFont="1"/>
    <xf numFmtId="176" fontId="0" fillId="0" borderId="0" xfId="0" applyNumberFormat="1" applyFont="1"/>
    <xf numFmtId="0" fontId="0" fillId="17" borderId="0" xfId="0" applyFill="1"/>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top" wrapText="1"/>
    </xf>
    <xf numFmtId="176" fontId="0" fillId="0" borderId="0" xfId="0" applyNumberFormat="1" applyFill="1" applyAlignment="1">
      <alignment horizontal="center"/>
    </xf>
    <xf numFmtId="0" fontId="54" fillId="0" borderId="0" xfId="0" applyFont="1" applyFill="1"/>
    <xf numFmtId="164" fontId="0" fillId="3" borderId="0" xfId="0" applyNumberFormat="1" applyFill="1"/>
    <xf numFmtId="164" fontId="0" fillId="17" borderId="0" xfId="0" applyNumberFormat="1" applyFill="1"/>
    <xf numFmtId="0" fontId="4" fillId="7" borderId="0" xfId="0" applyFont="1" applyFill="1" applyAlignment="1">
      <alignment horizontal="center"/>
    </xf>
    <xf numFmtId="0" fontId="4" fillId="7" borderId="0" xfId="0" applyFont="1" applyFill="1" applyAlignment="1" applyProtection="1">
      <alignment horizontal="center"/>
      <protection locked="0"/>
    </xf>
    <xf numFmtId="0" fontId="5" fillId="7" borderId="0" xfId="0" applyFont="1" applyFill="1" applyAlignment="1" applyProtection="1">
      <alignment horizontal="center"/>
    </xf>
    <xf numFmtId="164" fontId="0" fillId="7" borderId="0" xfId="0" applyNumberFormat="1" applyFill="1" applyProtection="1"/>
    <xf numFmtId="0" fontId="10" fillId="0" borderId="0" xfId="0" applyFont="1"/>
    <xf numFmtId="164" fontId="55" fillId="7" borderId="0" xfId="0" applyNumberFormat="1" applyFont="1" applyFill="1" applyAlignment="1" applyProtection="1"/>
    <xf numFmtId="0" fontId="6" fillId="7" borderId="0" xfId="0" applyFont="1" applyFill="1" applyProtection="1"/>
    <xf numFmtId="0" fontId="60" fillId="0" borderId="0" xfId="0" applyFont="1"/>
    <xf numFmtId="0" fontId="4" fillId="10" borderId="0" xfId="0" applyFont="1" applyFill="1" applyBorder="1" applyAlignment="1"/>
    <xf numFmtId="0" fontId="61" fillId="10" borderId="0" xfId="0" applyFont="1" applyFill="1" applyBorder="1" applyAlignment="1"/>
    <xf numFmtId="177" fontId="55" fillId="21" borderId="0" xfId="0" applyNumberFormat="1" applyFont="1" applyFill="1" applyProtection="1">
      <protection locked="0"/>
    </xf>
    <xf numFmtId="164" fontId="34" fillId="0" borderId="6" xfId="0" applyNumberFormat="1" applyFont="1" applyBorder="1" applyAlignment="1">
      <alignment wrapText="1"/>
    </xf>
    <xf numFmtId="164" fontId="0" fillId="0" borderId="0" xfId="0" quotePrefix="1" applyNumberFormat="1"/>
    <xf numFmtId="0" fontId="0" fillId="12" borderId="0" xfId="0" applyFill="1"/>
    <xf numFmtId="164" fontId="0" fillId="12" borderId="0" xfId="0" applyNumberFormat="1" applyFill="1"/>
    <xf numFmtId="0" fontId="0" fillId="15" borderId="0" xfId="0" applyFill="1"/>
    <xf numFmtId="164" fontId="0" fillId="15" borderId="0" xfId="0" applyNumberFormat="1" applyFill="1"/>
    <xf numFmtId="0" fontId="5" fillId="21" borderId="8" xfId="0" applyNumberFormat="1" applyFont="1" applyFill="1" applyBorder="1" applyAlignment="1">
      <alignment horizontal="left"/>
    </xf>
    <xf numFmtId="0" fontId="74" fillId="7" borderId="0" xfId="0" applyFont="1" applyFill="1" applyAlignment="1" applyProtection="1">
      <alignment wrapText="1"/>
    </xf>
    <xf numFmtId="0" fontId="5" fillId="21" borderId="0" xfId="0" applyNumberFormat="1" applyFont="1" applyFill="1" applyBorder="1" applyAlignment="1">
      <alignment horizontal="left"/>
    </xf>
    <xf numFmtId="0" fontId="1" fillId="7" borderId="8" xfId="0" applyFont="1" applyFill="1" applyBorder="1" applyAlignment="1" applyProtection="1">
      <alignment horizontal="center"/>
    </xf>
    <xf numFmtId="0" fontId="1" fillId="7" borderId="8" xfId="0" applyNumberFormat="1" applyFont="1" applyFill="1" applyBorder="1" applyAlignment="1">
      <alignment horizontal="center"/>
    </xf>
    <xf numFmtId="0" fontId="77" fillId="7" borderId="0" xfId="0" applyFont="1" applyFill="1"/>
    <xf numFmtId="10" fontId="1" fillId="7" borderId="0" xfId="0" applyNumberFormat="1" applyFont="1" applyFill="1" applyAlignment="1" applyProtection="1"/>
    <xf numFmtId="167" fontId="0" fillId="0" borderId="0" xfId="0" applyNumberFormat="1"/>
    <xf numFmtId="167" fontId="34" fillId="0" borderId="6" xfId="0" applyNumberFormat="1" applyFont="1" applyBorder="1"/>
    <xf numFmtId="167" fontId="35" fillId="0" borderId="6" xfId="0" applyNumberFormat="1" applyFont="1" applyBorder="1"/>
    <xf numFmtId="0" fontId="0" fillId="0" borderId="0" xfId="0" applyAlignment="1" applyProtection="1"/>
    <xf numFmtId="0" fontId="0" fillId="0" borderId="0" xfId="0" applyAlignment="1"/>
    <xf numFmtId="0" fontId="1" fillId="7" borderId="0" xfId="0" applyFont="1" applyFill="1" applyAlignment="1"/>
    <xf numFmtId="0" fontId="16" fillId="0" borderId="56" xfId="0" applyFont="1" applyBorder="1" applyAlignment="1" applyProtection="1">
      <alignment horizontal="center"/>
      <protection locked="0"/>
    </xf>
    <xf numFmtId="0" fontId="0" fillId="0" borderId="0" xfId="0" applyAlignment="1">
      <alignment horizontal="left" wrapText="1"/>
    </xf>
    <xf numFmtId="164" fontId="92" fillId="7" borderId="0" xfId="0" applyNumberFormat="1" applyFont="1" applyFill="1"/>
    <xf numFmtId="2" fontId="1" fillId="7" borderId="0" xfId="0" applyNumberFormat="1" applyFont="1" applyFill="1"/>
    <xf numFmtId="0" fontId="93" fillId="7" borderId="0" xfId="0" applyFont="1" applyFill="1"/>
    <xf numFmtId="164" fontId="94" fillId="7" borderId="0" xfId="0" applyNumberFormat="1" applyFont="1" applyFill="1" applyAlignment="1" applyProtection="1">
      <alignment horizontal="center"/>
    </xf>
    <xf numFmtId="9" fontId="94" fillId="7" borderId="0" xfId="0" applyNumberFormat="1" applyFont="1" applyFill="1" applyAlignment="1" applyProtection="1">
      <alignment horizontal="left"/>
    </xf>
    <xf numFmtId="0" fontId="95" fillId="7" borderId="0" xfId="0" applyFont="1" applyFill="1" applyProtection="1"/>
    <xf numFmtId="0" fontId="0" fillId="0" borderId="0" xfId="0" applyBorder="1" applyAlignment="1">
      <alignment vertical="top" wrapText="1"/>
    </xf>
    <xf numFmtId="0" fontId="0" fillId="7" borderId="0" xfId="0" applyFill="1" applyAlignment="1">
      <alignment horizontal="left" vertical="center" wrapText="1"/>
    </xf>
    <xf numFmtId="0" fontId="0" fillId="7" borderId="0" xfId="0" applyFont="1" applyFill="1" applyAlignment="1">
      <alignment horizontal="left" vertical="center" wrapText="1"/>
    </xf>
    <xf numFmtId="49" fontId="0" fillId="0" borderId="0" xfId="0" applyNumberFormat="1" applyFill="1" applyAlignment="1">
      <alignment horizontal="center"/>
    </xf>
    <xf numFmtId="176" fontId="53" fillId="0" borderId="0" xfId="0" applyNumberFormat="1" applyFont="1" applyFill="1" applyAlignment="1">
      <alignment horizontal="center"/>
    </xf>
    <xf numFmtId="0" fontId="53" fillId="0" borderId="0" xfId="0" applyFont="1" applyFill="1"/>
    <xf numFmtId="0" fontId="0" fillId="0" borderId="0" xfId="0" applyAlignment="1">
      <alignment horizontal="left" vertical="top"/>
    </xf>
    <xf numFmtId="0" fontId="0" fillId="0" borderId="0" xfId="0" applyFill="1" applyAlignment="1">
      <alignment horizontal="left" vertical="top"/>
    </xf>
    <xf numFmtId="0" fontId="0" fillId="0" borderId="0" xfId="0"/>
    <xf numFmtId="0" fontId="0" fillId="0" borderId="0" xfId="0" applyAlignment="1">
      <alignment horizontal="center"/>
    </xf>
    <xf numFmtId="0" fontId="0" fillId="3" borderId="0" xfId="0" applyFill="1"/>
    <xf numFmtId="0" fontId="54" fillId="0" borderId="0" xfId="0" applyFont="1" applyFill="1"/>
    <xf numFmtId="164" fontId="0" fillId="0" borderId="0" xfId="0" applyNumberFormat="1" applyFill="1" applyAlignment="1">
      <alignment horizontal="center"/>
    </xf>
    <xf numFmtId="0" fontId="0" fillId="0" borderId="0" xfId="0" applyNumberFormat="1"/>
    <xf numFmtId="0" fontId="12" fillId="26" borderId="0" xfId="10"/>
    <xf numFmtId="0" fontId="36" fillId="0" borderId="0" xfId="0" applyFont="1" applyAlignment="1">
      <alignment horizontal="left" vertical="center"/>
    </xf>
    <xf numFmtId="0" fontId="0" fillId="0" borderId="0" xfId="0" applyAlignment="1">
      <alignment horizontal="left" vertical="center"/>
    </xf>
    <xf numFmtId="49" fontId="34" fillId="0" borderId="6" xfId="0" applyNumberFormat="1" applyFont="1" applyBorder="1" applyAlignment="1">
      <alignment horizontal="left" vertical="center"/>
    </xf>
    <xf numFmtId="49" fontId="35" fillId="0" borderId="6" xfId="0" applyNumberFormat="1" applyFont="1" applyBorder="1" applyAlignment="1">
      <alignment horizontal="left" vertical="center"/>
    </xf>
    <xf numFmtId="0" fontId="0" fillId="0" borderId="0" xfId="0" applyAlignment="1">
      <alignment horizontal="center" vertical="center"/>
    </xf>
    <xf numFmtId="49" fontId="34" fillId="0" borderId="6" xfId="0" applyNumberFormat="1" applyFont="1" applyBorder="1" applyAlignment="1">
      <alignment horizontal="center" vertical="center"/>
    </xf>
    <xf numFmtId="49" fontId="35" fillId="0" borderId="6" xfId="0" applyNumberFormat="1" applyFont="1" applyBorder="1" applyAlignment="1">
      <alignment horizontal="center" vertical="center"/>
    </xf>
    <xf numFmtId="164" fontId="34" fillId="0" borderId="6" xfId="0" applyNumberFormat="1" applyFont="1" applyBorder="1"/>
    <xf numFmtId="164" fontId="35" fillId="0" borderId="6" xfId="0" applyNumberFormat="1" applyFont="1" applyBorder="1"/>
    <xf numFmtId="0" fontId="38" fillId="0" borderId="0" xfId="0" applyFont="1"/>
    <xf numFmtId="164" fontId="0" fillId="47" borderId="6" xfId="0" applyNumberFormat="1" applyFont="1" applyFill="1" applyBorder="1"/>
    <xf numFmtId="0" fontId="119" fillId="0" borderId="0" xfId="0" applyFont="1" applyAlignment="1">
      <alignment vertical="center"/>
    </xf>
    <xf numFmtId="0" fontId="7" fillId="0" borderId="65" xfId="0" applyFont="1" applyFill="1" applyBorder="1"/>
    <xf numFmtId="0" fontId="0" fillId="0" borderId="66" xfId="0" applyFont="1" applyFill="1" applyBorder="1"/>
    <xf numFmtId="171" fontId="35" fillId="0" borderId="65" xfId="0" applyNumberFormat="1" applyFont="1" applyFill="1" applyBorder="1"/>
    <xf numFmtId="0" fontId="0" fillId="0" borderId="65" xfId="0" applyFont="1" applyFill="1" applyBorder="1"/>
    <xf numFmtId="0" fontId="0" fillId="0" borderId="67" xfId="0" applyFont="1" applyFill="1" applyBorder="1"/>
    <xf numFmtId="164" fontId="103" fillId="42" borderId="0" xfId="253" applyNumberFormat="1"/>
    <xf numFmtId="165" fontId="103" fillId="42" borderId="4" xfId="253" applyNumberFormat="1" applyBorder="1" applyAlignment="1">
      <alignment horizontal="right" vertical="center"/>
    </xf>
    <xf numFmtId="165" fontId="103" fillId="0" borderId="4" xfId="253" applyNumberFormat="1" applyFill="1" applyBorder="1" applyAlignment="1">
      <alignment horizontal="right" vertical="center"/>
    </xf>
    <xf numFmtId="165" fontId="61" fillId="0" borderId="4" xfId="0" applyNumberFormat="1" applyFont="1" applyFill="1" applyBorder="1" applyAlignment="1">
      <alignment horizontal="right" vertical="center"/>
    </xf>
    <xf numFmtId="0" fontId="103" fillId="42" borderId="0" xfId="253"/>
    <xf numFmtId="0" fontId="57" fillId="0" borderId="0" xfId="0" applyFont="1" applyFill="1" applyBorder="1" applyAlignment="1">
      <alignment horizontal="left" vertical="top" wrapText="1"/>
    </xf>
    <xf numFmtId="0" fontId="57" fillId="0" borderId="0" xfId="0" applyFont="1" applyFill="1" applyBorder="1" applyAlignment="1">
      <alignment horizontal="left" vertical="top"/>
    </xf>
    <xf numFmtId="9" fontId="4" fillId="0" borderId="0" xfId="130" applyFont="1"/>
    <xf numFmtId="164" fontId="12" fillId="0" borderId="0" xfId="10" applyNumberFormat="1" applyFill="1"/>
    <xf numFmtId="0" fontId="12" fillId="0" borderId="0" xfId="10" applyFill="1"/>
    <xf numFmtId="0" fontId="12" fillId="0" borderId="0" xfId="10" applyFill="1" applyProtection="1"/>
    <xf numFmtId="168" fontId="103" fillId="42" borderId="0" xfId="253" applyNumberFormat="1" applyProtection="1">
      <protection locked="0"/>
    </xf>
    <xf numFmtId="164" fontId="0" fillId="0" borderId="0" xfId="0" applyNumberFormat="1" applyFont="1"/>
    <xf numFmtId="0" fontId="0" fillId="0" borderId="0" xfId="0"/>
    <xf numFmtId="0" fontId="53" fillId="0" borderId="0" xfId="0" applyFont="1"/>
    <xf numFmtId="0" fontId="0" fillId="0" borderId="0" xfId="0" applyAlignment="1">
      <alignment horizontal="center"/>
    </xf>
    <xf numFmtId="49" fontId="0" fillId="0" borderId="0" xfId="0" applyNumberFormat="1" applyAlignment="1">
      <alignment horizontal="center"/>
    </xf>
    <xf numFmtId="176" fontId="0" fillId="0" borderId="0" xfId="0" applyNumberFormat="1" applyAlignment="1">
      <alignment horizontal="center"/>
    </xf>
    <xf numFmtId="176" fontId="53" fillId="0" borderId="0" xfId="0" applyNumberFormat="1" applyFont="1" applyAlignment="1">
      <alignment horizontal="center"/>
    </xf>
    <xf numFmtId="0" fontId="53" fillId="0" borderId="0" xfId="0" applyFont="1" applyAlignment="1">
      <alignment horizontal="center"/>
    </xf>
    <xf numFmtId="176" fontId="0" fillId="0" borderId="0" xfId="0" applyNumberFormat="1"/>
    <xf numFmtId="176" fontId="0" fillId="0" borderId="0" xfId="0" applyNumberFormat="1" applyFill="1" applyAlignment="1">
      <alignment horizontal="center"/>
    </xf>
    <xf numFmtId="0" fontId="1" fillId="48" borderId="0" xfId="0" applyFont="1" applyFill="1"/>
    <xf numFmtId="1" fontId="67" fillId="48" borderId="0" xfId="0" applyNumberFormat="1" applyFont="1" applyFill="1"/>
    <xf numFmtId="0" fontId="67" fillId="48" borderId="0" xfId="0" applyFont="1" applyFill="1"/>
    <xf numFmtId="0" fontId="0" fillId="48" borderId="0" xfId="0" applyFill="1"/>
    <xf numFmtId="0" fontId="1" fillId="48" borderId="0" xfId="0" applyNumberFormat="1" applyFont="1" applyFill="1"/>
    <xf numFmtId="0" fontId="1" fillId="48" borderId="0" xfId="0" applyFont="1" applyFill="1" applyAlignment="1">
      <alignment horizontal="right"/>
    </xf>
    <xf numFmtId="0" fontId="67" fillId="48" borderId="0" xfId="0" applyNumberFormat="1" applyFont="1" applyFill="1"/>
    <xf numFmtId="164" fontId="7" fillId="0" borderId="6" xfId="0" applyNumberFormat="1" applyFont="1" applyBorder="1"/>
    <xf numFmtId="164" fontId="0" fillId="0" borderId="6" xfId="0" applyNumberFormat="1" applyBorder="1"/>
    <xf numFmtId="49" fontId="34" fillId="0" borderId="68" xfId="0" applyNumberFormat="1" applyFont="1" applyBorder="1" applyAlignment="1">
      <alignment horizontal="left" vertical="center"/>
    </xf>
    <xf numFmtId="49" fontId="34" fillId="0" borderId="68" xfId="0" applyNumberFormat="1" applyFont="1" applyBorder="1" applyAlignment="1">
      <alignment horizontal="center" vertical="center"/>
    </xf>
    <xf numFmtId="0" fontId="34" fillId="0" borderId="68" xfId="0" applyFont="1" applyBorder="1"/>
    <xf numFmtId="167" fontId="34" fillId="0" borderId="68" xfId="0" applyNumberFormat="1" applyFont="1" applyBorder="1"/>
    <xf numFmtId="171" fontId="34" fillId="0" borderId="68" xfId="0" applyNumberFormat="1" applyFont="1" applyBorder="1"/>
    <xf numFmtId="164" fontId="34" fillId="0" borderId="68" xfId="0" applyNumberFormat="1" applyFont="1" applyBorder="1"/>
    <xf numFmtId="164" fontId="7" fillId="0" borderId="69" xfId="0" applyNumberFormat="1" applyFont="1" applyBorder="1"/>
    <xf numFmtId="49" fontId="35" fillId="47" borderId="68" xfId="0" applyNumberFormat="1" applyFont="1" applyFill="1" applyBorder="1" applyAlignment="1">
      <alignment horizontal="left" vertical="center"/>
    </xf>
    <xf numFmtId="49" fontId="35" fillId="47" borderId="68" xfId="0" applyNumberFormat="1" applyFont="1" applyFill="1" applyBorder="1" applyAlignment="1">
      <alignment horizontal="center" vertical="center"/>
    </xf>
    <xf numFmtId="164" fontId="35" fillId="47" borderId="68" xfId="0" applyNumberFormat="1" applyFont="1" applyFill="1" applyBorder="1"/>
    <xf numFmtId="164" fontId="0" fillId="47" borderId="68" xfId="10" applyNumberFormat="1" applyFont="1" applyFill="1" applyBorder="1"/>
    <xf numFmtId="171" fontId="35" fillId="47" borderId="68" xfId="0" applyNumberFormat="1" applyFont="1" applyFill="1" applyBorder="1"/>
    <xf numFmtId="164" fontId="0" fillId="47" borderId="69" xfId="0" applyNumberFormat="1" applyFont="1" applyFill="1" applyBorder="1"/>
    <xf numFmtId="49" fontId="35" fillId="0" borderId="68" xfId="0" applyNumberFormat="1" applyFont="1" applyBorder="1" applyAlignment="1">
      <alignment horizontal="left" vertical="center"/>
    </xf>
    <xf numFmtId="49" fontId="35" fillId="0" borderId="68" xfId="0" applyNumberFormat="1" applyFont="1" applyBorder="1" applyAlignment="1">
      <alignment horizontal="center" vertical="center"/>
    </xf>
    <xf numFmtId="164" fontId="35" fillId="0" borderId="68" xfId="0" applyNumberFormat="1" applyFont="1" applyBorder="1"/>
    <xf numFmtId="171" fontId="35" fillId="0" borderId="68" xfId="0" applyNumberFormat="1" applyFont="1" applyBorder="1"/>
    <xf numFmtId="164" fontId="0" fillId="0" borderId="69" xfId="0" applyNumberFormat="1" applyFont="1" applyBorder="1"/>
    <xf numFmtId="49" fontId="0" fillId="47" borderId="68" xfId="10" applyNumberFormat="1" applyFont="1" applyFill="1" applyBorder="1" applyAlignment="1">
      <alignment horizontal="left" vertical="center"/>
    </xf>
    <xf numFmtId="164" fontId="35" fillId="49" borderId="68" xfId="0" applyNumberFormat="1" applyFont="1" applyFill="1" applyBorder="1"/>
    <xf numFmtId="164" fontId="35" fillId="3" borderId="68" xfId="0" applyNumberFormat="1" applyFont="1" applyFill="1" applyBorder="1"/>
    <xf numFmtId="0" fontId="35" fillId="47" borderId="68" xfId="0" applyNumberFormat="1" applyFont="1" applyFill="1" applyBorder="1" applyAlignment="1">
      <alignment horizontal="center" vertical="center"/>
    </xf>
    <xf numFmtId="0" fontId="35" fillId="0" borderId="68" xfId="0" applyNumberFormat="1" applyFont="1" applyBorder="1" applyAlignment="1">
      <alignment horizontal="center" vertical="center"/>
    </xf>
    <xf numFmtId="164" fontId="0" fillId="49" borderId="68" xfId="10" applyNumberFormat="1" applyFont="1" applyFill="1" applyBorder="1"/>
    <xf numFmtId="49" fontId="35" fillId="47" borderId="70" xfId="0" applyNumberFormat="1" applyFont="1" applyFill="1" applyBorder="1" applyAlignment="1">
      <alignment horizontal="left" vertical="center"/>
    </xf>
    <xf numFmtId="49" fontId="35" fillId="47" borderId="70" xfId="0" applyNumberFormat="1" applyFont="1" applyFill="1" applyBorder="1" applyAlignment="1">
      <alignment horizontal="center" vertical="center"/>
    </xf>
    <xf numFmtId="164" fontId="35" fillId="47" borderId="70" xfId="0" applyNumberFormat="1" applyFont="1" applyFill="1" applyBorder="1"/>
    <xf numFmtId="171" fontId="35" fillId="47" borderId="70" xfId="0" applyNumberFormat="1" applyFont="1" applyFill="1" applyBorder="1"/>
    <xf numFmtId="164" fontId="0" fillId="0" borderId="0" xfId="0" applyNumberFormat="1" applyAlignment="1">
      <alignment horizontal="right"/>
    </xf>
    <xf numFmtId="164" fontId="0" fillId="0" borderId="0" xfId="0" applyNumberFormat="1" applyFill="1" applyAlignment="1">
      <alignment horizontal="right"/>
    </xf>
    <xf numFmtId="0" fontId="5" fillId="21" borderId="0" xfId="0" applyFont="1" applyFill="1" applyBorder="1" applyAlignment="1" applyProtection="1">
      <alignment horizontal="center"/>
    </xf>
    <xf numFmtId="0" fontId="0" fillId="3" borderId="0" xfId="0" applyFill="1" applyAlignment="1">
      <alignment horizontal="center"/>
    </xf>
    <xf numFmtId="164" fontId="57" fillId="50" borderId="0" xfId="1" applyFont="1" applyFill="1"/>
    <xf numFmtId="14" fontId="72" fillId="7" borderId="0" xfId="0" applyNumberFormat="1" applyFont="1" applyFill="1" applyProtection="1">
      <protection locked="0"/>
    </xf>
    <xf numFmtId="14" fontId="74" fillId="7" borderId="0" xfId="0" applyNumberFormat="1" applyFont="1" applyFill="1" applyAlignment="1" applyProtection="1"/>
    <xf numFmtId="14" fontId="74" fillId="7" borderId="0" xfId="0" applyNumberFormat="1" applyFont="1" applyFill="1" applyProtection="1">
      <protection locked="0"/>
    </xf>
    <xf numFmtId="0" fontId="5" fillId="21" borderId="8" xfId="0" applyFont="1" applyFill="1" applyBorder="1" applyAlignment="1" applyProtection="1">
      <alignment horizontal="left" wrapText="1"/>
    </xf>
    <xf numFmtId="0" fontId="16"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7" fillId="0" borderId="0" xfId="0" applyFont="1" applyAlignment="1" applyProtection="1">
      <alignment wrapText="1"/>
    </xf>
    <xf numFmtId="0" fontId="0" fillId="0" borderId="0" xfId="0" applyAlignment="1">
      <alignment wrapText="1"/>
    </xf>
    <xf numFmtId="0" fontId="16" fillId="0" borderId="0" xfId="0" applyFont="1" applyAlignment="1" applyProtection="1">
      <alignment wrapText="1"/>
    </xf>
    <xf numFmtId="0" fontId="0" fillId="0" borderId="0" xfId="0" applyAlignment="1" applyProtection="1"/>
    <xf numFmtId="0" fontId="16" fillId="0" borderId="0" xfId="0" applyFont="1" applyAlignment="1" applyProtection="1">
      <protection locked="0"/>
    </xf>
    <xf numFmtId="0" fontId="0" fillId="0" borderId="0" xfId="0" applyAlignment="1" applyProtection="1">
      <protection locked="0"/>
    </xf>
    <xf numFmtId="0" fontId="17" fillId="0" borderId="0" xfId="0" applyFont="1" applyBorder="1" applyAlignment="1" applyProtection="1">
      <alignment horizontal="left" wrapText="1"/>
    </xf>
    <xf numFmtId="0" fontId="7" fillId="0" borderId="0" xfId="0" applyFont="1" applyAlignment="1">
      <alignment horizontal="left" wrapText="1"/>
    </xf>
    <xf numFmtId="0" fontId="17" fillId="0" borderId="0" xfId="0" applyFont="1" applyBorder="1" applyAlignment="1" applyProtection="1">
      <alignment horizontal="left"/>
    </xf>
    <xf numFmtId="0" fontId="7" fillId="0" borderId="0" xfId="0" applyFont="1" applyAlignment="1">
      <alignment horizontal="left"/>
    </xf>
    <xf numFmtId="0" fontId="19" fillId="0" borderId="0" xfId="0" applyFont="1" applyAlignment="1" applyProtection="1">
      <alignment vertical="center" wrapText="1"/>
    </xf>
    <xf numFmtId="0" fontId="0" fillId="0" borderId="0" xfId="0" applyAlignment="1"/>
    <xf numFmtId="0" fontId="91" fillId="0" borderId="0" xfId="0" applyFont="1" applyAlignment="1">
      <alignment wrapText="1"/>
    </xf>
    <xf numFmtId="0" fontId="91" fillId="7" borderId="0" xfId="0" applyFont="1" applyFill="1" applyAlignment="1">
      <alignment wrapText="1"/>
    </xf>
    <xf numFmtId="0" fontId="0" fillId="7" borderId="0" xfId="0" applyFill="1" applyAlignment="1">
      <alignment wrapText="1"/>
    </xf>
    <xf numFmtId="0" fontId="16" fillId="0" borderId="0" xfId="0" applyFont="1" applyAlignment="1" applyProtection="1"/>
    <xf numFmtId="0" fontId="17" fillId="0" borderId="0" xfId="0" applyFont="1" applyAlignment="1" applyProtection="1"/>
    <xf numFmtId="0" fontId="18" fillId="0" borderId="0" xfId="0" applyFont="1" applyAlignment="1" applyProtection="1">
      <alignment horizontal="left"/>
      <protection locked="0"/>
    </xf>
    <xf numFmtId="0" fontId="0" fillId="0" borderId="0" xfId="0" applyAlignment="1">
      <alignment horizontal="left"/>
    </xf>
    <xf numFmtId="0" fontId="18" fillId="0" borderId="0" xfId="0" applyFont="1" applyAlignment="1" applyProtection="1">
      <protection locked="0"/>
    </xf>
    <xf numFmtId="0" fontId="16" fillId="0" borderId="0" xfId="0" applyFont="1" applyAlignment="1" applyProtection="1">
      <alignment horizontal="left"/>
      <protection locked="0"/>
    </xf>
    <xf numFmtId="0" fontId="27" fillId="0" borderId="0" xfId="0" applyFont="1" applyAlignment="1" applyProtection="1">
      <alignment horizontal="center" vertical="center"/>
    </xf>
    <xf numFmtId="0" fontId="28" fillId="0" borderId="0" xfId="0" applyFont="1" applyAlignment="1" applyProtection="1">
      <alignment horizontal="center"/>
    </xf>
    <xf numFmtId="0" fontId="29" fillId="0" borderId="0" xfId="0" applyFont="1" applyAlignment="1" applyProtection="1"/>
    <xf numFmtId="0" fontId="16" fillId="0" borderId="0" xfId="0" applyFont="1" applyAlignment="1" applyProtection="1">
      <alignment vertical="center" wrapText="1"/>
    </xf>
    <xf numFmtId="0" fontId="0" fillId="0" borderId="0" xfId="0" applyAlignment="1" applyProtection="1">
      <alignment vertical="center"/>
    </xf>
    <xf numFmtId="0" fontId="18"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24" fillId="0" borderId="0" xfId="0" applyFont="1" applyAlignment="1" applyProtection="1">
      <alignment horizontal="center"/>
    </xf>
    <xf numFmtId="0" fontId="25" fillId="0" borderId="0" xfId="0" applyFont="1" applyAlignment="1" applyProtection="1">
      <alignment horizontal="center"/>
    </xf>
    <xf numFmtId="0" fontId="16" fillId="0" borderId="0" xfId="0" applyFont="1" applyAlignment="1" applyProtection="1">
      <alignment horizontal="left" vertical="center" wrapText="1"/>
    </xf>
    <xf numFmtId="0" fontId="67" fillId="48" borderId="0" xfId="0" applyFont="1" applyFill="1" applyAlignment="1"/>
    <xf numFmtId="0" fontId="5" fillId="21" borderId="0" xfId="0" applyFont="1" applyFill="1" applyBorder="1" applyAlignment="1" applyProtection="1">
      <alignment horizontal="center"/>
    </xf>
    <xf numFmtId="0" fontId="0" fillId="21" borderId="7" xfId="0" applyFill="1" applyBorder="1" applyAlignment="1">
      <alignment horizontal="center"/>
    </xf>
    <xf numFmtId="0" fontId="77" fillId="7" borderId="0" xfId="0" applyFont="1" applyFill="1" applyAlignment="1">
      <alignment horizontal="right"/>
    </xf>
    <xf numFmtId="0" fontId="59" fillId="12" borderId="32" xfId="0" applyFont="1" applyFill="1" applyBorder="1" applyAlignment="1">
      <alignment horizontal="left" vertical="center"/>
    </xf>
    <xf numFmtId="0" fontId="4" fillId="0" borderId="0" xfId="0" applyFont="1" applyAlignment="1">
      <alignment horizontal="left"/>
    </xf>
    <xf numFmtId="0" fontId="15" fillId="22" borderId="0" xfId="0" applyFont="1" applyFill="1" applyAlignment="1" applyProtection="1">
      <alignment horizontal="center"/>
    </xf>
    <xf numFmtId="0" fontId="5" fillId="22" borderId="0" xfId="0" applyFont="1" applyFill="1" applyAlignment="1">
      <alignment horizontal="center"/>
    </xf>
    <xf numFmtId="0" fontId="79" fillId="7" borderId="0" xfId="0" applyFont="1" applyFill="1" applyAlignment="1" applyProtection="1">
      <alignment horizontal="center"/>
    </xf>
    <xf numFmtId="0" fontId="70" fillId="7" borderId="0" xfId="0" applyFont="1" applyFill="1" applyAlignment="1">
      <alignment horizontal="center"/>
    </xf>
    <xf numFmtId="0" fontId="68" fillId="7" borderId="0" xfId="6" applyFont="1" applyFill="1" applyAlignment="1" applyProtection="1">
      <protection locked="0"/>
    </xf>
    <xf numFmtId="0" fontId="42" fillId="7" borderId="0" xfId="0" applyFont="1" applyFill="1" applyAlignment="1" applyProtection="1">
      <alignment wrapText="1"/>
    </xf>
    <xf numFmtId="0" fontId="42" fillId="7" borderId="0" xfId="0" applyFont="1" applyFill="1" applyAlignment="1">
      <alignment wrapText="1"/>
    </xf>
    <xf numFmtId="0" fontId="10" fillId="9" borderId="9" xfId="0" applyFont="1" applyFill="1" applyBorder="1" applyAlignment="1"/>
    <xf numFmtId="0" fontId="10" fillId="0" borderId="10" xfId="0" applyFont="1" applyBorder="1" applyAlignment="1"/>
    <xf numFmtId="0" fontId="10" fillId="0" borderId="45" xfId="0" applyFont="1" applyBorder="1" applyAlignment="1"/>
    <xf numFmtId="0" fontId="10" fillId="0" borderId="11" xfId="0" applyFont="1" applyBorder="1" applyAlignment="1"/>
    <xf numFmtId="0" fontId="10" fillId="9" borderId="38" xfId="0" applyFont="1" applyFill="1" applyBorder="1" applyAlignment="1"/>
    <xf numFmtId="0" fontId="10" fillId="0" borderId="42" xfId="0" applyFont="1" applyBorder="1" applyAlignment="1"/>
    <xf numFmtId="0" fontId="10" fillId="0" borderId="8" xfId="0" applyFont="1" applyBorder="1" applyAlignment="1"/>
    <xf numFmtId="0" fontId="10" fillId="0" borderId="39" xfId="0" applyFont="1" applyBorder="1" applyAlignment="1"/>
    <xf numFmtId="0" fontId="10" fillId="0" borderId="14" xfId="0" applyFont="1" applyBorder="1" applyAlignment="1"/>
    <xf numFmtId="0" fontId="10" fillId="0" borderId="15" xfId="0" applyFont="1" applyBorder="1" applyAlignment="1"/>
    <xf numFmtId="0" fontId="10" fillId="0" borderId="46" xfId="0" applyFont="1" applyBorder="1" applyAlignment="1"/>
    <xf numFmtId="0" fontId="10" fillId="0" borderId="16" xfId="0" applyFont="1" applyBorder="1" applyAlignment="1"/>
    <xf numFmtId="0" fontId="10" fillId="10" borderId="31" xfId="0" applyFont="1" applyFill="1" applyBorder="1" applyAlignment="1"/>
    <xf numFmtId="0" fontId="10" fillId="10" borderId="10" xfId="0" applyFont="1" applyFill="1" applyBorder="1" applyAlignment="1"/>
    <xf numFmtId="0" fontId="10" fillId="10" borderId="11" xfId="0" applyFont="1" applyFill="1" applyBorder="1" applyAlignment="1"/>
    <xf numFmtId="0" fontId="10" fillId="10" borderId="7" xfId="0" applyFont="1" applyFill="1" applyBorder="1" applyAlignment="1"/>
    <xf numFmtId="0" fontId="10" fillId="10" borderId="42" xfId="0" applyFont="1" applyFill="1" applyBorder="1" applyAlignment="1"/>
    <xf numFmtId="0" fontId="10" fillId="10" borderId="39" xfId="0" applyFont="1" applyFill="1" applyBorder="1" applyAlignment="1"/>
    <xf numFmtId="0" fontId="10" fillId="10" borderId="22" xfId="0" applyFont="1" applyFill="1" applyBorder="1" applyAlignment="1"/>
    <xf numFmtId="0" fontId="10" fillId="10" borderId="15" xfId="0" applyFont="1" applyFill="1" applyBorder="1" applyAlignment="1"/>
    <xf numFmtId="0" fontId="10" fillId="10" borderId="16" xfId="0" applyFont="1" applyFill="1" applyBorder="1" applyAlignment="1"/>
    <xf numFmtId="0" fontId="10" fillId="11" borderId="30" xfId="0" applyFont="1" applyFill="1" applyBorder="1" applyAlignment="1"/>
    <xf numFmtId="0" fontId="10" fillId="11" borderId="43" xfId="0" applyFont="1" applyFill="1" applyBorder="1" applyAlignment="1"/>
    <xf numFmtId="0" fontId="10" fillId="0" borderId="3" xfId="0" applyFont="1" applyBorder="1" applyAlignment="1"/>
    <xf numFmtId="0" fontId="10" fillId="12" borderId="9" xfId="0" applyFont="1" applyFill="1" applyBorder="1" applyAlignment="1">
      <alignment wrapText="1"/>
    </xf>
    <xf numFmtId="0" fontId="10" fillId="12" borderId="11" xfId="0" applyFont="1" applyFill="1" applyBorder="1" applyAlignment="1">
      <alignment wrapText="1"/>
    </xf>
    <xf numFmtId="0" fontId="10" fillId="12" borderId="38" xfId="0" applyFont="1" applyFill="1" applyBorder="1" applyAlignment="1">
      <alignment wrapText="1"/>
    </xf>
    <xf numFmtId="0" fontId="10" fillId="12" borderId="39" xfId="0" applyFont="1" applyFill="1" applyBorder="1" applyAlignment="1">
      <alignment wrapText="1"/>
    </xf>
    <xf numFmtId="0" fontId="10" fillId="12" borderId="14" xfId="0" applyFont="1" applyFill="1" applyBorder="1" applyAlignment="1">
      <alignment wrapText="1"/>
    </xf>
    <xf numFmtId="0" fontId="10" fillId="12" borderId="16" xfId="0" applyFont="1" applyFill="1" applyBorder="1" applyAlignment="1">
      <alignment wrapText="1"/>
    </xf>
    <xf numFmtId="0" fontId="1" fillId="7" borderId="0" xfId="0" applyFont="1" applyFill="1" applyAlignment="1" applyProtection="1">
      <alignment vertical="top"/>
      <protection locked="0"/>
    </xf>
    <xf numFmtId="0" fontId="1" fillId="7" borderId="0" xfId="0" applyFont="1" applyFill="1" applyAlignment="1" applyProtection="1">
      <alignment horizontal="center"/>
      <protection locked="0"/>
    </xf>
    <xf numFmtId="0" fontId="1" fillId="7" borderId="0" xfId="0" applyFont="1" applyFill="1" applyAlignment="1" applyProtection="1">
      <alignment horizontal="right"/>
    </xf>
    <xf numFmtId="0" fontId="1" fillId="0" borderId="0" xfId="0" applyFont="1" applyAlignment="1">
      <alignment horizontal="right"/>
    </xf>
    <xf numFmtId="0" fontId="1" fillId="7" borderId="0" xfId="0" applyFont="1" applyFill="1" applyAlignment="1"/>
    <xf numFmtId="9" fontId="1" fillId="7" borderId="0" xfId="0" applyNumberFormat="1" applyFont="1" applyFill="1" applyAlignment="1" applyProtection="1">
      <alignment horizontal="center"/>
    </xf>
    <xf numFmtId="0" fontId="55" fillId="21" borderId="0" xfId="0" applyFont="1" applyFill="1" applyAlignment="1" applyProtection="1">
      <alignment horizontal="center"/>
      <protection locked="0"/>
    </xf>
    <xf numFmtId="0" fontId="74" fillId="7" borderId="0" xfId="0" applyFont="1" applyFill="1" applyAlignment="1" applyProtection="1">
      <alignment wrapText="1"/>
    </xf>
    <xf numFmtId="0" fontId="5" fillId="21" borderId="0" xfId="0" applyFont="1" applyFill="1" applyAlignment="1" applyProtection="1">
      <alignment horizontal="center"/>
      <protection locked="0"/>
    </xf>
    <xf numFmtId="0" fontId="15" fillId="7" borderId="0" xfId="0" applyFont="1" applyFill="1" applyAlignment="1" applyProtection="1">
      <alignment horizontal="right"/>
    </xf>
    <xf numFmtId="0" fontId="5" fillId="7" borderId="0" xfId="0" applyFont="1" applyFill="1" applyAlignment="1" applyProtection="1">
      <alignment horizontal="center"/>
    </xf>
    <xf numFmtId="0" fontId="43" fillId="21" borderId="0" xfId="0" applyFont="1" applyFill="1" applyAlignment="1" applyProtection="1">
      <alignment horizontal="center" vertical="center"/>
      <protection locked="0"/>
    </xf>
    <xf numFmtId="0" fontId="3" fillId="7" borderId="0" xfId="0" applyFont="1" applyFill="1" applyAlignment="1" applyProtection="1">
      <alignment horizontal="right"/>
    </xf>
    <xf numFmtId="0" fontId="3" fillId="7" borderId="0" xfId="0" applyFont="1" applyFill="1" applyAlignment="1">
      <alignment horizontal="right"/>
    </xf>
    <xf numFmtId="0" fontId="0" fillId="21" borderId="0" xfId="0" applyFill="1" applyAlignment="1">
      <alignment horizontal="center"/>
    </xf>
    <xf numFmtId="0" fontId="41" fillId="0" borderId="0" xfId="0" applyFont="1" applyAlignment="1">
      <alignment wrapText="1"/>
    </xf>
  </cellXfs>
  <cellStyles count="57442">
    <cellStyle name="20% - Accent1 2" xfId="7"/>
    <cellStyle name="20% - Accent1 2 2" xfId="8"/>
    <cellStyle name="20% - Accent1 3" xfId="9"/>
    <cellStyle name="20% - Accent2 2" xfId="10"/>
    <cellStyle name="20% - Accent2 2 2" xfId="11"/>
    <cellStyle name="20% - Accent2 3" xfId="12"/>
    <cellStyle name="20% - Accent3 2" xfId="13"/>
    <cellStyle name="20% - Accent3 2 2" xfId="14"/>
    <cellStyle name="20% - Accent3 3" xfId="15"/>
    <cellStyle name="20% - Accent4 2" xfId="16"/>
    <cellStyle name="20% - Accent4 2 2" xfId="17"/>
    <cellStyle name="20% - Accent4 3" xfId="18"/>
    <cellStyle name="20% - Accent5 2" xfId="19"/>
    <cellStyle name="20% - Accent5 2 2" xfId="20"/>
    <cellStyle name="20% - Accent5 3" xfId="21"/>
    <cellStyle name="20% - Accent6 2" xfId="22"/>
    <cellStyle name="20% - Accent6 2 2" xfId="23"/>
    <cellStyle name="20% - Accent6 3" xfId="24"/>
    <cellStyle name="40% - Accent1 2" xfId="25"/>
    <cellStyle name="40% - Accent1 2 2" xfId="26"/>
    <cellStyle name="40% - Accent1 3" xfId="27"/>
    <cellStyle name="40% - Accent2 2" xfId="28"/>
    <cellStyle name="40% - Accent2 2 2" xfId="29"/>
    <cellStyle name="40% - Accent2 3" xfId="30"/>
    <cellStyle name="40% - Accent3 2" xfId="31"/>
    <cellStyle name="40% - Accent3 2 2" xfId="32"/>
    <cellStyle name="40% - Accent3 3" xfId="33"/>
    <cellStyle name="40% - Accent4 2" xfId="34"/>
    <cellStyle name="40% - Accent4 2 2" xfId="35"/>
    <cellStyle name="40% - Accent4 3" xfId="36"/>
    <cellStyle name="40% - Accent5 2" xfId="37"/>
    <cellStyle name="40% - Accent5 2 2" xfId="38"/>
    <cellStyle name="40% - Accent5 3" xfId="39"/>
    <cellStyle name="40% - Accent6 2" xfId="40"/>
    <cellStyle name="40% - Accent6 2 2" xfId="41"/>
    <cellStyle name="40% - Accent6 3" xfId="42"/>
    <cellStyle name="Bad" xfId="253"/>
    <cellStyle name="bedrag, 0 decimalen" xfId="43"/>
    <cellStyle name="bedrag, 0 decimalen 2" xfId="44"/>
    <cellStyle name="bedrag, 0 decimalen 2 2" xfId="45"/>
    <cellStyle name="bedrag, 0 decimalen 2 2 2" xfId="176"/>
    <cellStyle name="bedrag, 0 decimalen 2 3" xfId="175"/>
    <cellStyle name="bedrag, 0 decimalen 3" xfId="46"/>
    <cellStyle name="bedrag, 0 decimalen 3 2" xfId="47"/>
    <cellStyle name="bedrag, 0 decimalen 3 2 2" xfId="178"/>
    <cellStyle name="bedrag, 0 decimalen 3 3" xfId="177"/>
    <cellStyle name="bedrag, 0 decimalen 4" xfId="48"/>
    <cellStyle name="bedrag, 0 decimalen 4 2" xfId="179"/>
    <cellStyle name="bedrag, 0 decimalen 5" xfId="174"/>
    <cellStyle name="Calculation" xfId="254"/>
    <cellStyle name="Check Cell" xfId="255"/>
    <cellStyle name="Comma 2" xfId="49"/>
    <cellStyle name="Comma 2 2" xfId="50"/>
    <cellStyle name="Comma 2 2 2" xfId="216"/>
    <cellStyle name="Comma 3" xfId="256"/>
    <cellStyle name="Currency 2" xfId="257"/>
    <cellStyle name="Currency 3" xfId="258"/>
    <cellStyle name="Currency 4" xfId="259"/>
    <cellStyle name="Custom - Opmaakprofiel8" xfId="51"/>
    <cellStyle name="Custom - Opmaakprofiel8 2" xfId="227"/>
    <cellStyle name="Custom - Opmaakprofiel8 3" xfId="180"/>
    <cellStyle name="Custom - Opmaakprofiel8 4" xfId="150"/>
    <cellStyle name="Data   - Opmaakprofiel2" xfId="52"/>
    <cellStyle name="Data   - Opmaakprofiel2 10" xfId="4169"/>
    <cellStyle name="Data   - Opmaakprofiel2 10 2" xfId="12539"/>
    <cellStyle name="Data   - Opmaakprofiel2 10 3" xfId="15549"/>
    <cellStyle name="Data   - Opmaakprofiel2 10 4" xfId="46457"/>
    <cellStyle name="Data   - Opmaakprofiel2 10 5" xfId="37220"/>
    <cellStyle name="Data   - Opmaakprofiel2 11" xfId="7796"/>
    <cellStyle name="Data   - Opmaakprofiel2 11 2" xfId="20094"/>
    <cellStyle name="Data   - Opmaakprofiel2 11 3" xfId="41897"/>
    <cellStyle name="Data   - Opmaakprofiel2 11 4" xfId="43360"/>
    <cellStyle name="Data   - Opmaakprofiel2 11 5" xfId="52761"/>
    <cellStyle name="Data   - Opmaakprofiel2 12" xfId="12538"/>
    <cellStyle name="Data   - Opmaakprofiel2 13" xfId="151"/>
    <cellStyle name="Data   - Opmaakprofiel2 2" xfId="131"/>
    <cellStyle name="Data   - Opmaakprofiel2 2 10" xfId="757"/>
    <cellStyle name="Data   - Opmaakprofiel2 2 10 10" xfId="4170"/>
    <cellStyle name="Data   - Opmaakprofiel2 2 10 10 2" xfId="7797"/>
    <cellStyle name="Data   - Opmaakprofiel2 2 10 10 2 2" xfId="20095"/>
    <cellStyle name="Data   - Opmaakprofiel2 2 10 10 2 3" xfId="32147"/>
    <cellStyle name="Data   - Opmaakprofiel2 2 10 10 2 4" xfId="31484"/>
    <cellStyle name="Data   - Opmaakprofiel2 2 10 10 2 5" xfId="52762"/>
    <cellStyle name="Data   - Opmaakprofiel2 2 10 10 3" xfId="12542"/>
    <cellStyle name="Data   - Opmaakprofiel2 2 10 10 4" xfId="15548"/>
    <cellStyle name="Data   - Opmaakprofiel2 2 10 10 5" xfId="41054"/>
    <cellStyle name="Data   - Opmaakprofiel2 2 10 10 6" xfId="37232"/>
    <cellStyle name="Data   - Opmaakprofiel2 2 10 11" xfId="4171"/>
    <cellStyle name="Data   - Opmaakprofiel2 2 10 11 2" xfId="7798"/>
    <cellStyle name="Data   - Opmaakprofiel2 2 10 11 2 2" xfId="20096"/>
    <cellStyle name="Data   - Opmaakprofiel2 2 10 11 2 3" xfId="32148"/>
    <cellStyle name="Data   - Opmaakprofiel2 2 10 11 2 4" xfId="43359"/>
    <cellStyle name="Data   - Opmaakprofiel2 2 10 11 2 5" xfId="52763"/>
    <cellStyle name="Data   - Opmaakprofiel2 2 10 11 3" xfId="12543"/>
    <cellStyle name="Data   - Opmaakprofiel2 2 10 11 4" xfId="15547"/>
    <cellStyle name="Data   - Opmaakprofiel2 2 10 11 5" xfId="46456"/>
    <cellStyle name="Data   - Opmaakprofiel2 2 10 11 6" xfId="37236"/>
    <cellStyle name="Data   - Opmaakprofiel2 2 10 12" xfId="4172"/>
    <cellStyle name="Data   - Opmaakprofiel2 2 10 12 2" xfId="12544"/>
    <cellStyle name="Data   - Opmaakprofiel2 2 10 12 3" xfId="15546"/>
    <cellStyle name="Data   - Opmaakprofiel2 2 10 12 4" xfId="41053"/>
    <cellStyle name="Data   - Opmaakprofiel2 2 10 12 5" xfId="43828"/>
    <cellStyle name="Data   - Opmaakprofiel2 2 10 13" xfId="7476"/>
    <cellStyle name="Data   - Opmaakprofiel2 2 10 13 2" xfId="19774"/>
    <cellStyle name="Data   - Opmaakprofiel2 2 10 13 3" xfId="41577"/>
    <cellStyle name="Data   - Opmaakprofiel2 2 10 13 4" xfId="43493"/>
    <cellStyle name="Data   - Opmaakprofiel2 2 10 13 5" xfId="52446"/>
    <cellStyle name="Data   - Opmaakprofiel2 2 10 14" xfId="12541"/>
    <cellStyle name="Data   - Opmaakprofiel2 2 10 2" xfId="923"/>
    <cellStyle name="Data   - Opmaakprofiel2 2 10 2 2" xfId="2149"/>
    <cellStyle name="Data   - Opmaakprofiel2 2 10 2 2 2" xfId="7799"/>
    <cellStyle name="Data   - Opmaakprofiel2 2 10 2 2 2 2" xfId="20097"/>
    <cellStyle name="Data   - Opmaakprofiel2 2 10 2 2 2 3" xfId="32149"/>
    <cellStyle name="Data   - Opmaakprofiel2 2 10 2 2 2 4" xfId="25297"/>
    <cellStyle name="Data   - Opmaakprofiel2 2 10 2 2 2 5" xfId="52764"/>
    <cellStyle name="Data   - Opmaakprofiel2 2 10 2 2 3" xfId="12546"/>
    <cellStyle name="Data   - Opmaakprofiel2 2 10 2 2 4" xfId="15544"/>
    <cellStyle name="Data   - Opmaakprofiel2 2 10 2 2 5" xfId="41051"/>
    <cellStyle name="Data   - Opmaakprofiel2 2 10 2 2 6" xfId="43834"/>
    <cellStyle name="Data   - Opmaakprofiel2 2 10 2 3" xfId="2934"/>
    <cellStyle name="Data   - Opmaakprofiel2 2 10 2 3 2" xfId="7800"/>
    <cellStyle name="Data   - Opmaakprofiel2 2 10 2 3 2 2" xfId="20098"/>
    <cellStyle name="Data   - Opmaakprofiel2 2 10 2 3 2 3" xfId="32150"/>
    <cellStyle name="Data   - Opmaakprofiel2 2 10 2 3 2 4" xfId="43358"/>
    <cellStyle name="Data   - Opmaakprofiel2 2 10 2 3 2 5" xfId="52765"/>
    <cellStyle name="Data   - Opmaakprofiel2 2 10 2 3 3" xfId="12547"/>
    <cellStyle name="Data   - Opmaakprofiel2 2 10 2 3 4" xfId="15543"/>
    <cellStyle name="Data   - Opmaakprofiel2 2 10 2 3 5" xfId="46455"/>
    <cellStyle name="Data   - Opmaakprofiel2 2 10 2 3 6" xfId="43836"/>
    <cellStyle name="Data   - Opmaakprofiel2 2 10 2 4" xfId="3785"/>
    <cellStyle name="Data   - Opmaakprofiel2 2 10 2 4 2" xfId="7801"/>
    <cellStyle name="Data   - Opmaakprofiel2 2 10 2 4 2 2" xfId="20099"/>
    <cellStyle name="Data   - Opmaakprofiel2 2 10 2 4 2 3" xfId="32151"/>
    <cellStyle name="Data   - Opmaakprofiel2 2 10 2 4 2 4" xfId="31647"/>
    <cellStyle name="Data   - Opmaakprofiel2 2 10 2 4 2 5" xfId="52766"/>
    <cellStyle name="Data   - Opmaakprofiel2 2 10 2 4 3" xfId="12548"/>
    <cellStyle name="Data   - Opmaakprofiel2 2 10 2 4 4" xfId="15542"/>
    <cellStyle name="Data   - Opmaakprofiel2 2 10 2 4 5" xfId="41050"/>
    <cellStyle name="Data   - Opmaakprofiel2 2 10 2 4 6" xfId="37257"/>
    <cellStyle name="Data   - Opmaakprofiel2 2 10 2 5" xfId="4173"/>
    <cellStyle name="Data   - Opmaakprofiel2 2 10 2 5 2" xfId="7802"/>
    <cellStyle name="Data   - Opmaakprofiel2 2 10 2 5 2 2" xfId="20100"/>
    <cellStyle name="Data   - Opmaakprofiel2 2 10 2 5 2 3" xfId="32152"/>
    <cellStyle name="Data   - Opmaakprofiel2 2 10 2 5 2 4" xfId="43357"/>
    <cellStyle name="Data   - Opmaakprofiel2 2 10 2 5 2 5" xfId="52767"/>
    <cellStyle name="Data   - Opmaakprofiel2 2 10 2 5 3" xfId="12549"/>
    <cellStyle name="Data   - Opmaakprofiel2 2 10 2 5 4" xfId="15541"/>
    <cellStyle name="Data   - Opmaakprofiel2 2 10 2 5 5" xfId="46454"/>
    <cellStyle name="Data   - Opmaakprofiel2 2 10 2 5 6" xfId="43844"/>
    <cellStyle name="Data   - Opmaakprofiel2 2 10 2 6" xfId="4174"/>
    <cellStyle name="Data   - Opmaakprofiel2 2 10 2 6 2" xfId="7803"/>
    <cellStyle name="Data   - Opmaakprofiel2 2 10 2 6 2 2" xfId="20101"/>
    <cellStyle name="Data   - Opmaakprofiel2 2 10 2 6 2 3" xfId="32153"/>
    <cellStyle name="Data   - Opmaakprofiel2 2 10 2 6 2 4" xfId="25307"/>
    <cellStyle name="Data   - Opmaakprofiel2 2 10 2 6 2 5" xfId="52768"/>
    <cellStyle name="Data   - Opmaakprofiel2 2 10 2 6 3" xfId="12550"/>
    <cellStyle name="Data   - Opmaakprofiel2 2 10 2 6 4" xfId="15540"/>
    <cellStyle name="Data   - Opmaakprofiel2 2 10 2 6 5" xfId="41049"/>
    <cellStyle name="Data   - Opmaakprofiel2 2 10 2 6 6" xfId="37265"/>
    <cellStyle name="Data   - Opmaakprofiel2 2 10 2 7" xfId="4175"/>
    <cellStyle name="Data   - Opmaakprofiel2 2 10 2 7 2" xfId="12551"/>
    <cellStyle name="Data   - Opmaakprofiel2 2 10 2 7 3" xfId="15539"/>
    <cellStyle name="Data   - Opmaakprofiel2 2 10 2 7 4" xfId="46453"/>
    <cellStyle name="Data   - Opmaakprofiel2 2 10 2 7 5" xfId="43850"/>
    <cellStyle name="Data   - Opmaakprofiel2 2 10 2 8" xfId="7363"/>
    <cellStyle name="Data   - Opmaakprofiel2 2 10 2 8 2" xfId="19661"/>
    <cellStyle name="Data   - Opmaakprofiel2 2 10 2 8 3" xfId="41464"/>
    <cellStyle name="Data   - Opmaakprofiel2 2 10 2 8 4" xfId="12479"/>
    <cellStyle name="Data   - Opmaakprofiel2 2 10 2 8 5" xfId="52333"/>
    <cellStyle name="Data   - Opmaakprofiel2 2 10 2 9" xfId="12545"/>
    <cellStyle name="Data   - Opmaakprofiel2 2 10 3" xfId="1023"/>
    <cellStyle name="Data   - Opmaakprofiel2 2 10 3 2" xfId="1995"/>
    <cellStyle name="Data   - Opmaakprofiel2 2 10 3 2 2" xfId="7804"/>
    <cellStyle name="Data   - Opmaakprofiel2 2 10 3 2 2 2" xfId="20102"/>
    <cellStyle name="Data   - Opmaakprofiel2 2 10 3 2 2 3" xfId="32154"/>
    <cellStyle name="Data   - Opmaakprofiel2 2 10 3 2 2 4" xfId="31873"/>
    <cellStyle name="Data   - Opmaakprofiel2 2 10 3 2 2 5" xfId="52769"/>
    <cellStyle name="Data   - Opmaakprofiel2 2 10 3 2 3" xfId="12553"/>
    <cellStyle name="Data   - Opmaakprofiel2 2 10 3 2 4" xfId="15537"/>
    <cellStyle name="Data   - Opmaakprofiel2 2 10 3 2 5" xfId="46452"/>
    <cellStyle name="Data   - Opmaakprofiel2 2 10 3 2 6" xfId="37275"/>
    <cellStyle name="Data   - Opmaakprofiel2 2 10 3 3" xfId="3034"/>
    <cellStyle name="Data   - Opmaakprofiel2 2 10 3 3 2" xfId="7805"/>
    <cellStyle name="Data   - Opmaakprofiel2 2 10 3 3 2 2" xfId="20103"/>
    <cellStyle name="Data   - Opmaakprofiel2 2 10 3 3 2 3" xfId="32155"/>
    <cellStyle name="Data   - Opmaakprofiel2 2 10 3 3 2 4" xfId="25311"/>
    <cellStyle name="Data   - Opmaakprofiel2 2 10 3 3 2 5" xfId="52770"/>
    <cellStyle name="Data   - Opmaakprofiel2 2 10 3 3 3" xfId="12554"/>
    <cellStyle name="Data   - Opmaakprofiel2 2 10 3 3 4" xfId="15536"/>
    <cellStyle name="Data   - Opmaakprofiel2 2 10 3 3 5" xfId="41047"/>
    <cellStyle name="Data   - Opmaakprofiel2 2 10 3 3 6" xfId="43859"/>
    <cellStyle name="Data   - Opmaakprofiel2 2 10 3 4" xfId="3877"/>
    <cellStyle name="Data   - Opmaakprofiel2 2 10 3 4 2" xfId="7806"/>
    <cellStyle name="Data   - Opmaakprofiel2 2 10 3 4 2 2" xfId="20104"/>
    <cellStyle name="Data   - Opmaakprofiel2 2 10 3 4 2 3" xfId="32156"/>
    <cellStyle name="Data   - Opmaakprofiel2 2 10 3 4 2 4" xfId="43356"/>
    <cellStyle name="Data   - Opmaakprofiel2 2 10 3 4 2 5" xfId="52771"/>
    <cellStyle name="Data   - Opmaakprofiel2 2 10 3 4 3" xfId="12555"/>
    <cellStyle name="Data   - Opmaakprofiel2 2 10 3 4 4" xfId="15535"/>
    <cellStyle name="Data   - Opmaakprofiel2 2 10 3 4 5" xfId="46451"/>
    <cellStyle name="Data   - Opmaakprofiel2 2 10 3 4 6" xfId="37285"/>
    <cellStyle name="Data   - Opmaakprofiel2 2 10 3 5" xfId="4176"/>
    <cellStyle name="Data   - Opmaakprofiel2 2 10 3 5 2" xfId="7807"/>
    <cellStyle name="Data   - Opmaakprofiel2 2 10 3 5 2 2" xfId="20105"/>
    <cellStyle name="Data   - Opmaakprofiel2 2 10 3 5 2 3" xfId="32157"/>
    <cellStyle name="Data   - Opmaakprofiel2 2 10 3 5 2 4" xfId="31754"/>
    <cellStyle name="Data   - Opmaakprofiel2 2 10 3 5 2 5" xfId="52772"/>
    <cellStyle name="Data   - Opmaakprofiel2 2 10 3 5 3" xfId="12556"/>
    <cellStyle name="Data   - Opmaakprofiel2 2 10 3 5 4" xfId="15534"/>
    <cellStyle name="Data   - Opmaakprofiel2 2 10 3 5 5" xfId="41046"/>
    <cellStyle name="Data   - Opmaakprofiel2 2 10 3 5 6" xfId="43865"/>
    <cellStyle name="Data   - Opmaakprofiel2 2 10 3 6" xfId="4177"/>
    <cellStyle name="Data   - Opmaakprofiel2 2 10 3 6 2" xfId="7808"/>
    <cellStyle name="Data   - Opmaakprofiel2 2 10 3 6 2 2" xfId="20106"/>
    <cellStyle name="Data   - Opmaakprofiel2 2 10 3 6 2 3" xfId="32158"/>
    <cellStyle name="Data   - Opmaakprofiel2 2 10 3 6 2 4" xfId="43355"/>
    <cellStyle name="Data   - Opmaakprofiel2 2 10 3 6 2 5" xfId="52773"/>
    <cellStyle name="Data   - Opmaakprofiel2 2 10 3 6 3" xfId="12557"/>
    <cellStyle name="Data   - Opmaakprofiel2 2 10 3 6 4" xfId="15533"/>
    <cellStyle name="Data   - Opmaakprofiel2 2 10 3 6 5" xfId="41045"/>
    <cellStyle name="Data   - Opmaakprofiel2 2 10 3 6 6" xfId="37294"/>
    <cellStyle name="Data   - Opmaakprofiel2 2 10 3 7" xfId="4178"/>
    <cellStyle name="Data   - Opmaakprofiel2 2 10 3 7 2" xfId="12558"/>
    <cellStyle name="Data   - Opmaakprofiel2 2 10 3 7 3" xfId="15532"/>
    <cellStyle name="Data   - Opmaakprofiel2 2 10 3 7 4" xfId="41044"/>
    <cellStyle name="Data   - Opmaakprofiel2 2 10 3 7 5" xfId="43871"/>
    <cellStyle name="Data   - Opmaakprofiel2 2 10 3 8" xfId="7294"/>
    <cellStyle name="Data   - Opmaakprofiel2 2 10 3 8 2" xfId="19592"/>
    <cellStyle name="Data   - Opmaakprofiel2 2 10 3 8 3" xfId="41395"/>
    <cellStyle name="Data   - Opmaakprofiel2 2 10 3 8 4" xfId="43569"/>
    <cellStyle name="Data   - Opmaakprofiel2 2 10 3 8 5" xfId="52264"/>
    <cellStyle name="Data   - Opmaakprofiel2 2 10 3 9" xfId="12552"/>
    <cellStyle name="Data   - Opmaakprofiel2 2 10 4" xfId="1021"/>
    <cellStyle name="Data   - Opmaakprofiel2 2 10 4 2" xfId="2204"/>
    <cellStyle name="Data   - Opmaakprofiel2 2 10 4 2 2" xfId="7809"/>
    <cellStyle name="Data   - Opmaakprofiel2 2 10 4 2 2 2" xfId="20107"/>
    <cellStyle name="Data   - Opmaakprofiel2 2 10 4 2 2 3" xfId="32159"/>
    <cellStyle name="Data   - Opmaakprofiel2 2 10 4 2 2 4" xfId="25318"/>
    <cellStyle name="Data   - Opmaakprofiel2 2 10 4 2 2 5" xfId="52774"/>
    <cellStyle name="Data   - Opmaakprofiel2 2 10 4 2 3" xfId="12560"/>
    <cellStyle name="Data   - Opmaakprofiel2 2 10 4 2 4" xfId="15530"/>
    <cellStyle name="Data   - Opmaakprofiel2 2 10 4 2 5" xfId="41043"/>
    <cellStyle name="Data   - Opmaakprofiel2 2 10 4 2 6" xfId="43878"/>
    <cellStyle name="Data   - Opmaakprofiel2 2 10 4 3" xfId="3032"/>
    <cellStyle name="Data   - Opmaakprofiel2 2 10 4 3 2" xfId="7810"/>
    <cellStyle name="Data   - Opmaakprofiel2 2 10 4 3 2 2" xfId="20108"/>
    <cellStyle name="Data   - Opmaakprofiel2 2 10 4 3 2 3" xfId="32160"/>
    <cellStyle name="Data   - Opmaakprofiel2 2 10 4 3 2 4" xfId="43354"/>
    <cellStyle name="Data   - Opmaakprofiel2 2 10 4 3 2 5" xfId="52775"/>
    <cellStyle name="Data   - Opmaakprofiel2 2 10 4 3 3" xfId="12561"/>
    <cellStyle name="Data   - Opmaakprofiel2 2 10 4 3 4" xfId="15529"/>
    <cellStyle name="Data   - Opmaakprofiel2 2 10 4 3 5" xfId="46449"/>
    <cellStyle name="Data   - Opmaakprofiel2 2 10 4 3 6" xfId="37309"/>
    <cellStyle name="Data   - Opmaakprofiel2 2 10 4 4" xfId="3875"/>
    <cellStyle name="Data   - Opmaakprofiel2 2 10 4 4 2" xfId="7811"/>
    <cellStyle name="Data   - Opmaakprofiel2 2 10 4 4 2 2" xfId="20109"/>
    <cellStyle name="Data   - Opmaakprofiel2 2 10 4 4 2 3" xfId="32161"/>
    <cellStyle name="Data   - Opmaakprofiel2 2 10 4 4 2 4" xfId="32000"/>
    <cellStyle name="Data   - Opmaakprofiel2 2 10 4 4 2 5" xfId="52776"/>
    <cellStyle name="Data   - Opmaakprofiel2 2 10 4 4 3" xfId="12562"/>
    <cellStyle name="Data   - Opmaakprofiel2 2 10 4 4 4" xfId="4163"/>
    <cellStyle name="Data   - Opmaakprofiel2 2 10 4 4 5" xfId="41042"/>
    <cellStyle name="Data   - Opmaakprofiel2 2 10 4 4 6" xfId="37313"/>
    <cellStyle name="Data   - Opmaakprofiel2 2 10 4 5" xfId="4179"/>
    <cellStyle name="Data   - Opmaakprofiel2 2 10 4 5 2" xfId="7812"/>
    <cellStyle name="Data   - Opmaakprofiel2 2 10 4 5 2 2" xfId="20110"/>
    <cellStyle name="Data   - Opmaakprofiel2 2 10 4 5 2 3" xfId="32162"/>
    <cellStyle name="Data   - Opmaakprofiel2 2 10 4 5 2 4" xfId="43353"/>
    <cellStyle name="Data   - Opmaakprofiel2 2 10 4 5 2 5" xfId="52777"/>
    <cellStyle name="Data   - Opmaakprofiel2 2 10 4 5 3" xfId="12563"/>
    <cellStyle name="Data   - Opmaakprofiel2 2 10 4 5 4" xfId="15528"/>
    <cellStyle name="Data   - Opmaakprofiel2 2 10 4 5 5" xfId="46448"/>
    <cellStyle name="Data   - Opmaakprofiel2 2 10 4 5 6" xfId="37317"/>
    <cellStyle name="Data   - Opmaakprofiel2 2 10 4 6" xfId="4180"/>
    <cellStyle name="Data   - Opmaakprofiel2 2 10 4 6 2" xfId="7813"/>
    <cellStyle name="Data   - Opmaakprofiel2 2 10 4 6 2 2" xfId="20111"/>
    <cellStyle name="Data   - Opmaakprofiel2 2 10 4 6 2 3" xfId="32163"/>
    <cellStyle name="Data   - Opmaakprofiel2 2 10 4 6 2 4" xfId="25325"/>
    <cellStyle name="Data   - Opmaakprofiel2 2 10 4 6 2 5" xfId="52778"/>
    <cellStyle name="Data   - Opmaakprofiel2 2 10 4 6 3" xfId="12564"/>
    <cellStyle name="Data   - Opmaakprofiel2 2 10 4 6 4" xfId="15527"/>
    <cellStyle name="Data   - Opmaakprofiel2 2 10 4 6 5" xfId="41041"/>
    <cellStyle name="Data   - Opmaakprofiel2 2 10 4 6 6" xfId="43892"/>
    <cellStyle name="Data   - Opmaakprofiel2 2 10 4 7" xfId="4181"/>
    <cellStyle name="Data   - Opmaakprofiel2 2 10 4 7 2" xfId="12565"/>
    <cellStyle name="Data   - Opmaakprofiel2 2 10 4 7 3" xfId="15526"/>
    <cellStyle name="Data   - Opmaakprofiel2 2 10 4 7 4" xfId="46447"/>
    <cellStyle name="Data   - Opmaakprofiel2 2 10 4 7 5" xfId="37325"/>
    <cellStyle name="Data   - Opmaakprofiel2 2 10 4 8" xfId="9986"/>
    <cellStyle name="Data   - Opmaakprofiel2 2 10 4 8 2" xfId="22284"/>
    <cellStyle name="Data   - Opmaakprofiel2 2 10 4 8 3" xfId="44049"/>
    <cellStyle name="Data   - Opmaakprofiel2 2 10 4 8 4" xfId="42463"/>
    <cellStyle name="Data   - Opmaakprofiel2 2 10 4 8 5" xfId="54951"/>
    <cellStyle name="Data   - Opmaakprofiel2 2 10 4 9" xfId="12559"/>
    <cellStyle name="Data   - Opmaakprofiel2 2 10 5" xfId="1194"/>
    <cellStyle name="Data   - Opmaakprofiel2 2 10 5 2" xfId="2378"/>
    <cellStyle name="Data   - Opmaakprofiel2 2 10 5 2 2" xfId="7814"/>
    <cellStyle name="Data   - Opmaakprofiel2 2 10 5 2 2 2" xfId="20112"/>
    <cellStyle name="Data   - Opmaakprofiel2 2 10 5 2 2 3" xfId="32164"/>
    <cellStyle name="Data   - Opmaakprofiel2 2 10 5 2 2 4" xfId="43352"/>
    <cellStyle name="Data   - Opmaakprofiel2 2 10 5 2 2 5" xfId="52779"/>
    <cellStyle name="Data   - Opmaakprofiel2 2 10 5 2 3" xfId="12567"/>
    <cellStyle name="Data   - Opmaakprofiel2 2 10 5 2 4" xfId="15524"/>
    <cellStyle name="Data   - Opmaakprofiel2 2 10 5 2 5" xfId="46446"/>
    <cellStyle name="Data   - Opmaakprofiel2 2 10 5 2 6" xfId="37333"/>
    <cellStyle name="Data   - Opmaakprofiel2 2 10 5 3" xfId="3205"/>
    <cellStyle name="Data   - Opmaakprofiel2 2 10 5 3 2" xfId="7815"/>
    <cellStyle name="Data   - Opmaakprofiel2 2 10 5 3 2 2" xfId="20113"/>
    <cellStyle name="Data   - Opmaakprofiel2 2 10 5 3 2 3" xfId="32165"/>
    <cellStyle name="Data   - Opmaakprofiel2 2 10 5 3 2 4" xfId="31642"/>
    <cellStyle name="Data   - Opmaakprofiel2 2 10 5 3 2 5" xfId="52780"/>
    <cellStyle name="Data   - Opmaakprofiel2 2 10 5 3 3" xfId="12568"/>
    <cellStyle name="Data   - Opmaakprofiel2 2 10 5 3 4" xfId="15523"/>
    <cellStyle name="Data   - Opmaakprofiel2 2 10 5 3 5" xfId="41039"/>
    <cellStyle name="Data   - Opmaakprofiel2 2 10 5 3 6" xfId="43905"/>
    <cellStyle name="Data   - Opmaakprofiel2 2 10 5 4" xfId="4023"/>
    <cellStyle name="Data   - Opmaakprofiel2 2 10 5 4 2" xfId="7816"/>
    <cellStyle name="Data   - Opmaakprofiel2 2 10 5 4 2 2" xfId="20114"/>
    <cellStyle name="Data   - Opmaakprofiel2 2 10 5 4 2 3" xfId="32166"/>
    <cellStyle name="Data   - Opmaakprofiel2 2 10 5 4 2 4" xfId="25332"/>
    <cellStyle name="Data   - Opmaakprofiel2 2 10 5 4 2 5" xfId="52781"/>
    <cellStyle name="Data   - Opmaakprofiel2 2 10 5 4 3" xfId="12569"/>
    <cellStyle name="Data   - Opmaakprofiel2 2 10 5 4 4" xfId="15522"/>
    <cellStyle name="Data   - Opmaakprofiel2 2 10 5 4 5" xfId="41038"/>
    <cellStyle name="Data   - Opmaakprofiel2 2 10 5 4 6" xfId="37342"/>
    <cellStyle name="Data   - Opmaakprofiel2 2 10 5 5" xfId="4182"/>
    <cellStyle name="Data   - Opmaakprofiel2 2 10 5 5 2" xfId="7817"/>
    <cellStyle name="Data   - Opmaakprofiel2 2 10 5 5 2 2" xfId="20115"/>
    <cellStyle name="Data   - Opmaakprofiel2 2 10 5 5 2 3" xfId="32167"/>
    <cellStyle name="Data   - Opmaakprofiel2 2 10 5 5 2 4" xfId="31767"/>
    <cellStyle name="Data   - Opmaakprofiel2 2 10 5 5 2 5" xfId="52782"/>
    <cellStyle name="Data   - Opmaakprofiel2 2 10 5 5 3" xfId="12570"/>
    <cellStyle name="Data   - Opmaakprofiel2 2 10 5 5 4" xfId="15521"/>
    <cellStyle name="Data   - Opmaakprofiel2 2 10 5 5 5" xfId="41037"/>
    <cellStyle name="Data   - Opmaakprofiel2 2 10 5 5 6" xfId="43912"/>
    <cellStyle name="Data   - Opmaakprofiel2 2 10 5 6" xfId="4183"/>
    <cellStyle name="Data   - Opmaakprofiel2 2 10 5 6 2" xfId="7818"/>
    <cellStyle name="Data   - Opmaakprofiel2 2 10 5 6 2 2" xfId="20116"/>
    <cellStyle name="Data   - Opmaakprofiel2 2 10 5 6 2 3" xfId="32168"/>
    <cellStyle name="Data   - Opmaakprofiel2 2 10 5 6 2 4" xfId="43351"/>
    <cellStyle name="Data   - Opmaakprofiel2 2 10 5 6 2 5" xfId="52783"/>
    <cellStyle name="Data   - Opmaakprofiel2 2 10 5 6 3" xfId="12571"/>
    <cellStyle name="Data   - Opmaakprofiel2 2 10 5 6 4" xfId="15520"/>
    <cellStyle name="Data   - Opmaakprofiel2 2 10 5 6 5" xfId="46445"/>
    <cellStyle name="Data   - Opmaakprofiel2 2 10 5 6 6" xfId="37350"/>
    <cellStyle name="Data   - Opmaakprofiel2 2 10 5 7" xfId="4184"/>
    <cellStyle name="Data   - Opmaakprofiel2 2 10 5 7 2" xfId="12572"/>
    <cellStyle name="Data   - Opmaakprofiel2 2 10 5 7 3" xfId="15519"/>
    <cellStyle name="Data   - Opmaakprofiel2 2 10 5 7 4" xfId="41036"/>
    <cellStyle name="Data   - Opmaakprofiel2 2 10 5 7 5" xfId="43919"/>
    <cellStyle name="Data   - Opmaakprofiel2 2 10 5 8" xfId="7178"/>
    <cellStyle name="Data   - Opmaakprofiel2 2 10 5 8 2" xfId="19476"/>
    <cellStyle name="Data   - Opmaakprofiel2 2 10 5 8 3" xfId="41279"/>
    <cellStyle name="Data   - Opmaakprofiel2 2 10 5 8 4" xfId="43617"/>
    <cellStyle name="Data   - Opmaakprofiel2 2 10 5 8 5" xfId="52148"/>
    <cellStyle name="Data   - Opmaakprofiel2 2 10 5 9" xfId="12566"/>
    <cellStyle name="Data   - Opmaakprofiel2 2 10 6" xfId="1271"/>
    <cellStyle name="Data   - Opmaakprofiel2 2 10 6 2" xfId="1605"/>
    <cellStyle name="Data   - Opmaakprofiel2 2 10 6 2 2" xfId="7819"/>
    <cellStyle name="Data   - Opmaakprofiel2 2 10 6 2 2 2" xfId="20117"/>
    <cellStyle name="Data   - Opmaakprofiel2 2 10 6 2 2 3" xfId="32169"/>
    <cellStyle name="Data   - Opmaakprofiel2 2 10 6 2 2 4" xfId="25339"/>
    <cellStyle name="Data   - Opmaakprofiel2 2 10 6 2 2 5" xfId="52784"/>
    <cellStyle name="Data   - Opmaakprofiel2 2 10 6 2 3" xfId="12574"/>
    <cellStyle name="Data   - Opmaakprofiel2 2 10 6 2 4" xfId="15517"/>
    <cellStyle name="Data   - Opmaakprofiel2 2 10 6 2 5" xfId="41035"/>
    <cellStyle name="Data   - Opmaakprofiel2 2 10 6 2 6" xfId="37363"/>
    <cellStyle name="Data   - Opmaakprofiel2 2 10 6 3" xfId="3282"/>
    <cellStyle name="Data   - Opmaakprofiel2 2 10 6 3 2" xfId="7820"/>
    <cellStyle name="Data   - Opmaakprofiel2 2 10 6 3 2 2" xfId="20118"/>
    <cellStyle name="Data   - Opmaakprofiel2 2 10 6 3 2 3" xfId="32170"/>
    <cellStyle name="Data   - Opmaakprofiel2 2 10 6 3 2 4" xfId="43350"/>
    <cellStyle name="Data   - Opmaakprofiel2 2 10 6 3 2 5" xfId="52785"/>
    <cellStyle name="Data   - Opmaakprofiel2 2 10 6 3 3" xfId="12575"/>
    <cellStyle name="Data   - Opmaakprofiel2 2 10 6 3 4" xfId="15516"/>
    <cellStyle name="Data   - Opmaakprofiel2 2 10 6 3 5" xfId="46443"/>
    <cellStyle name="Data   - Opmaakprofiel2 2 10 6 3 6" xfId="43931"/>
    <cellStyle name="Data   - Opmaakprofiel2 2 10 6 4" xfId="4083"/>
    <cellStyle name="Data   - Opmaakprofiel2 2 10 6 4 2" xfId="7821"/>
    <cellStyle name="Data   - Opmaakprofiel2 2 10 6 4 2 2" xfId="20119"/>
    <cellStyle name="Data   - Opmaakprofiel2 2 10 6 4 2 3" xfId="32171"/>
    <cellStyle name="Data   - Opmaakprofiel2 2 10 6 4 2 4" xfId="34732"/>
    <cellStyle name="Data   - Opmaakprofiel2 2 10 6 4 2 5" xfId="52786"/>
    <cellStyle name="Data   - Opmaakprofiel2 2 10 6 4 3" xfId="12576"/>
    <cellStyle name="Data   - Opmaakprofiel2 2 10 6 4 4" xfId="12478"/>
    <cellStyle name="Data   - Opmaakprofiel2 2 10 6 4 5" xfId="41034"/>
    <cellStyle name="Data   - Opmaakprofiel2 2 10 6 4 6" xfId="37371"/>
    <cellStyle name="Data   - Opmaakprofiel2 2 10 6 5" xfId="4185"/>
    <cellStyle name="Data   - Opmaakprofiel2 2 10 6 5 2" xfId="7822"/>
    <cellStyle name="Data   - Opmaakprofiel2 2 10 6 5 2 2" xfId="20120"/>
    <cellStyle name="Data   - Opmaakprofiel2 2 10 6 5 2 3" xfId="32172"/>
    <cellStyle name="Data   - Opmaakprofiel2 2 10 6 5 2 4" xfId="43349"/>
    <cellStyle name="Data   - Opmaakprofiel2 2 10 6 5 2 5" xfId="52787"/>
    <cellStyle name="Data   - Opmaakprofiel2 2 10 6 5 3" xfId="12577"/>
    <cellStyle name="Data   - Opmaakprofiel2 2 10 6 5 4" xfId="4164"/>
    <cellStyle name="Data   - Opmaakprofiel2 2 10 6 5 5" xfId="46442"/>
    <cellStyle name="Data   - Opmaakprofiel2 2 10 6 5 6" xfId="37378"/>
    <cellStyle name="Data   - Opmaakprofiel2 2 10 6 6" xfId="4186"/>
    <cellStyle name="Data   - Opmaakprofiel2 2 10 6 6 2" xfId="7823"/>
    <cellStyle name="Data   - Opmaakprofiel2 2 10 6 6 2 2" xfId="20121"/>
    <cellStyle name="Data   - Opmaakprofiel2 2 10 6 6 2 3" xfId="32173"/>
    <cellStyle name="Data   - Opmaakprofiel2 2 10 6 6 2 4" xfId="25349"/>
    <cellStyle name="Data   - Opmaakprofiel2 2 10 6 6 2 5" xfId="52788"/>
    <cellStyle name="Data   - Opmaakprofiel2 2 10 6 6 3" xfId="12578"/>
    <cellStyle name="Data   - Opmaakprofiel2 2 10 6 6 4" xfId="15515"/>
    <cellStyle name="Data   - Opmaakprofiel2 2 10 6 6 5" xfId="41033"/>
    <cellStyle name="Data   - Opmaakprofiel2 2 10 6 6 6" xfId="37385"/>
    <cellStyle name="Data   - Opmaakprofiel2 2 10 6 7" xfId="4187"/>
    <cellStyle name="Data   - Opmaakprofiel2 2 10 6 7 2" xfId="12579"/>
    <cellStyle name="Data   - Opmaakprofiel2 2 10 6 7 3" xfId="15514"/>
    <cellStyle name="Data   - Opmaakprofiel2 2 10 6 7 4" xfId="46441"/>
    <cellStyle name="Data   - Opmaakprofiel2 2 10 6 7 5" xfId="37389"/>
    <cellStyle name="Data   - Opmaakprofiel2 2 10 6 8" xfId="7105"/>
    <cellStyle name="Data   - Opmaakprofiel2 2 10 6 8 2" xfId="19403"/>
    <cellStyle name="Data   - Opmaakprofiel2 2 10 6 8 3" xfId="41206"/>
    <cellStyle name="Data   - Opmaakprofiel2 2 10 6 8 4" xfId="36973"/>
    <cellStyle name="Data   - Opmaakprofiel2 2 10 6 8 5" xfId="52076"/>
    <cellStyle name="Data   - Opmaakprofiel2 2 10 6 9" xfId="12573"/>
    <cellStyle name="Data   - Opmaakprofiel2 2 10 7" xfId="1838"/>
    <cellStyle name="Data   - Opmaakprofiel2 2 10 7 2" xfId="7824"/>
    <cellStyle name="Data   - Opmaakprofiel2 2 10 7 2 2" xfId="20122"/>
    <cellStyle name="Data   - Opmaakprofiel2 2 10 7 2 3" xfId="32174"/>
    <cellStyle name="Data   - Opmaakprofiel2 2 10 7 2 4" xfId="43348"/>
    <cellStyle name="Data   - Opmaakprofiel2 2 10 7 2 5" xfId="52789"/>
    <cellStyle name="Data   - Opmaakprofiel2 2 10 7 3" xfId="12580"/>
    <cellStyle name="Data   - Opmaakprofiel2 2 10 7 4" xfId="15513"/>
    <cellStyle name="Data   - Opmaakprofiel2 2 10 7 5" xfId="41032"/>
    <cellStyle name="Data   - Opmaakprofiel2 2 10 7 6" xfId="37399"/>
    <cellStyle name="Data   - Opmaakprofiel2 2 10 8" xfId="2797"/>
    <cellStyle name="Data   - Opmaakprofiel2 2 10 8 2" xfId="7825"/>
    <cellStyle name="Data   - Opmaakprofiel2 2 10 8 2 2" xfId="20123"/>
    <cellStyle name="Data   - Opmaakprofiel2 2 10 8 2 3" xfId="32175"/>
    <cellStyle name="Data   - Opmaakprofiel2 2 10 8 2 4" xfId="34682"/>
    <cellStyle name="Data   - Opmaakprofiel2 2 10 8 2 5" xfId="52790"/>
    <cellStyle name="Data   - Opmaakprofiel2 2 10 8 3" xfId="12581"/>
    <cellStyle name="Data   - Opmaakprofiel2 2 10 8 4" xfId="15512"/>
    <cellStyle name="Data   - Opmaakprofiel2 2 10 8 5" xfId="41031"/>
    <cellStyle name="Data   - Opmaakprofiel2 2 10 8 6" xfId="37406"/>
    <cellStyle name="Data   - Opmaakprofiel2 2 10 9" xfId="3659"/>
    <cellStyle name="Data   - Opmaakprofiel2 2 10 9 2" xfId="7826"/>
    <cellStyle name="Data   - Opmaakprofiel2 2 10 9 2 2" xfId="20124"/>
    <cellStyle name="Data   - Opmaakprofiel2 2 10 9 2 3" xfId="32176"/>
    <cellStyle name="Data   - Opmaakprofiel2 2 10 9 2 4" xfId="43347"/>
    <cellStyle name="Data   - Opmaakprofiel2 2 10 9 2 5" xfId="52791"/>
    <cellStyle name="Data   - Opmaakprofiel2 2 10 9 3" xfId="12582"/>
    <cellStyle name="Data   - Opmaakprofiel2 2 10 9 4" xfId="15511"/>
    <cellStyle name="Data   - Opmaakprofiel2 2 10 9 5" xfId="41030"/>
    <cellStyle name="Data   - Opmaakprofiel2 2 10 9 6" xfId="37413"/>
    <cellStyle name="Data   - Opmaakprofiel2 2 11" xfId="741"/>
    <cellStyle name="Data   - Opmaakprofiel2 2 11 10" xfId="4188"/>
    <cellStyle name="Data   - Opmaakprofiel2 2 11 10 2" xfId="7827"/>
    <cellStyle name="Data   - Opmaakprofiel2 2 11 10 2 2" xfId="20125"/>
    <cellStyle name="Data   - Opmaakprofiel2 2 11 10 2 3" xfId="32177"/>
    <cellStyle name="Data   - Opmaakprofiel2 2 11 10 2 4" xfId="25356"/>
    <cellStyle name="Data   - Opmaakprofiel2 2 11 10 2 5" xfId="52792"/>
    <cellStyle name="Data   - Opmaakprofiel2 2 11 10 3" xfId="12584"/>
    <cellStyle name="Data   - Opmaakprofiel2 2 11 10 4" xfId="15509"/>
    <cellStyle name="Data   - Opmaakprofiel2 2 11 10 5" xfId="41029"/>
    <cellStyle name="Data   - Opmaakprofiel2 2 11 10 6" xfId="31338"/>
    <cellStyle name="Data   - Opmaakprofiel2 2 11 11" xfId="4189"/>
    <cellStyle name="Data   - Opmaakprofiel2 2 11 11 2" xfId="7828"/>
    <cellStyle name="Data   - Opmaakprofiel2 2 11 11 2 2" xfId="20126"/>
    <cellStyle name="Data   - Opmaakprofiel2 2 11 11 2 3" xfId="32178"/>
    <cellStyle name="Data   - Opmaakprofiel2 2 11 11 2 4" xfId="31985"/>
    <cellStyle name="Data   - Opmaakprofiel2 2 11 11 2 5" xfId="52793"/>
    <cellStyle name="Data   - Opmaakprofiel2 2 11 11 3" xfId="12585"/>
    <cellStyle name="Data   - Opmaakprofiel2 2 11 11 4" xfId="15508"/>
    <cellStyle name="Data   - Opmaakprofiel2 2 11 11 5" xfId="46439"/>
    <cellStyle name="Data   - Opmaakprofiel2 2 11 11 6" xfId="37427"/>
    <cellStyle name="Data   - Opmaakprofiel2 2 11 12" xfId="4190"/>
    <cellStyle name="Data   - Opmaakprofiel2 2 11 12 2" xfId="12586"/>
    <cellStyle name="Data   - Opmaakprofiel2 2 11 12 3" xfId="12477"/>
    <cellStyle name="Data   - Opmaakprofiel2 2 11 12 4" xfId="41028"/>
    <cellStyle name="Data   - Opmaakprofiel2 2 11 12 5" xfId="37437"/>
    <cellStyle name="Data   - Opmaakprofiel2 2 11 13" xfId="10173"/>
    <cellStyle name="Data   - Opmaakprofiel2 2 11 13 2" xfId="22471"/>
    <cellStyle name="Data   - Opmaakprofiel2 2 11 13 3" xfId="44235"/>
    <cellStyle name="Data   - Opmaakprofiel2 2 11 13 4" xfId="28756"/>
    <cellStyle name="Data   - Opmaakprofiel2 2 11 13 5" xfId="55138"/>
    <cellStyle name="Data   - Opmaakprofiel2 2 11 14" xfId="12583"/>
    <cellStyle name="Data   - Opmaakprofiel2 2 11 2" xfId="911"/>
    <cellStyle name="Data   - Opmaakprofiel2 2 11 2 2" xfId="1604"/>
    <cellStyle name="Data   - Opmaakprofiel2 2 11 2 2 2" xfId="7829"/>
    <cellStyle name="Data   - Opmaakprofiel2 2 11 2 2 2 2" xfId="20127"/>
    <cellStyle name="Data   - Opmaakprofiel2 2 11 2 2 2 3" xfId="32179"/>
    <cellStyle name="Data   - Opmaakprofiel2 2 11 2 2 2 4" xfId="25363"/>
    <cellStyle name="Data   - Opmaakprofiel2 2 11 2 2 2 5" xfId="52794"/>
    <cellStyle name="Data   - Opmaakprofiel2 2 11 2 2 3" xfId="12588"/>
    <cellStyle name="Data   - Opmaakprofiel2 2 11 2 2 4" xfId="15506"/>
    <cellStyle name="Data   - Opmaakprofiel2 2 11 2 2 5" xfId="41027"/>
    <cellStyle name="Data   - Opmaakprofiel2 2 11 2 2 6" xfId="37449"/>
    <cellStyle name="Data   - Opmaakprofiel2 2 11 2 3" xfId="2922"/>
    <cellStyle name="Data   - Opmaakprofiel2 2 11 2 3 2" xfId="7830"/>
    <cellStyle name="Data   - Opmaakprofiel2 2 11 2 3 2 2" xfId="20128"/>
    <cellStyle name="Data   - Opmaakprofiel2 2 11 2 3 2 3" xfId="32180"/>
    <cellStyle name="Data   - Opmaakprofiel2 2 11 2 3 2 4" xfId="43346"/>
    <cellStyle name="Data   - Opmaakprofiel2 2 11 2 3 2 5" xfId="52795"/>
    <cellStyle name="Data   - Opmaakprofiel2 2 11 2 3 3" xfId="12589"/>
    <cellStyle name="Data   - Opmaakprofiel2 2 11 2 3 4" xfId="15505"/>
    <cellStyle name="Data   - Opmaakprofiel2 2 11 2 3 5" xfId="46437"/>
    <cellStyle name="Data   - Opmaakprofiel2 2 11 2 3 6" xfId="37456"/>
    <cellStyle name="Data   - Opmaakprofiel2 2 11 2 4" xfId="3774"/>
    <cellStyle name="Data   - Opmaakprofiel2 2 11 2 4 2" xfId="7831"/>
    <cellStyle name="Data   - Opmaakprofiel2 2 11 2 4 2 2" xfId="20129"/>
    <cellStyle name="Data   - Opmaakprofiel2 2 11 2 4 2 3" xfId="32181"/>
    <cellStyle name="Data   - Opmaakprofiel2 2 11 2 4 2 4" xfId="31978"/>
    <cellStyle name="Data   - Opmaakprofiel2 2 11 2 4 2 5" xfId="52796"/>
    <cellStyle name="Data   - Opmaakprofiel2 2 11 2 4 3" xfId="12590"/>
    <cellStyle name="Data   - Opmaakprofiel2 2 11 2 4 4" xfId="15504"/>
    <cellStyle name="Data   - Opmaakprofiel2 2 11 2 4 5" xfId="41026"/>
    <cellStyle name="Data   - Opmaakprofiel2 2 11 2 4 6" xfId="37461"/>
    <cellStyle name="Data   - Opmaakprofiel2 2 11 2 5" xfId="4191"/>
    <cellStyle name="Data   - Opmaakprofiel2 2 11 2 5 2" xfId="7832"/>
    <cellStyle name="Data   - Opmaakprofiel2 2 11 2 5 2 2" xfId="20130"/>
    <cellStyle name="Data   - Opmaakprofiel2 2 11 2 5 2 3" xfId="32182"/>
    <cellStyle name="Data   - Opmaakprofiel2 2 11 2 5 2 4" xfId="43345"/>
    <cellStyle name="Data   - Opmaakprofiel2 2 11 2 5 2 5" xfId="52797"/>
    <cellStyle name="Data   - Opmaakprofiel2 2 11 2 5 3" xfId="12591"/>
    <cellStyle name="Data   - Opmaakprofiel2 2 11 2 5 4" xfId="15503"/>
    <cellStyle name="Data   - Opmaakprofiel2 2 11 2 5 5" xfId="46436"/>
    <cellStyle name="Data   - Opmaakprofiel2 2 11 2 5 6" xfId="37465"/>
    <cellStyle name="Data   - Opmaakprofiel2 2 11 2 6" xfId="4192"/>
    <cellStyle name="Data   - Opmaakprofiel2 2 11 2 6 2" xfId="7833"/>
    <cellStyle name="Data   - Opmaakprofiel2 2 11 2 6 2 2" xfId="20131"/>
    <cellStyle name="Data   - Opmaakprofiel2 2 11 2 6 2 3" xfId="32183"/>
    <cellStyle name="Data   - Opmaakprofiel2 2 11 2 6 2 4" xfId="25370"/>
    <cellStyle name="Data   - Opmaakprofiel2 2 11 2 6 2 5" xfId="52798"/>
    <cellStyle name="Data   - Opmaakprofiel2 2 11 2 6 3" xfId="12592"/>
    <cellStyle name="Data   - Opmaakprofiel2 2 11 2 6 4" xfId="15502"/>
    <cellStyle name="Data   - Opmaakprofiel2 2 11 2 6 5" xfId="41025"/>
    <cellStyle name="Data   - Opmaakprofiel2 2 11 2 6 6" xfId="37475"/>
    <cellStyle name="Data   - Opmaakprofiel2 2 11 2 7" xfId="4193"/>
    <cellStyle name="Data   - Opmaakprofiel2 2 11 2 7 2" xfId="12593"/>
    <cellStyle name="Data   - Opmaakprofiel2 2 11 2 7 3" xfId="15501"/>
    <cellStyle name="Data   - Opmaakprofiel2 2 11 2 7 4" xfId="41024"/>
    <cellStyle name="Data   - Opmaakprofiel2 2 11 2 7 5" xfId="37482"/>
    <cellStyle name="Data   - Opmaakprofiel2 2 11 2 8" xfId="10058"/>
    <cellStyle name="Data   - Opmaakprofiel2 2 11 2 8 2" xfId="22356"/>
    <cellStyle name="Data   - Opmaakprofiel2 2 11 2 8 3" xfId="44120"/>
    <cellStyle name="Data   - Opmaakprofiel2 2 11 2 8 4" xfId="42433"/>
    <cellStyle name="Data   - Opmaakprofiel2 2 11 2 8 5" xfId="55023"/>
    <cellStyle name="Data   - Opmaakprofiel2 2 11 2 9" xfId="12587"/>
    <cellStyle name="Data   - Opmaakprofiel2 2 11 3" xfId="1008"/>
    <cellStyle name="Data   - Opmaakprofiel2 2 11 3 2" xfId="2414"/>
    <cellStyle name="Data   - Opmaakprofiel2 2 11 3 2 2" xfId="7834"/>
    <cellStyle name="Data   - Opmaakprofiel2 2 11 3 2 2 2" xfId="20132"/>
    <cellStyle name="Data   - Opmaakprofiel2 2 11 3 2 2 3" xfId="32184"/>
    <cellStyle name="Data   - Opmaakprofiel2 2 11 3 2 2 4" xfId="43344"/>
    <cellStyle name="Data   - Opmaakprofiel2 2 11 3 2 2 5" xfId="52799"/>
    <cellStyle name="Data   - Opmaakprofiel2 2 11 3 2 3" xfId="12595"/>
    <cellStyle name="Data   - Opmaakprofiel2 2 11 3 2 4" xfId="15499"/>
    <cellStyle name="Data   - Opmaakprofiel2 2 11 3 2 5" xfId="46435"/>
    <cellStyle name="Data   - Opmaakprofiel2 2 11 3 2 6" xfId="43935"/>
    <cellStyle name="Data   - Opmaakprofiel2 2 11 3 3" xfId="3019"/>
    <cellStyle name="Data   - Opmaakprofiel2 2 11 3 3 2" xfId="7835"/>
    <cellStyle name="Data   - Opmaakprofiel2 2 11 3 3 2 2" xfId="20133"/>
    <cellStyle name="Data   - Opmaakprofiel2 2 11 3 3 2 3" xfId="32185"/>
    <cellStyle name="Data   - Opmaakprofiel2 2 11 3 3 2 4" xfId="31691"/>
    <cellStyle name="Data   - Opmaakprofiel2 2 11 3 3 2 5" xfId="52800"/>
    <cellStyle name="Data   - Opmaakprofiel2 2 11 3 3 3" xfId="12596"/>
    <cellStyle name="Data   - Opmaakprofiel2 2 11 3 3 4" xfId="15498"/>
    <cellStyle name="Data   - Opmaakprofiel2 2 11 3 3 5" xfId="41022"/>
    <cellStyle name="Data   - Opmaakprofiel2 2 11 3 3 6" xfId="37496"/>
    <cellStyle name="Data   - Opmaakprofiel2 2 11 3 4" xfId="3865"/>
    <cellStyle name="Data   - Opmaakprofiel2 2 11 3 4 2" xfId="7836"/>
    <cellStyle name="Data   - Opmaakprofiel2 2 11 3 4 2 2" xfId="20134"/>
    <cellStyle name="Data   - Opmaakprofiel2 2 11 3 4 2 3" xfId="32186"/>
    <cellStyle name="Data   - Opmaakprofiel2 2 11 3 4 2 4" xfId="43343"/>
    <cellStyle name="Data   - Opmaakprofiel2 2 11 3 4 2 5" xfId="52801"/>
    <cellStyle name="Data   - Opmaakprofiel2 2 11 3 4 3" xfId="12597"/>
    <cellStyle name="Data   - Opmaakprofiel2 2 11 3 4 4" xfId="15497"/>
    <cellStyle name="Data   - Opmaakprofiel2 2 11 3 4 5" xfId="46434"/>
    <cellStyle name="Data   - Opmaakprofiel2 2 11 3 4 6" xfId="43940"/>
    <cellStyle name="Data   - Opmaakprofiel2 2 11 3 5" xfId="4194"/>
    <cellStyle name="Data   - Opmaakprofiel2 2 11 3 5 2" xfId="7837"/>
    <cellStyle name="Data   - Opmaakprofiel2 2 11 3 5 2 2" xfId="20135"/>
    <cellStyle name="Data   - Opmaakprofiel2 2 11 3 5 2 3" xfId="32187"/>
    <cellStyle name="Data   - Opmaakprofiel2 2 11 3 5 2 4" xfId="25377"/>
    <cellStyle name="Data   - Opmaakprofiel2 2 11 3 5 2 5" xfId="52802"/>
    <cellStyle name="Data   - Opmaakprofiel2 2 11 3 5 3" xfId="12598"/>
    <cellStyle name="Data   - Opmaakprofiel2 2 11 3 5 4" xfId="15496"/>
    <cellStyle name="Data   - Opmaakprofiel2 2 11 3 5 5" xfId="41021"/>
    <cellStyle name="Data   - Opmaakprofiel2 2 11 3 5 6" xfId="43946"/>
    <cellStyle name="Data   - Opmaakprofiel2 2 11 3 6" xfId="4195"/>
    <cellStyle name="Data   - Opmaakprofiel2 2 11 3 6 2" xfId="7838"/>
    <cellStyle name="Data   - Opmaakprofiel2 2 11 3 6 2 2" xfId="20136"/>
    <cellStyle name="Data   - Opmaakprofiel2 2 11 3 6 2 3" xfId="32188"/>
    <cellStyle name="Data   - Opmaakprofiel2 2 11 3 6 2 4" xfId="43342"/>
    <cellStyle name="Data   - Opmaakprofiel2 2 11 3 6 2 5" xfId="52803"/>
    <cellStyle name="Data   - Opmaakprofiel2 2 11 3 6 3" xfId="12599"/>
    <cellStyle name="Data   - Opmaakprofiel2 2 11 3 6 4" xfId="15495"/>
    <cellStyle name="Data   - Opmaakprofiel2 2 11 3 6 5" xfId="46433"/>
    <cellStyle name="Data   - Opmaakprofiel2 2 11 3 6 6" xfId="43949"/>
    <cellStyle name="Data   - Opmaakprofiel2 2 11 3 7" xfId="4196"/>
    <cellStyle name="Data   - Opmaakprofiel2 2 11 3 7 2" xfId="12600"/>
    <cellStyle name="Data   - Opmaakprofiel2 2 11 3 7 3" xfId="15494"/>
    <cellStyle name="Data   - Opmaakprofiel2 2 11 3 7 4" xfId="41020"/>
    <cellStyle name="Data   - Opmaakprofiel2 2 11 3 7 5" xfId="37516"/>
    <cellStyle name="Data   - Opmaakprofiel2 2 11 3 8" xfId="9993"/>
    <cellStyle name="Data   - Opmaakprofiel2 2 11 3 8 2" xfId="22291"/>
    <cellStyle name="Data   - Opmaakprofiel2 2 11 3 8 3" xfId="44056"/>
    <cellStyle name="Data   - Opmaakprofiel2 2 11 3 8 4" xfId="31879"/>
    <cellStyle name="Data   - Opmaakprofiel2 2 11 3 8 5" xfId="54958"/>
    <cellStyle name="Data   - Opmaakprofiel2 2 11 3 9" xfId="12594"/>
    <cellStyle name="Data   - Opmaakprofiel2 2 11 4" xfId="1003"/>
    <cellStyle name="Data   - Opmaakprofiel2 2 11 4 2" xfId="1792"/>
    <cellStyle name="Data   - Opmaakprofiel2 2 11 4 2 2" xfId="7839"/>
    <cellStyle name="Data   - Opmaakprofiel2 2 11 4 2 2 2" xfId="20137"/>
    <cellStyle name="Data   - Opmaakprofiel2 2 11 4 2 2 3" xfId="32189"/>
    <cellStyle name="Data   - Opmaakprofiel2 2 11 4 2 2 4" xfId="34684"/>
    <cellStyle name="Data   - Opmaakprofiel2 2 11 4 2 2 5" xfId="52804"/>
    <cellStyle name="Data   - Opmaakprofiel2 2 11 4 2 3" xfId="12602"/>
    <cellStyle name="Data   - Opmaakprofiel2 2 11 4 2 4" xfId="15492"/>
    <cellStyle name="Data   - Opmaakprofiel2 2 11 4 2 5" xfId="41019"/>
    <cellStyle name="Data   - Opmaakprofiel2 2 11 4 2 6" xfId="43960"/>
    <cellStyle name="Data   - Opmaakprofiel2 2 11 4 3" xfId="3014"/>
    <cellStyle name="Data   - Opmaakprofiel2 2 11 4 3 2" xfId="7840"/>
    <cellStyle name="Data   - Opmaakprofiel2 2 11 4 3 2 2" xfId="20138"/>
    <cellStyle name="Data   - Opmaakprofiel2 2 11 4 3 2 3" xfId="32190"/>
    <cellStyle name="Data   - Opmaakprofiel2 2 11 4 3 2 4" xfId="25384"/>
    <cellStyle name="Data   - Opmaakprofiel2 2 11 4 3 2 5" xfId="52805"/>
    <cellStyle name="Data   - Opmaakprofiel2 2 11 4 3 3" xfId="12603"/>
    <cellStyle name="Data   - Opmaakprofiel2 2 11 4 3 4" xfId="15491"/>
    <cellStyle name="Data   - Opmaakprofiel2 2 11 4 3 5" xfId="46431"/>
    <cellStyle name="Data   - Opmaakprofiel2 2 11 4 3 6" xfId="37528"/>
    <cellStyle name="Data   - Opmaakprofiel2 2 11 4 4" xfId="3860"/>
    <cellStyle name="Data   - Opmaakprofiel2 2 11 4 4 2" xfId="7841"/>
    <cellStyle name="Data   - Opmaakprofiel2 2 11 4 4 2 2" xfId="20139"/>
    <cellStyle name="Data   - Opmaakprofiel2 2 11 4 4 2 3" xfId="32191"/>
    <cellStyle name="Data   - Opmaakprofiel2 2 11 4 4 2 4" xfId="32096"/>
    <cellStyle name="Data   - Opmaakprofiel2 2 11 4 4 2 5" xfId="52806"/>
    <cellStyle name="Data   - Opmaakprofiel2 2 11 4 4 3" xfId="12604"/>
    <cellStyle name="Data   - Opmaakprofiel2 2 11 4 4 4" xfId="15490"/>
    <cellStyle name="Data   - Opmaakprofiel2 2 11 4 4 5" xfId="41018"/>
    <cellStyle name="Data   - Opmaakprofiel2 2 11 4 4 6" xfId="37533"/>
    <cellStyle name="Data   - Opmaakprofiel2 2 11 4 5" xfId="4197"/>
    <cellStyle name="Data   - Opmaakprofiel2 2 11 4 5 2" xfId="7842"/>
    <cellStyle name="Data   - Opmaakprofiel2 2 11 4 5 2 2" xfId="20140"/>
    <cellStyle name="Data   - Opmaakprofiel2 2 11 4 5 2 3" xfId="32192"/>
    <cellStyle name="Data   - Opmaakprofiel2 2 11 4 5 2 4" xfId="43341"/>
    <cellStyle name="Data   - Opmaakprofiel2 2 11 4 5 2 5" xfId="52807"/>
    <cellStyle name="Data   - Opmaakprofiel2 2 11 4 5 3" xfId="12605"/>
    <cellStyle name="Data   - Opmaakprofiel2 2 11 4 5 4" xfId="15489"/>
    <cellStyle name="Data   - Opmaakprofiel2 2 11 4 5 5" xfId="41017"/>
    <cellStyle name="Data   - Opmaakprofiel2 2 11 4 5 6" xfId="37539"/>
    <cellStyle name="Data   - Opmaakprofiel2 2 11 4 6" xfId="4198"/>
    <cellStyle name="Data   - Opmaakprofiel2 2 11 4 6 2" xfId="7843"/>
    <cellStyle name="Data   - Opmaakprofiel2 2 11 4 6 2 2" xfId="20141"/>
    <cellStyle name="Data   - Opmaakprofiel2 2 11 4 6 2 3" xfId="32193"/>
    <cellStyle name="Data   - Opmaakprofiel2 2 11 4 6 2 4" xfId="25391"/>
    <cellStyle name="Data   - Opmaakprofiel2 2 11 4 6 2 5" xfId="52808"/>
    <cellStyle name="Data   - Opmaakprofiel2 2 11 4 6 3" xfId="12606"/>
    <cellStyle name="Data   - Opmaakprofiel2 2 11 4 6 4" xfId="15488"/>
    <cellStyle name="Data   - Opmaakprofiel2 2 11 4 6 5" xfId="41016"/>
    <cellStyle name="Data   - Opmaakprofiel2 2 11 4 6 6" xfId="37544"/>
    <cellStyle name="Data   - Opmaakprofiel2 2 11 4 7" xfId="4199"/>
    <cellStyle name="Data   - Opmaakprofiel2 2 11 4 7 2" xfId="12607"/>
    <cellStyle name="Data   - Opmaakprofiel2 2 11 4 7 3" xfId="15487"/>
    <cellStyle name="Data   - Opmaakprofiel2 2 11 4 7 4" xfId="46430"/>
    <cellStyle name="Data   - Opmaakprofiel2 2 11 4 7 5" xfId="37549"/>
    <cellStyle name="Data   - Opmaakprofiel2 2 11 4 8" xfId="9998"/>
    <cellStyle name="Data   - Opmaakprofiel2 2 11 4 8 2" xfId="22296"/>
    <cellStyle name="Data   - Opmaakprofiel2 2 11 4 8 3" xfId="44061"/>
    <cellStyle name="Data   - Opmaakprofiel2 2 11 4 8 4" xfId="42458"/>
    <cellStyle name="Data   - Opmaakprofiel2 2 11 4 8 5" xfId="54963"/>
    <cellStyle name="Data   - Opmaakprofiel2 2 11 4 9" xfId="12601"/>
    <cellStyle name="Data   - Opmaakprofiel2 2 11 5" xfId="1180"/>
    <cellStyle name="Data   - Opmaakprofiel2 2 11 5 2" xfId="2045"/>
    <cellStyle name="Data   - Opmaakprofiel2 2 11 5 2 2" xfId="7844"/>
    <cellStyle name="Data   - Opmaakprofiel2 2 11 5 2 2 2" xfId="20142"/>
    <cellStyle name="Data   - Opmaakprofiel2 2 11 5 2 2 3" xfId="32194"/>
    <cellStyle name="Data   - Opmaakprofiel2 2 11 5 2 2 4" xfId="43340"/>
    <cellStyle name="Data   - Opmaakprofiel2 2 11 5 2 2 5" xfId="52809"/>
    <cellStyle name="Data   - Opmaakprofiel2 2 11 5 2 3" xfId="12609"/>
    <cellStyle name="Data   - Opmaakprofiel2 2 11 5 2 4" xfId="15485"/>
    <cellStyle name="Data   - Opmaakprofiel2 2 11 5 2 5" xfId="46429"/>
    <cellStyle name="Data   - Opmaakprofiel2 2 11 5 2 6" xfId="37560"/>
    <cellStyle name="Data   - Opmaakprofiel2 2 11 5 3" xfId="3191"/>
    <cellStyle name="Data   - Opmaakprofiel2 2 11 5 3 2" xfId="7845"/>
    <cellStyle name="Data   - Opmaakprofiel2 2 11 5 3 2 2" xfId="20143"/>
    <cellStyle name="Data   - Opmaakprofiel2 2 11 5 3 2 3" xfId="32195"/>
    <cellStyle name="Data   - Opmaakprofiel2 2 11 5 3 2 4" xfId="34601"/>
    <cellStyle name="Data   - Opmaakprofiel2 2 11 5 3 2 5" xfId="52810"/>
    <cellStyle name="Data   - Opmaakprofiel2 2 11 5 3 3" xfId="12610"/>
    <cellStyle name="Data   - Opmaakprofiel2 2 11 5 3 4" xfId="15484"/>
    <cellStyle name="Data   - Opmaakprofiel2 2 11 5 3 5" xfId="41014"/>
    <cellStyle name="Data   - Opmaakprofiel2 2 11 5 3 6" xfId="37565"/>
    <cellStyle name="Data   - Opmaakprofiel2 2 11 5 4" xfId="4010"/>
    <cellStyle name="Data   - Opmaakprofiel2 2 11 5 4 2" xfId="7846"/>
    <cellStyle name="Data   - Opmaakprofiel2 2 11 5 4 2 2" xfId="20144"/>
    <cellStyle name="Data   - Opmaakprofiel2 2 11 5 4 2 3" xfId="32196"/>
    <cellStyle name="Data   - Opmaakprofiel2 2 11 5 4 2 4" xfId="43339"/>
    <cellStyle name="Data   - Opmaakprofiel2 2 11 5 4 2 5" xfId="52811"/>
    <cellStyle name="Data   - Opmaakprofiel2 2 11 5 4 3" xfId="12611"/>
    <cellStyle name="Data   - Opmaakprofiel2 2 11 5 4 4" xfId="15483"/>
    <cellStyle name="Data   - Opmaakprofiel2 2 11 5 4 5" xfId="46428"/>
    <cellStyle name="Data   - Opmaakprofiel2 2 11 5 4 6" xfId="37570"/>
    <cellStyle name="Data   - Opmaakprofiel2 2 11 5 5" xfId="4200"/>
    <cellStyle name="Data   - Opmaakprofiel2 2 11 5 5 2" xfId="7847"/>
    <cellStyle name="Data   - Opmaakprofiel2 2 11 5 5 2 2" xfId="20145"/>
    <cellStyle name="Data   - Opmaakprofiel2 2 11 5 5 2 3" xfId="32197"/>
    <cellStyle name="Data   - Opmaakprofiel2 2 11 5 5 2 4" xfId="25398"/>
    <cellStyle name="Data   - Opmaakprofiel2 2 11 5 5 2 5" xfId="52812"/>
    <cellStyle name="Data   - Opmaakprofiel2 2 11 5 5 3" xfId="12612"/>
    <cellStyle name="Data   - Opmaakprofiel2 2 11 5 5 4" xfId="15482"/>
    <cellStyle name="Data   - Opmaakprofiel2 2 11 5 5 5" xfId="41013"/>
    <cellStyle name="Data   - Opmaakprofiel2 2 11 5 5 6" xfId="37575"/>
    <cellStyle name="Data   - Opmaakprofiel2 2 11 5 6" xfId="4201"/>
    <cellStyle name="Data   - Opmaakprofiel2 2 11 5 6 2" xfId="7848"/>
    <cellStyle name="Data   - Opmaakprofiel2 2 11 5 6 2 2" xfId="20146"/>
    <cellStyle name="Data   - Opmaakprofiel2 2 11 5 6 2 3" xfId="32198"/>
    <cellStyle name="Data   - Opmaakprofiel2 2 11 5 6 2 4" xfId="43338"/>
    <cellStyle name="Data   - Opmaakprofiel2 2 11 5 6 2 5" xfId="52813"/>
    <cellStyle name="Data   - Opmaakprofiel2 2 11 5 6 3" xfId="12613"/>
    <cellStyle name="Data   - Opmaakprofiel2 2 11 5 6 4" xfId="15481"/>
    <cellStyle name="Data   - Opmaakprofiel2 2 11 5 6 5" xfId="46427"/>
    <cellStyle name="Data   - Opmaakprofiel2 2 11 5 6 6" xfId="43995"/>
    <cellStyle name="Data   - Opmaakprofiel2 2 11 5 7" xfId="4202"/>
    <cellStyle name="Data   - Opmaakprofiel2 2 11 5 7 2" xfId="12614"/>
    <cellStyle name="Data   - Opmaakprofiel2 2 11 5 7 3" xfId="15480"/>
    <cellStyle name="Data   - Opmaakprofiel2 2 11 5 7 4" xfId="41012"/>
    <cellStyle name="Data   - Opmaakprofiel2 2 11 5 7 5" xfId="44000"/>
    <cellStyle name="Data   - Opmaakprofiel2 2 11 5 8" xfId="9880"/>
    <cellStyle name="Data   - Opmaakprofiel2 2 11 5 8 2" xfId="22178"/>
    <cellStyle name="Data   - Opmaakprofiel2 2 11 5 8 3" xfId="43945"/>
    <cellStyle name="Data   - Opmaakprofiel2 2 11 5 8 4" xfId="28317"/>
    <cellStyle name="Data   - Opmaakprofiel2 2 11 5 8 5" xfId="54845"/>
    <cellStyle name="Data   - Opmaakprofiel2 2 11 5 9" xfId="12608"/>
    <cellStyle name="Data   - Opmaakprofiel2 2 11 6" xfId="1090"/>
    <cellStyle name="Data   - Opmaakprofiel2 2 11 6 2" xfId="1555"/>
    <cellStyle name="Data   - Opmaakprofiel2 2 11 6 2 2" xfId="7849"/>
    <cellStyle name="Data   - Opmaakprofiel2 2 11 6 2 2 2" xfId="20147"/>
    <cellStyle name="Data   - Opmaakprofiel2 2 11 6 2 2 3" xfId="32199"/>
    <cellStyle name="Data   - Opmaakprofiel2 2 11 6 2 2 4" xfId="34735"/>
    <cellStyle name="Data   - Opmaakprofiel2 2 11 6 2 2 5" xfId="52814"/>
    <cellStyle name="Data   - Opmaakprofiel2 2 11 6 2 3" xfId="12616"/>
    <cellStyle name="Data   - Opmaakprofiel2 2 11 6 2 4" xfId="15478"/>
    <cellStyle name="Data   - Opmaakprofiel2 2 11 6 2 5" xfId="41011"/>
    <cellStyle name="Data   - Opmaakprofiel2 2 11 6 2 6" xfId="37597"/>
    <cellStyle name="Data   - Opmaakprofiel2 2 11 6 3" xfId="3101"/>
    <cellStyle name="Data   - Opmaakprofiel2 2 11 6 3 2" xfId="7850"/>
    <cellStyle name="Data   - Opmaakprofiel2 2 11 6 3 2 2" xfId="20148"/>
    <cellStyle name="Data   - Opmaakprofiel2 2 11 6 3 2 3" xfId="32200"/>
    <cellStyle name="Data   - Opmaakprofiel2 2 11 6 3 2 4" xfId="43337"/>
    <cellStyle name="Data   - Opmaakprofiel2 2 11 6 3 2 5" xfId="52815"/>
    <cellStyle name="Data   - Opmaakprofiel2 2 11 6 3 3" xfId="12617"/>
    <cellStyle name="Data   - Opmaakprofiel2 2 11 6 3 4" xfId="15477"/>
    <cellStyle name="Data   - Opmaakprofiel2 2 11 6 3 5" xfId="41010"/>
    <cellStyle name="Data   - Opmaakprofiel2 2 11 6 3 6" xfId="37602"/>
    <cellStyle name="Data   - Opmaakprofiel2 2 11 6 4" xfId="3938"/>
    <cellStyle name="Data   - Opmaakprofiel2 2 11 6 4 2" xfId="7851"/>
    <cellStyle name="Data   - Opmaakprofiel2 2 11 6 4 2 2" xfId="20149"/>
    <cellStyle name="Data   - Opmaakprofiel2 2 11 6 4 2 3" xfId="32201"/>
    <cellStyle name="Data   - Opmaakprofiel2 2 11 6 4 2 4" xfId="25405"/>
    <cellStyle name="Data   - Opmaakprofiel2 2 11 6 4 2 5" xfId="52816"/>
    <cellStyle name="Data   - Opmaakprofiel2 2 11 6 4 3" xfId="12618"/>
    <cellStyle name="Data   - Opmaakprofiel2 2 11 6 4 4" xfId="15476"/>
    <cellStyle name="Data   - Opmaakprofiel2 2 11 6 4 5" xfId="41009"/>
    <cellStyle name="Data   - Opmaakprofiel2 2 11 6 4 6" xfId="37607"/>
    <cellStyle name="Data   - Opmaakprofiel2 2 11 6 5" xfId="4203"/>
    <cellStyle name="Data   - Opmaakprofiel2 2 11 6 5 2" xfId="7852"/>
    <cellStyle name="Data   - Opmaakprofiel2 2 11 6 5 2 2" xfId="20150"/>
    <cellStyle name="Data   - Opmaakprofiel2 2 11 6 5 2 3" xfId="32202"/>
    <cellStyle name="Data   - Opmaakprofiel2 2 11 6 5 2 4" xfId="31946"/>
    <cellStyle name="Data   - Opmaakprofiel2 2 11 6 5 2 5" xfId="52817"/>
    <cellStyle name="Data   - Opmaakprofiel2 2 11 6 5 3" xfId="12619"/>
    <cellStyle name="Data   - Opmaakprofiel2 2 11 6 5 4" xfId="15475"/>
    <cellStyle name="Data   - Opmaakprofiel2 2 11 6 5 5" xfId="46426"/>
    <cellStyle name="Data   - Opmaakprofiel2 2 11 6 5 6" xfId="37612"/>
    <cellStyle name="Data   - Opmaakprofiel2 2 11 6 6" xfId="4204"/>
    <cellStyle name="Data   - Opmaakprofiel2 2 11 6 6 2" xfId="7853"/>
    <cellStyle name="Data   - Opmaakprofiel2 2 11 6 6 2 2" xfId="20151"/>
    <cellStyle name="Data   - Opmaakprofiel2 2 11 6 6 2 3" xfId="32203"/>
    <cellStyle name="Data   - Opmaakprofiel2 2 11 6 6 2 4" xfId="25412"/>
    <cellStyle name="Data   - Opmaakprofiel2 2 11 6 6 2 5" xfId="52818"/>
    <cellStyle name="Data   - Opmaakprofiel2 2 11 6 6 3" xfId="12620"/>
    <cellStyle name="Data   - Opmaakprofiel2 2 11 6 6 4" xfId="15474"/>
    <cellStyle name="Data   - Opmaakprofiel2 2 11 6 6 5" xfId="41008"/>
    <cellStyle name="Data   - Opmaakprofiel2 2 11 6 6 6" xfId="37622"/>
    <cellStyle name="Data   - Opmaakprofiel2 2 11 6 7" xfId="4205"/>
    <cellStyle name="Data   - Opmaakprofiel2 2 11 6 7 2" xfId="12621"/>
    <cellStyle name="Data   - Opmaakprofiel2 2 11 6 7 3" xfId="15473"/>
    <cellStyle name="Data   - Opmaakprofiel2 2 11 6 7 4" xfId="46425"/>
    <cellStyle name="Data   - Opmaakprofiel2 2 11 6 7 5" xfId="44022"/>
    <cellStyle name="Data   - Opmaakprofiel2 2 11 6 8" xfId="7249"/>
    <cellStyle name="Data   - Opmaakprofiel2 2 11 6 8 2" xfId="19547"/>
    <cellStyle name="Data   - Opmaakprofiel2 2 11 6 8 3" xfId="41350"/>
    <cellStyle name="Data   - Opmaakprofiel2 2 11 6 8 4" xfId="36889"/>
    <cellStyle name="Data   - Opmaakprofiel2 2 11 6 8 5" xfId="52219"/>
    <cellStyle name="Data   - Opmaakprofiel2 2 11 6 9" xfId="12615"/>
    <cellStyle name="Data   - Opmaakprofiel2 2 11 7" xfId="2258"/>
    <cellStyle name="Data   - Opmaakprofiel2 2 11 7 2" xfId="7854"/>
    <cellStyle name="Data   - Opmaakprofiel2 2 11 7 2 2" xfId="20152"/>
    <cellStyle name="Data   - Opmaakprofiel2 2 11 7 2 3" xfId="32204"/>
    <cellStyle name="Data   - Opmaakprofiel2 2 11 7 2 4" xfId="43336"/>
    <cellStyle name="Data   - Opmaakprofiel2 2 11 7 2 5" xfId="52819"/>
    <cellStyle name="Data   - Opmaakprofiel2 2 11 7 3" xfId="12622"/>
    <cellStyle name="Data   - Opmaakprofiel2 2 11 7 4" xfId="15472"/>
    <cellStyle name="Data   - Opmaakprofiel2 2 11 7 5" xfId="41007"/>
    <cellStyle name="Data   - Opmaakprofiel2 2 11 7 6" xfId="37630"/>
    <cellStyle name="Data   - Opmaakprofiel2 2 11 8" xfId="2788"/>
    <cellStyle name="Data   - Opmaakprofiel2 2 11 8 2" xfId="7855"/>
    <cellStyle name="Data   - Opmaakprofiel2 2 11 8 2 2" xfId="20153"/>
    <cellStyle name="Data   - Opmaakprofiel2 2 11 8 2 3" xfId="32205"/>
    <cellStyle name="Data   - Opmaakprofiel2 2 11 8 2 4" xfId="34661"/>
    <cellStyle name="Data   - Opmaakprofiel2 2 11 8 2 5" xfId="52820"/>
    <cellStyle name="Data   - Opmaakprofiel2 2 11 8 3" xfId="12623"/>
    <cellStyle name="Data   - Opmaakprofiel2 2 11 8 4" xfId="15471"/>
    <cellStyle name="Data   - Opmaakprofiel2 2 11 8 5" xfId="46424"/>
    <cellStyle name="Data   - Opmaakprofiel2 2 11 8 6" xfId="37635"/>
    <cellStyle name="Data   - Opmaakprofiel2 2 11 9" xfId="3650"/>
    <cellStyle name="Data   - Opmaakprofiel2 2 11 9 2" xfId="7856"/>
    <cellStyle name="Data   - Opmaakprofiel2 2 11 9 2 2" xfId="20154"/>
    <cellStyle name="Data   - Opmaakprofiel2 2 11 9 2 3" xfId="32206"/>
    <cellStyle name="Data   - Opmaakprofiel2 2 11 9 2 4" xfId="43335"/>
    <cellStyle name="Data   - Opmaakprofiel2 2 11 9 2 5" xfId="52821"/>
    <cellStyle name="Data   - Opmaakprofiel2 2 11 9 3" xfId="12624"/>
    <cellStyle name="Data   - Opmaakprofiel2 2 11 9 4" xfId="15470"/>
    <cellStyle name="Data   - Opmaakprofiel2 2 11 9 5" xfId="41006"/>
    <cellStyle name="Data   - Opmaakprofiel2 2 11 9 6" xfId="44034"/>
    <cellStyle name="Data   - Opmaakprofiel2 2 12" xfId="770"/>
    <cellStyle name="Data   - Opmaakprofiel2 2 12 10" xfId="4206"/>
    <cellStyle name="Data   - Opmaakprofiel2 2 12 10 2" xfId="7857"/>
    <cellStyle name="Data   - Opmaakprofiel2 2 12 10 2 2" xfId="20155"/>
    <cellStyle name="Data   - Opmaakprofiel2 2 12 10 2 3" xfId="32207"/>
    <cellStyle name="Data   - Opmaakprofiel2 2 12 10 2 4" xfId="25419"/>
    <cellStyle name="Data   - Opmaakprofiel2 2 12 10 2 5" xfId="52822"/>
    <cellStyle name="Data   - Opmaakprofiel2 2 12 10 3" xfId="12626"/>
    <cellStyle name="Data   - Opmaakprofiel2 2 12 10 4" xfId="15468"/>
    <cellStyle name="Data   - Opmaakprofiel2 2 12 10 5" xfId="41005"/>
    <cellStyle name="Data   - Opmaakprofiel2 2 12 10 6" xfId="44042"/>
    <cellStyle name="Data   - Opmaakprofiel2 2 12 11" xfId="4207"/>
    <cellStyle name="Data   - Opmaakprofiel2 2 12 11 2" xfId="7858"/>
    <cellStyle name="Data   - Opmaakprofiel2 2 12 11 2 2" xfId="20156"/>
    <cellStyle name="Data   - Opmaakprofiel2 2 12 11 2 3" xfId="32208"/>
    <cellStyle name="Data   - Opmaakprofiel2 2 12 11 2 4" xfId="43334"/>
    <cellStyle name="Data   - Opmaakprofiel2 2 12 11 2 5" xfId="52823"/>
    <cellStyle name="Data   - Opmaakprofiel2 2 12 11 3" xfId="12627"/>
    <cellStyle name="Data   - Opmaakprofiel2 2 12 11 4" xfId="15467"/>
    <cellStyle name="Data   - Opmaakprofiel2 2 12 11 5" xfId="46422"/>
    <cellStyle name="Data   - Opmaakprofiel2 2 12 11 6" xfId="37653"/>
    <cellStyle name="Data   - Opmaakprofiel2 2 12 12" xfId="4208"/>
    <cellStyle name="Data   - Opmaakprofiel2 2 12 12 2" xfId="12628"/>
    <cellStyle name="Data   - Opmaakprofiel2 2 12 12 3" xfId="15466"/>
    <cellStyle name="Data   - Opmaakprofiel2 2 12 12 4" xfId="41004"/>
    <cellStyle name="Data   - Opmaakprofiel2 2 12 12 5" xfId="37661"/>
    <cellStyle name="Data   - Opmaakprofiel2 2 12 13" xfId="10155"/>
    <cellStyle name="Data   - Opmaakprofiel2 2 12 13 2" xfId="22453"/>
    <cellStyle name="Data   - Opmaakprofiel2 2 12 13 3" xfId="44217"/>
    <cellStyle name="Data   - Opmaakprofiel2 2 12 13 4" xfId="28724"/>
    <cellStyle name="Data   - Opmaakprofiel2 2 12 13 5" xfId="55120"/>
    <cellStyle name="Data   - Opmaakprofiel2 2 12 14" xfId="12625"/>
    <cellStyle name="Data   - Opmaakprofiel2 2 12 2" xfId="935"/>
    <cellStyle name="Data   - Opmaakprofiel2 2 12 2 2" xfId="2160"/>
    <cellStyle name="Data   - Opmaakprofiel2 2 12 2 2 2" xfId="7859"/>
    <cellStyle name="Data   - Opmaakprofiel2 2 12 2 2 2 2" xfId="20157"/>
    <cellStyle name="Data   - Opmaakprofiel2 2 12 2 2 2 3" xfId="32209"/>
    <cellStyle name="Data   - Opmaakprofiel2 2 12 2 2 2 4" xfId="34715"/>
    <cellStyle name="Data   - Opmaakprofiel2 2 12 2 2 2 5" xfId="52824"/>
    <cellStyle name="Data   - Opmaakprofiel2 2 12 2 2 3" xfId="12630"/>
    <cellStyle name="Data   - Opmaakprofiel2 2 12 2 2 4" xfId="15464"/>
    <cellStyle name="Data   - Opmaakprofiel2 2 12 2 2 5" xfId="41002"/>
    <cellStyle name="Data   - Opmaakprofiel2 2 12 2 2 6" xfId="44055"/>
    <cellStyle name="Data   - Opmaakprofiel2 2 12 2 3" xfId="2946"/>
    <cellStyle name="Data   - Opmaakprofiel2 2 12 2 3 2" xfId="7860"/>
    <cellStyle name="Data   - Opmaakprofiel2 2 12 2 3 2 2" xfId="20158"/>
    <cellStyle name="Data   - Opmaakprofiel2 2 12 2 3 2 3" xfId="32210"/>
    <cellStyle name="Data   - Opmaakprofiel2 2 12 2 3 2 4" xfId="43333"/>
    <cellStyle name="Data   - Opmaakprofiel2 2 12 2 3 2 5" xfId="52825"/>
    <cellStyle name="Data   - Opmaakprofiel2 2 12 2 3 3" xfId="12631"/>
    <cellStyle name="Data   - Opmaakprofiel2 2 12 2 3 4" xfId="15463"/>
    <cellStyle name="Data   - Opmaakprofiel2 2 12 2 3 5" xfId="46421"/>
    <cellStyle name="Data   - Opmaakprofiel2 2 12 2 3 6" xfId="44058"/>
    <cellStyle name="Data   - Opmaakprofiel2 2 12 2 4" xfId="3794"/>
    <cellStyle name="Data   - Opmaakprofiel2 2 12 2 4 2" xfId="7861"/>
    <cellStyle name="Data   - Opmaakprofiel2 2 12 2 4 2 2" xfId="20159"/>
    <cellStyle name="Data   - Opmaakprofiel2 2 12 2 4 2 3" xfId="32211"/>
    <cellStyle name="Data   - Opmaakprofiel2 2 12 2 4 2 4" xfId="25426"/>
    <cellStyle name="Data   - Opmaakprofiel2 2 12 2 4 2 5" xfId="52826"/>
    <cellStyle name="Data   - Opmaakprofiel2 2 12 2 4 3" xfId="12632"/>
    <cellStyle name="Data   - Opmaakprofiel2 2 12 2 4 4" xfId="14111"/>
    <cellStyle name="Data   - Opmaakprofiel2 2 12 2 4 5" xfId="41001"/>
    <cellStyle name="Data   - Opmaakprofiel2 2 12 2 4 6" xfId="37676"/>
    <cellStyle name="Data   - Opmaakprofiel2 2 12 2 5" xfId="4209"/>
    <cellStyle name="Data   - Opmaakprofiel2 2 12 2 5 2" xfId="7862"/>
    <cellStyle name="Data   - Opmaakprofiel2 2 12 2 5 2 2" xfId="20160"/>
    <cellStyle name="Data   - Opmaakprofiel2 2 12 2 5 2 3" xfId="32212"/>
    <cellStyle name="Data   - Opmaakprofiel2 2 12 2 5 2 4" xfId="43332"/>
    <cellStyle name="Data   - Opmaakprofiel2 2 12 2 5 2 5" xfId="52827"/>
    <cellStyle name="Data   - Opmaakprofiel2 2 12 2 5 3" xfId="12633"/>
    <cellStyle name="Data   - Opmaakprofiel2 2 12 2 5 4" xfId="14110"/>
    <cellStyle name="Data   - Opmaakprofiel2 2 12 2 5 5" xfId="46420"/>
    <cellStyle name="Data   - Opmaakprofiel2 2 12 2 5 6" xfId="44063"/>
    <cellStyle name="Data   - Opmaakprofiel2 2 12 2 6" xfId="4210"/>
    <cellStyle name="Data   - Opmaakprofiel2 2 12 2 6 2" xfId="7863"/>
    <cellStyle name="Data   - Opmaakprofiel2 2 12 2 6 2 2" xfId="20161"/>
    <cellStyle name="Data   - Opmaakprofiel2 2 12 2 6 2 3" xfId="32213"/>
    <cellStyle name="Data   - Opmaakprofiel2 2 12 2 6 2 4" xfId="31692"/>
    <cellStyle name="Data   - Opmaakprofiel2 2 12 2 6 2 5" xfId="52828"/>
    <cellStyle name="Data   - Opmaakprofiel2 2 12 2 6 3" xfId="12634"/>
    <cellStyle name="Data   - Opmaakprofiel2 2 12 2 6 4" xfId="14109"/>
    <cellStyle name="Data   - Opmaakprofiel2 2 12 2 6 5" xfId="41000"/>
    <cellStyle name="Data   - Opmaakprofiel2 2 12 2 6 6" xfId="37686"/>
    <cellStyle name="Data   - Opmaakprofiel2 2 12 2 7" xfId="4211"/>
    <cellStyle name="Data   - Opmaakprofiel2 2 12 2 7 2" xfId="12635"/>
    <cellStyle name="Data   - Opmaakprofiel2 2 12 2 7 3" xfId="14108"/>
    <cellStyle name="Data   - Opmaakprofiel2 2 12 2 7 4" xfId="46419"/>
    <cellStyle name="Data   - Opmaakprofiel2 2 12 2 7 5" xfId="37691"/>
    <cellStyle name="Data   - Opmaakprofiel2 2 12 2 8" xfId="7355"/>
    <cellStyle name="Data   - Opmaakprofiel2 2 12 2 8 2" xfId="19653"/>
    <cellStyle name="Data   - Opmaakprofiel2 2 12 2 8 3" xfId="41456"/>
    <cellStyle name="Data   - Opmaakprofiel2 2 12 2 8 4" xfId="19277"/>
    <cellStyle name="Data   - Opmaakprofiel2 2 12 2 8 5" xfId="52325"/>
    <cellStyle name="Data   - Opmaakprofiel2 2 12 2 9" xfId="12629"/>
    <cellStyle name="Data   - Opmaakprofiel2 2 12 3" xfId="1031"/>
    <cellStyle name="Data   - Opmaakprofiel2 2 12 3 2" xfId="2329"/>
    <cellStyle name="Data   - Opmaakprofiel2 2 12 3 2 2" xfId="7864"/>
    <cellStyle name="Data   - Opmaakprofiel2 2 12 3 2 2 2" xfId="20162"/>
    <cellStyle name="Data   - Opmaakprofiel2 2 12 3 2 2 3" xfId="32214"/>
    <cellStyle name="Data   - Opmaakprofiel2 2 12 3 2 2 4" xfId="25433"/>
    <cellStyle name="Data   - Opmaakprofiel2 2 12 3 2 2 5" xfId="52829"/>
    <cellStyle name="Data   - Opmaakprofiel2 2 12 3 2 3" xfId="12637"/>
    <cellStyle name="Data   - Opmaakprofiel2 2 12 3 2 4" xfId="14106"/>
    <cellStyle name="Data   - Opmaakprofiel2 2 12 3 2 5" xfId="46418"/>
    <cellStyle name="Data   - Opmaakprofiel2 2 12 3 2 6" xfId="37702"/>
    <cellStyle name="Data   - Opmaakprofiel2 2 12 3 3" xfId="3042"/>
    <cellStyle name="Data   - Opmaakprofiel2 2 12 3 3 2" xfId="7865"/>
    <cellStyle name="Data   - Opmaakprofiel2 2 12 3 3 2 2" xfId="20163"/>
    <cellStyle name="Data   - Opmaakprofiel2 2 12 3 3 2 3" xfId="32215"/>
    <cellStyle name="Data   - Opmaakprofiel2 2 12 3 3 2 4" xfId="31404"/>
    <cellStyle name="Data   - Opmaakprofiel2 2 12 3 3 2 5" xfId="52830"/>
    <cellStyle name="Data   - Opmaakprofiel2 2 12 3 3 3" xfId="12638"/>
    <cellStyle name="Data   - Opmaakprofiel2 2 12 3 3 4" xfId="14105"/>
    <cellStyle name="Data   - Opmaakprofiel2 2 12 3 3 5" xfId="40998"/>
    <cellStyle name="Data   - Opmaakprofiel2 2 12 3 3 6" xfId="37707"/>
    <cellStyle name="Data   - Opmaakprofiel2 2 12 3 4" xfId="3884"/>
    <cellStyle name="Data   - Opmaakprofiel2 2 12 3 4 2" xfId="7866"/>
    <cellStyle name="Data   - Opmaakprofiel2 2 12 3 4 2 2" xfId="20164"/>
    <cellStyle name="Data   - Opmaakprofiel2 2 12 3 4 2 3" xfId="32216"/>
    <cellStyle name="Data   - Opmaakprofiel2 2 12 3 4 2 4" xfId="43331"/>
    <cellStyle name="Data   - Opmaakprofiel2 2 12 3 4 2 5" xfId="52831"/>
    <cellStyle name="Data   - Opmaakprofiel2 2 12 3 4 3" xfId="12639"/>
    <cellStyle name="Data   - Opmaakprofiel2 2 12 3 4 4" xfId="14104"/>
    <cellStyle name="Data   - Opmaakprofiel2 2 12 3 4 5" xfId="46417"/>
    <cellStyle name="Data   - Opmaakprofiel2 2 12 3 4 6" xfId="37710"/>
    <cellStyle name="Data   - Opmaakprofiel2 2 12 3 5" xfId="4212"/>
    <cellStyle name="Data   - Opmaakprofiel2 2 12 3 5 2" xfId="7867"/>
    <cellStyle name="Data   - Opmaakprofiel2 2 12 3 5 2 2" xfId="20165"/>
    <cellStyle name="Data   - Opmaakprofiel2 2 12 3 5 2 3" xfId="32217"/>
    <cellStyle name="Data   - Opmaakprofiel2 2 12 3 5 2 4" xfId="25440"/>
    <cellStyle name="Data   - Opmaakprofiel2 2 12 3 5 2 5" xfId="52832"/>
    <cellStyle name="Data   - Opmaakprofiel2 2 12 3 5 3" xfId="12640"/>
    <cellStyle name="Data   - Opmaakprofiel2 2 12 3 5 4" xfId="14103"/>
    <cellStyle name="Data   - Opmaakprofiel2 2 12 3 5 5" xfId="40997"/>
    <cellStyle name="Data   - Opmaakprofiel2 2 12 3 5 6" xfId="44089"/>
    <cellStyle name="Data   - Opmaakprofiel2 2 12 3 6" xfId="4213"/>
    <cellStyle name="Data   - Opmaakprofiel2 2 12 3 6 2" xfId="7868"/>
    <cellStyle name="Data   - Opmaakprofiel2 2 12 3 6 2 2" xfId="20166"/>
    <cellStyle name="Data   - Opmaakprofiel2 2 12 3 6 2 3" xfId="32218"/>
    <cellStyle name="Data   - Opmaakprofiel2 2 12 3 6 2 4" xfId="43330"/>
    <cellStyle name="Data   - Opmaakprofiel2 2 12 3 6 2 5" xfId="52833"/>
    <cellStyle name="Data   - Opmaakprofiel2 2 12 3 6 3" xfId="12641"/>
    <cellStyle name="Data   - Opmaakprofiel2 2 12 3 6 4" xfId="14102"/>
    <cellStyle name="Data   - Opmaakprofiel2 2 12 3 6 5" xfId="40996"/>
    <cellStyle name="Data   - Opmaakprofiel2 2 12 3 6 6" xfId="44092"/>
    <cellStyle name="Data   - Opmaakprofiel2 2 12 3 7" xfId="4214"/>
    <cellStyle name="Data   - Opmaakprofiel2 2 12 3 7 2" xfId="12642"/>
    <cellStyle name="Data   - Opmaakprofiel2 2 12 3 7 3" xfId="14101"/>
    <cellStyle name="Data   - Opmaakprofiel2 2 12 3 7 4" xfId="40995"/>
    <cellStyle name="Data   - Opmaakprofiel2 2 12 3 7 5" xfId="37728"/>
    <cellStyle name="Data   - Opmaakprofiel2 2 12 3 8" xfId="9977"/>
    <cellStyle name="Data   - Opmaakprofiel2 2 12 3 8 2" xfId="22275"/>
    <cellStyle name="Data   - Opmaakprofiel2 2 12 3 8 3" xfId="44040"/>
    <cellStyle name="Data   - Opmaakprofiel2 2 12 3 8 4" xfId="28403"/>
    <cellStyle name="Data   - Opmaakprofiel2 2 12 3 8 5" xfId="54942"/>
    <cellStyle name="Data   - Opmaakprofiel2 2 12 3 9" xfId="12636"/>
    <cellStyle name="Data   - Opmaakprofiel2 2 12 4" xfId="607"/>
    <cellStyle name="Data   - Opmaakprofiel2 2 12 4 2" xfId="1483"/>
    <cellStyle name="Data   - Opmaakprofiel2 2 12 4 2 2" xfId="7869"/>
    <cellStyle name="Data   - Opmaakprofiel2 2 12 4 2 2 2" xfId="20167"/>
    <cellStyle name="Data   - Opmaakprofiel2 2 12 4 2 2 3" xfId="32219"/>
    <cellStyle name="Data   - Opmaakprofiel2 2 12 4 2 2 4" xfId="31356"/>
    <cellStyle name="Data   - Opmaakprofiel2 2 12 4 2 2 5" xfId="52834"/>
    <cellStyle name="Data   - Opmaakprofiel2 2 12 4 2 3" xfId="12644"/>
    <cellStyle name="Data   - Opmaakprofiel2 2 12 4 2 4" xfId="14099"/>
    <cellStyle name="Data   - Opmaakprofiel2 2 12 4 2 5" xfId="40994"/>
    <cellStyle name="Data   - Opmaakprofiel2 2 12 4 2 6" xfId="37737"/>
    <cellStyle name="Data   - Opmaakprofiel2 2 12 4 3" xfId="2678"/>
    <cellStyle name="Data   - Opmaakprofiel2 2 12 4 3 2" xfId="7870"/>
    <cellStyle name="Data   - Opmaakprofiel2 2 12 4 3 2 2" xfId="20168"/>
    <cellStyle name="Data   - Opmaakprofiel2 2 12 4 3 2 3" xfId="32220"/>
    <cellStyle name="Data   - Opmaakprofiel2 2 12 4 3 2 4" xfId="43329"/>
    <cellStyle name="Data   - Opmaakprofiel2 2 12 4 3 2 5" xfId="52835"/>
    <cellStyle name="Data   - Opmaakprofiel2 2 12 4 3 3" xfId="12645"/>
    <cellStyle name="Data   - Opmaakprofiel2 2 12 4 3 4" xfId="14098"/>
    <cellStyle name="Data   - Opmaakprofiel2 2 12 4 3 5" xfId="46415"/>
    <cellStyle name="Data   - Opmaakprofiel2 2 12 4 3 6" xfId="37740"/>
    <cellStyle name="Data   - Opmaakprofiel2 2 12 4 4" xfId="3550"/>
    <cellStyle name="Data   - Opmaakprofiel2 2 12 4 4 2" xfId="7871"/>
    <cellStyle name="Data   - Opmaakprofiel2 2 12 4 4 2 2" xfId="20169"/>
    <cellStyle name="Data   - Opmaakprofiel2 2 12 4 4 2 3" xfId="32221"/>
    <cellStyle name="Data   - Opmaakprofiel2 2 12 4 4 2 4" xfId="25447"/>
    <cellStyle name="Data   - Opmaakprofiel2 2 12 4 4 2 5" xfId="52836"/>
    <cellStyle name="Data   - Opmaakprofiel2 2 12 4 4 3" xfId="12646"/>
    <cellStyle name="Data   - Opmaakprofiel2 2 12 4 4 4" xfId="14097"/>
    <cellStyle name="Data   - Opmaakprofiel2 2 12 4 4 5" xfId="40993"/>
    <cellStyle name="Data   - Opmaakprofiel2 2 12 4 4 6" xfId="44109"/>
    <cellStyle name="Data   - Opmaakprofiel2 2 12 4 5" xfId="4215"/>
    <cellStyle name="Data   - Opmaakprofiel2 2 12 4 5 2" xfId="7872"/>
    <cellStyle name="Data   - Opmaakprofiel2 2 12 4 5 2 2" xfId="20170"/>
    <cellStyle name="Data   - Opmaakprofiel2 2 12 4 5 2 3" xfId="32222"/>
    <cellStyle name="Data   - Opmaakprofiel2 2 12 4 5 2 4" xfId="43328"/>
    <cellStyle name="Data   - Opmaakprofiel2 2 12 4 5 2 5" xfId="52837"/>
    <cellStyle name="Data   - Opmaakprofiel2 2 12 4 5 3" xfId="12647"/>
    <cellStyle name="Data   - Opmaakprofiel2 2 12 4 5 4" xfId="14096"/>
    <cellStyle name="Data   - Opmaakprofiel2 2 12 4 5 5" xfId="46414"/>
    <cellStyle name="Data   - Opmaakprofiel2 2 12 4 5 6" xfId="37753"/>
    <cellStyle name="Data   - Opmaakprofiel2 2 12 4 6" xfId="4216"/>
    <cellStyle name="Data   - Opmaakprofiel2 2 12 4 6 2" xfId="7873"/>
    <cellStyle name="Data   - Opmaakprofiel2 2 12 4 6 2 2" xfId="20171"/>
    <cellStyle name="Data   - Opmaakprofiel2 2 12 4 6 2 3" xfId="32223"/>
    <cellStyle name="Data   - Opmaakprofiel2 2 12 4 6 2 4" xfId="31578"/>
    <cellStyle name="Data   - Opmaakprofiel2 2 12 4 6 2 5" xfId="52838"/>
    <cellStyle name="Data   - Opmaakprofiel2 2 12 4 6 3" xfId="12648"/>
    <cellStyle name="Data   - Opmaakprofiel2 2 12 4 6 4" xfId="14095"/>
    <cellStyle name="Data   - Opmaakprofiel2 2 12 4 6 5" xfId="40992"/>
    <cellStyle name="Data   - Opmaakprofiel2 2 12 4 6 6" xfId="37758"/>
    <cellStyle name="Data   - Opmaakprofiel2 2 12 4 7" xfId="4217"/>
    <cellStyle name="Data   - Opmaakprofiel2 2 12 4 7 2" xfId="12649"/>
    <cellStyle name="Data   - Opmaakprofiel2 2 12 4 7 3" xfId="14094"/>
    <cellStyle name="Data   - Opmaakprofiel2 2 12 4 7 4" xfId="46413"/>
    <cellStyle name="Data   - Opmaakprofiel2 2 12 4 7 5" xfId="37764"/>
    <cellStyle name="Data   - Opmaakprofiel2 2 12 4 8" xfId="7577"/>
    <cellStyle name="Data   - Opmaakprofiel2 2 12 4 8 2" xfId="19875"/>
    <cellStyle name="Data   - Opmaakprofiel2 2 12 4 8 3" xfId="41678"/>
    <cellStyle name="Data   - Opmaakprofiel2 2 12 4 8 4" xfId="24845"/>
    <cellStyle name="Data   - Opmaakprofiel2 2 12 4 8 5" xfId="52547"/>
    <cellStyle name="Data   - Opmaakprofiel2 2 12 4 9" xfId="12643"/>
    <cellStyle name="Data   - Opmaakprofiel2 2 12 5" xfId="1203"/>
    <cellStyle name="Data   - Opmaakprofiel2 2 12 5 2" xfId="2157"/>
    <cellStyle name="Data   - Opmaakprofiel2 2 12 5 2 2" xfId="7874"/>
    <cellStyle name="Data   - Opmaakprofiel2 2 12 5 2 2 2" xfId="20172"/>
    <cellStyle name="Data   - Opmaakprofiel2 2 12 5 2 2 3" xfId="32224"/>
    <cellStyle name="Data   - Opmaakprofiel2 2 12 5 2 2 4" xfId="43327"/>
    <cellStyle name="Data   - Opmaakprofiel2 2 12 5 2 2 5" xfId="52839"/>
    <cellStyle name="Data   - Opmaakprofiel2 2 12 5 2 3" xfId="12651"/>
    <cellStyle name="Data   - Opmaakprofiel2 2 12 5 2 4" xfId="14092"/>
    <cellStyle name="Data   - Opmaakprofiel2 2 12 5 2 5" xfId="46412"/>
    <cellStyle name="Data   - Opmaakprofiel2 2 12 5 2 6" xfId="37771"/>
    <cellStyle name="Data   - Opmaakprofiel2 2 12 5 3" xfId="3214"/>
    <cellStyle name="Data   - Opmaakprofiel2 2 12 5 3 2" xfId="7875"/>
    <cellStyle name="Data   - Opmaakprofiel2 2 12 5 3 2 2" xfId="20173"/>
    <cellStyle name="Data   - Opmaakprofiel2 2 12 5 3 2 3" xfId="32225"/>
    <cellStyle name="Data   - Opmaakprofiel2 2 12 5 3 2 4" xfId="25454"/>
    <cellStyle name="Data   - Opmaakprofiel2 2 12 5 3 2 5" xfId="52840"/>
    <cellStyle name="Data   - Opmaakprofiel2 2 12 5 3 3" xfId="12652"/>
    <cellStyle name="Data   - Opmaakprofiel2 2 12 5 3 4" xfId="12483"/>
    <cellStyle name="Data   - Opmaakprofiel2 2 12 5 3 5" xfId="40990"/>
    <cellStyle name="Data   - Opmaakprofiel2 2 12 5 3 6" xfId="37779"/>
    <cellStyle name="Data   - Opmaakprofiel2 2 12 5 4" xfId="4029"/>
    <cellStyle name="Data   - Opmaakprofiel2 2 12 5 4 2" xfId="7876"/>
    <cellStyle name="Data   - Opmaakprofiel2 2 12 5 4 2 2" xfId="20174"/>
    <cellStyle name="Data   - Opmaakprofiel2 2 12 5 4 2 3" xfId="32226"/>
    <cellStyle name="Data   - Opmaakprofiel2 2 12 5 4 2 4" xfId="31770"/>
    <cellStyle name="Data   - Opmaakprofiel2 2 12 5 4 2 5" xfId="52841"/>
    <cellStyle name="Data   - Opmaakprofiel2 2 12 5 4 3" xfId="12653"/>
    <cellStyle name="Data   - Opmaakprofiel2 2 12 5 4 4" xfId="4165"/>
    <cellStyle name="Data   - Opmaakprofiel2 2 12 5 4 5" xfId="40989"/>
    <cellStyle name="Data   - Opmaakprofiel2 2 12 5 4 6" xfId="44134"/>
    <cellStyle name="Data   - Opmaakprofiel2 2 12 5 5" xfId="4218"/>
    <cellStyle name="Data   - Opmaakprofiel2 2 12 5 5 2" xfId="7877"/>
    <cellStyle name="Data   - Opmaakprofiel2 2 12 5 5 2 2" xfId="20175"/>
    <cellStyle name="Data   - Opmaakprofiel2 2 12 5 5 2 3" xfId="32227"/>
    <cellStyle name="Data   - Opmaakprofiel2 2 12 5 5 2 4" xfId="25461"/>
    <cellStyle name="Data   - Opmaakprofiel2 2 12 5 5 2 5" xfId="52842"/>
    <cellStyle name="Data   - Opmaakprofiel2 2 12 5 5 3" xfId="12654"/>
    <cellStyle name="Data   - Opmaakprofiel2 2 12 5 5 4" xfId="14091"/>
    <cellStyle name="Data   - Opmaakprofiel2 2 12 5 5 5" xfId="40988"/>
    <cellStyle name="Data   - Opmaakprofiel2 2 12 5 5 6" xfId="44137"/>
    <cellStyle name="Data   - Opmaakprofiel2 2 12 5 6" xfId="4219"/>
    <cellStyle name="Data   - Opmaakprofiel2 2 12 5 6 2" xfId="7878"/>
    <cellStyle name="Data   - Opmaakprofiel2 2 12 5 6 2 2" xfId="20176"/>
    <cellStyle name="Data   - Opmaakprofiel2 2 12 5 6 2 3" xfId="32228"/>
    <cellStyle name="Data   - Opmaakprofiel2 2 12 5 6 2 4" xfId="43326"/>
    <cellStyle name="Data   - Opmaakprofiel2 2 12 5 6 2 5" xfId="52843"/>
    <cellStyle name="Data   - Opmaakprofiel2 2 12 5 6 3" xfId="12655"/>
    <cellStyle name="Data   - Opmaakprofiel2 2 12 5 6 4" xfId="12481"/>
    <cellStyle name="Data   - Opmaakprofiel2 2 12 5 6 5" xfId="46411"/>
    <cellStyle name="Data   - Opmaakprofiel2 2 12 5 6 6" xfId="37794"/>
    <cellStyle name="Data   - Opmaakprofiel2 2 12 5 7" xfId="4220"/>
    <cellStyle name="Data   - Opmaakprofiel2 2 12 5 7 2" xfId="12656"/>
    <cellStyle name="Data   - Opmaakprofiel2 2 12 5 7 3" xfId="14090"/>
    <cellStyle name="Data   - Opmaakprofiel2 2 12 5 7 4" xfId="40987"/>
    <cellStyle name="Data   - Opmaakprofiel2 2 12 5 7 5" xfId="37799"/>
    <cellStyle name="Data   - Opmaakprofiel2 2 12 5 8" xfId="6997"/>
    <cellStyle name="Data   - Opmaakprofiel2 2 12 5 8 2" xfId="19295"/>
    <cellStyle name="Data   - Opmaakprofiel2 2 12 5 8 3" xfId="41098"/>
    <cellStyle name="Data   - Opmaakprofiel2 2 12 5 8 4" xfId="43693"/>
    <cellStyle name="Data   - Opmaakprofiel2 2 12 5 8 5" xfId="51968"/>
    <cellStyle name="Data   - Opmaakprofiel2 2 12 5 9" xfId="12650"/>
    <cellStyle name="Data   - Opmaakprofiel2 2 12 6" xfId="586"/>
    <cellStyle name="Data   - Opmaakprofiel2 2 12 6 2" xfId="1984"/>
    <cellStyle name="Data   - Opmaakprofiel2 2 12 6 2 2" xfId="7879"/>
    <cellStyle name="Data   - Opmaakprofiel2 2 12 6 2 2 2" xfId="20177"/>
    <cellStyle name="Data   - Opmaakprofiel2 2 12 6 2 2 3" xfId="32229"/>
    <cellStyle name="Data   - Opmaakprofiel2 2 12 6 2 2 4" xfId="34295"/>
    <cellStyle name="Data   - Opmaakprofiel2 2 12 6 2 2 5" xfId="52844"/>
    <cellStyle name="Data   - Opmaakprofiel2 2 12 6 2 3" xfId="12658"/>
    <cellStyle name="Data   - Opmaakprofiel2 2 12 6 2 4" xfId="14088"/>
    <cellStyle name="Data   - Opmaakprofiel2 2 12 6 2 5" xfId="40986"/>
    <cellStyle name="Data   - Opmaakprofiel2 2 12 6 2 6" xfId="37809"/>
    <cellStyle name="Data   - Opmaakprofiel2 2 12 6 3" xfId="2657"/>
    <cellStyle name="Data   - Opmaakprofiel2 2 12 6 3 2" xfId="7880"/>
    <cellStyle name="Data   - Opmaakprofiel2 2 12 6 3 2 2" xfId="20178"/>
    <cellStyle name="Data   - Opmaakprofiel2 2 12 6 3 2 3" xfId="32230"/>
    <cellStyle name="Data   - Opmaakprofiel2 2 12 6 3 2 4" xfId="43325"/>
    <cellStyle name="Data   - Opmaakprofiel2 2 12 6 3 2 5" xfId="52845"/>
    <cellStyle name="Data   - Opmaakprofiel2 2 12 6 3 3" xfId="12659"/>
    <cellStyle name="Data   - Opmaakprofiel2 2 12 6 3 4" xfId="14087"/>
    <cellStyle name="Data   - Opmaakprofiel2 2 12 6 3 5" xfId="46409"/>
    <cellStyle name="Data   - Opmaakprofiel2 2 12 6 3 6" xfId="37814"/>
    <cellStyle name="Data   - Opmaakprofiel2 2 12 6 4" xfId="3532"/>
    <cellStyle name="Data   - Opmaakprofiel2 2 12 6 4 2" xfId="7881"/>
    <cellStyle name="Data   - Opmaakprofiel2 2 12 6 4 2 2" xfId="20179"/>
    <cellStyle name="Data   - Opmaakprofiel2 2 12 6 4 2 3" xfId="32231"/>
    <cellStyle name="Data   - Opmaakprofiel2 2 12 6 4 2 4" xfId="25468"/>
    <cellStyle name="Data   - Opmaakprofiel2 2 12 6 4 2 5" xfId="52846"/>
    <cellStyle name="Data   - Opmaakprofiel2 2 12 6 4 3" xfId="12660"/>
    <cellStyle name="Data   - Opmaakprofiel2 2 12 6 4 4" xfId="14086"/>
    <cellStyle name="Data   - Opmaakprofiel2 2 12 6 4 5" xfId="40985"/>
    <cellStyle name="Data   - Opmaakprofiel2 2 12 6 4 6" xfId="37819"/>
    <cellStyle name="Data   - Opmaakprofiel2 2 12 6 5" xfId="4221"/>
    <cellStyle name="Data   - Opmaakprofiel2 2 12 6 5 2" xfId="7882"/>
    <cellStyle name="Data   - Opmaakprofiel2 2 12 6 5 2 2" xfId="20180"/>
    <cellStyle name="Data   - Opmaakprofiel2 2 12 6 5 2 3" xfId="32232"/>
    <cellStyle name="Data   - Opmaakprofiel2 2 12 6 5 2 4" xfId="43324"/>
    <cellStyle name="Data   - Opmaakprofiel2 2 12 6 5 2 5" xfId="52847"/>
    <cellStyle name="Data   - Opmaakprofiel2 2 12 6 5 3" xfId="12661"/>
    <cellStyle name="Data   - Opmaakprofiel2 2 12 6 5 4" xfId="14085"/>
    <cellStyle name="Data   - Opmaakprofiel2 2 12 6 5 5" xfId="46408"/>
    <cellStyle name="Data   - Opmaakprofiel2 2 12 6 5 6" xfId="37824"/>
    <cellStyle name="Data   - Opmaakprofiel2 2 12 6 6" xfId="4222"/>
    <cellStyle name="Data   - Opmaakprofiel2 2 12 6 6 2" xfId="7883"/>
    <cellStyle name="Data   - Opmaakprofiel2 2 12 6 6 2 2" xfId="20181"/>
    <cellStyle name="Data   - Opmaakprofiel2 2 12 6 6 2 3" xfId="32233"/>
    <cellStyle name="Data   - Opmaakprofiel2 2 12 6 6 2 4" xfId="31380"/>
    <cellStyle name="Data   - Opmaakprofiel2 2 12 6 6 2 5" xfId="52848"/>
    <cellStyle name="Data   - Opmaakprofiel2 2 12 6 6 3" xfId="12662"/>
    <cellStyle name="Data   - Opmaakprofiel2 2 12 6 6 4" xfId="14084"/>
    <cellStyle name="Data   - Opmaakprofiel2 2 12 6 6 5" xfId="40984"/>
    <cellStyle name="Data   - Opmaakprofiel2 2 12 6 6 6" xfId="44165"/>
    <cellStyle name="Data   - Opmaakprofiel2 2 12 6 7" xfId="4223"/>
    <cellStyle name="Data   - Opmaakprofiel2 2 12 6 7 2" xfId="12663"/>
    <cellStyle name="Data   - Opmaakprofiel2 2 12 6 7 3" xfId="4166"/>
    <cellStyle name="Data   - Opmaakprofiel2 2 12 6 7 4" xfId="46407"/>
    <cellStyle name="Data   - Opmaakprofiel2 2 12 6 7 5" xfId="41892"/>
    <cellStyle name="Data   - Opmaakprofiel2 2 12 6 8" xfId="7592"/>
    <cellStyle name="Data   - Opmaakprofiel2 2 12 6 8 2" xfId="19890"/>
    <cellStyle name="Data   - Opmaakprofiel2 2 12 6 8 3" xfId="41693"/>
    <cellStyle name="Data   - Opmaakprofiel2 2 12 6 8 4" xfId="31509"/>
    <cellStyle name="Data   - Opmaakprofiel2 2 12 6 8 5" xfId="52562"/>
    <cellStyle name="Data   - Opmaakprofiel2 2 12 6 9" xfId="12657"/>
    <cellStyle name="Data   - Opmaakprofiel2 2 12 7" xfId="1469"/>
    <cellStyle name="Data   - Opmaakprofiel2 2 12 7 2" xfId="7884"/>
    <cellStyle name="Data   - Opmaakprofiel2 2 12 7 2 2" xfId="20182"/>
    <cellStyle name="Data   - Opmaakprofiel2 2 12 7 2 3" xfId="32234"/>
    <cellStyle name="Data   - Opmaakprofiel2 2 12 7 2 4" xfId="43323"/>
    <cellStyle name="Data   - Opmaakprofiel2 2 12 7 2 5" xfId="52849"/>
    <cellStyle name="Data   - Opmaakprofiel2 2 12 7 3" xfId="12664"/>
    <cellStyle name="Data   - Opmaakprofiel2 2 12 7 4" xfId="14083"/>
    <cellStyle name="Data   - Opmaakprofiel2 2 12 7 5" xfId="40983"/>
    <cellStyle name="Data   - Opmaakprofiel2 2 12 7 6" xfId="37837"/>
    <cellStyle name="Data   - Opmaakprofiel2 2 12 8" xfId="2802"/>
    <cellStyle name="Data   - Opmaakprofiel2 2 12 8 2" xfId="7885"/>
    <cellStyle name="Data   - Opmaakprofiel2 2 12 8 2 2" xfId="20183"/>
    <cellStyle name="Data   - Opmaakprofiel2 2 12 8 2 3" xfId="32235"/>
    <cellStyle name="Data   - Opmaakprofiel2 2 12 8 2 4" xfId="25475"/>
    <cellStyle name="Data   - Opmaakprofiel2 2 12 8 2 5" xfId="52850"/>
    <cellStyle name="Data   - Opmaakprofiel2 2 12 8 3" xfId="12665"/>
    <cellStyle name="Data   - Opmaakprofiel2 2 12 8 4" xfId="14082"/>
    <cellStyle name="Data   - Opmaakprofiel2 2 12 8 5" xfId="40982"/>
    <cellStyle name="Data   - Opmaakprofiel2 2 12 8 6" xfId="44176"/>
    <cellStyle name="Data   - Opmaakprofiel2 2 12 9" xfId="3663"/>
    <cellStyle name="Data   - Opmaakprofiel2 2 12 9 2" xfId="7886"/>
    <cellStyle name="Data   - Opmaakprofiel2 2 12 9 2 2" xfId="20184"/>
    <cellStyle name="Data   - Opmaakprofiel2 2 12 9 2 3" xfId="32236"/>
    <cellStyle name="Data   - Opmaakprofiel2 2 12 9 2 4" xfId="43322"/>
    <cellStyle name="Data   - Opmaakprofiel2 2 12 9 2 5" xfId="52851"/>
    <cellStyle name="Data   - Opmaakprofiel2 2 12 9 3" xfId="12666"/>
    <cellStyle name="Data   - Opmaakprofiel2 2 12 9 4" xfId="14081"/>
    <cellStyle name="Data   - Opmaakprofiel2 2 12 9 5" xfId="40981"/>
    <cellStyle name="Data   - Opmaakprofiel2 2 12 9 6" xfId="37848"/>
    <cellStyle name="Data   - Opmaakprofiel2 2 13" xfId="701"/>
    <cellStyle name="Data   - Opmaakprofiel2 2 13 10" xfId="4224"/>
    <cellStyle name="Data   - Opmaakprofiel2 2 13 10 2" xfId="7887"/>
    <cellStyle name="Data   - Opmaakprofiel2 2 13 10 2 2" xfId="20185"/>
    <cellStyle name="Data   - Opmaakprofiel2 2 13 10 2 3" xfId="32237"/>
    <cellStyle name="Data   - Opmaakprofiel2 2 13 10 2 4" xfId="31381"/>
    <cellStyle name="Data   - Opmaakprofiel2 2 13 10 2 5" xfId="52852"/>
    <cellStyle name="Data   - Opmaakprofiel2 2 13 10 3" xfId="12668"/>
    <cellStyle name="Data   - Opmaakprofiel2 2 13 10 4" xfId="14079"/>
    <cellStyle name="Data   - Opmaakprofiel2 2 13 10 5" xfId="40980"/>
    <cellStyle name="Data   - Opmaakprofiel2 2 13 10 6" xfId="37857"/>
    <cellStyle name="Data   - Opmaakprofiel2 2 13 11" xfId="4225"/>
    <cellStyle name="Data   - Opmaakprofiel2 2 13 11 2" xfId="7888"/>
    <cellStyle name="Data   - Opmaakprofiel2 2 13 11 2 2" xfId="20186"/>
    <cellStyle name="Data   - Opmaakprofiel2 2 13 11 2 3" xfId="32238"/>
    <cellStyle name="Data   - Opmaakprofiel2 2 13 11 2 4" xfId="25482"/>
    <cellStyle name="Data   - Opmaakprofiel2 2 13 11 2 5" xfId="52853"/>
    <cellStyle name="Data   - Opmaakprofiel2 2 13 11 3" xfId="12669"/>
    <cellStyle name="Data   - Opmaakprofiel2 2 13 11 4" xfId="12482"/>
    <cellStyle name="Data   - Opmaakprofiel2 2 13 11 5" xfId="46406"/>
    <cellStyle name="Data   - Opmaakprofiel2 2 13 11 6" xfId="37860"/>
    <cellStyle name="Data   - Opmaakprofiel2 2 13 12" xfId="4226"/>
    <cellStyle name="Data   - Opmaakprofiel2 2 13 12 2" xfId="12670"/>
    <cellStyle name="Data   - Opmaakprofiel2 2 13 12 3" xfId="12537"/>
    <cellStyle name="Data   - Opmaakprofiel2 2 13 12 4" xfId="40979"/>
    <cellStyle name="Data   - Opmaakprofiel2 2 13 12 5" xfId="37867"/>
    <cellStyle name="Data   - Opmaakprofiel2 2 13 13" xfId="7513"/>
    <cellStyle name="Data   - Opmaakprofiel2 2 13 13 2" xfId="19811"/>
    <cellStyle name="Data   - Opmaakprofiel2 2 13 13 3" xfId="41614"/>
    <cellStyle name="Data   - Opmaakprofiel2 2 13 13 4" xfId="31942"/>
    <cellStyle name="Data   - Opmaakprofiel2 2 13 13 5" xfId="52483"/>
    <cellStyle name="Data   - Opmaakprofiel2 2 13 14" xfId="12667"/>
    <cellStyle name="Data   - Opmaakprofiel2 2 13 2" xfId="874"/>
    <cellStyle name="Data   - Opmaakprofiel2 2 13 2 2" xfId="1512"/>
    <cellStyle name="Data   - Opmaakprofiel2 2 13 2 2 2" xfId="7889"/>
    <cellStyle name="Data   - Opmaakprofiel2 2 13 2 2 2 2" xfId="20187"/>
    <cellStyle name="Data   - Opmaakprofiel2 2 13 2 2 2 3" xfId="32239"/>
    <cellStyle name="Data   - Opmaakprofiel2 2 13 2 2 2 4" xfId="31351"/>
    <cellStyle name="Data   - Opmaakprofiel2 2 13 2 2 2 5" xfId="52854"/>
    <cellStyle name="Data   - Opmaakprofiel2 2 13 2 2 3" xfId="12672"/>
    <cellStyle name="Data   - Opmaakprofiel2 2 13 2 2 4" xfId="12535"/>
    <cellStyle name="Data   - Opmaakprofiel2 2 13 2 2 5" xfId="40978"/>
    <cellStyle name="Data   - Opmaakprofiel2 2 13 2 2 6" xfId="37877"/>
    <cellStyle name="Data   - Opmaakprofiel2 2 13 2 3" xfId="2885"/>
    <cellStyle name="Data   - Opmaakprofiel2 2 13 2 3 2" xfId="7890"/>
    <cellStyle name="Data   - Opmaakprofiel2 2 13 2 3 2 2" xfId="20188"/>
    <cellStyle name="Data   - Opmaakprofiel2 2 13 2 3 2 3" xfId="32240"/>
    <cellStyle name="Data   - Opmaakprofiel2 2 13 2 3 2 4" xfId="43321"/>
    <cellStyle name="Data   - Opmaakprofiel2 2 13 2 3 2 5" xfId="52855"/>
    <cellStyle name="Data   - Opmaakprofiel2 2 13 2 3 3" xfId="12673"/>
    <cellStyle name="Data   - Opmaakprofiel2 2 13 2 3 4" xfId="12534"/>
    <cellStyle name="Data   - Opmaakprofiel2 2 13 2 3 5" xfId="46404"/>
    <cellStyle name="Data   - Opmaakprofiel2 2 13 2 3 6" xfId="37882"/>
    <cellStyle name="Data   - Opmaakprofiel2 2 13 2 4" xfId="3738"/>
    <cellStyle name="Data   - Opmaakprofiel2 2 13 2 4 2" xfId="7891"/>
    <cellStyle name="Data   - Opmaakprofiel2 2 13 2 4 2 2" xfId="20189"/>
    <cellStyle name="Data   - Opmaakprofiel2 2 13 2 4 2 3" xfId="32241"/>
    <cellStyle name="Data   - Opmaakprofiel2 2 13 2 4 2 4" xfId="25493"/>
    <cellStyle name="Data   - Opmaakprofiel2 2 13 2 4 2 5" xfId="52856"/>
    <cellStyle name="Data   - Opmaakprofiel2 2 13 2 4 3" xfId="12674"/>
    <cellStyle name="Data   - Opmaakprofiel2 2 13 2 4 4" xfId="12533"/>
    <cellStyle name="Data   - Opmaakprofiel2 2 13 2 4 5" xfId="40977"/>
    <cellStyle name="Data   - Opmaakprofiel2 2 13 2 4 6" xfId="44207"/>
    <cellStyle name="Data   - Opmaakprofiel2 2 13 2 5" xfId="4227"/>
    <cellStyle name="Data   - Opmaakprofiel2 2 13 2 5 2" xfId="7892"/>
    <cellStyle name="Data   - Opmaakprofiel2 2 13 2 5 2 2" xfId="20190"/>
    <cellStyle name="Data   - Opmaakprofiel2 2 13 2 5 2 3" xfId="32242"/>
    <cellStyle name="Data   - Opmaakprofiel2 2 13 2 5 2 4" xfId="43320"/>
    <cellStyle name="Data   - Opmaakprofiel2 2 13 2 5 2 5" xfId="52857"/>
    <cellStyle name="Data   - Opmaakprofiel2 2 13 2 5 3" xfId="12675"/>
    <cellStyle name="Data   - Opmaakprofiel2 2 13 2 5 4" xfId="12532"/>
    <cellStyle name="Data   - Opmaakprofiel2 2 13 2 5 5" xfId="46403"/>
    <cellStyle name="Data   - Opmaakprofiel2 2 13 2 5 6" xfId="37890"/>
    <cellStyle name="Data   - Opmaakprofiel2 2 13 2 6" xfId="4228"/>
    <cellStyle name="Data   - Opmaakprofiel2 2 13 2 6 2" xfId="7893"/>
    <cellStyle name="Data   - Opmaakprofiel2 2 13 2 6 2 2" xfId="20191"/>
    <cellStyle name="Data   - Opmaakprofiel2 2 13 2 6 2 3" xfId="32243"/>
    <cellStyle name="Data   - Opmaakprofiel2 2 13 2 6 2 4" xfId="34526"/>
    <cellStyle name="Data   - Opmaakprofiel2 2 13 2 6 2 5" xfId="52858"/>
    <cellStyle name="Data   - Opmaakprofiel2 2 13 2 6 3" xfId="12676"/>
    <cellStyle name="Data   - Opmaakprofiel2 2 13 2 6 4" xfId="12531"/>
    <cellStyle name="Data   - Opmaakprofiel2 2 13 2 6 5" xfId="40976"/>
    <cellStyle name="Data   - Opmaakprofiel2 2 13 2 6 6" xfId="37898"/>
    <cellStyle name="Data   - Opmaakprofiel2 2 13 2 7" xfId="4229"/>
    <cellStyle name="Data   - Opmaakprofiel2 2 13 2 7 2" xfId="12677"/>
    <cellStyle name="Data   - Opmaakprofiel2 2 13 2 7 3" xfId="12530"/>
    <cellStyle name="Data   - Opmaakprofiel2 2 13 2 7 4" xfId="40975"/>
    <cellStyle name="Data   - Opmaakprofiel2 2 13 2 7 5" xfId="37903"/>
    <cellStyle name="Data   - Opmaakprofiel2 2 13 2 8" xfId="10084"/>
    <cellStyle name="Data   - Opmaakprofiel2 2 13 2 8 2" xfId="22382"/>
    <cellStyle name="Data   - Opmaakprofiel2 2 13 2 8 3" xfId="44146"/>
    <cellStyle name="Data   - Opmaakprofiel2 2 13 2 8 4" xfId="42422"/>
    <cellStyle name="Data   - Opmaakprofiel2 2 13 2 8 5" xfId="55049"/>
    <cellStyle name="Data   - Opmaakprofiel2 2 13 2 9" xfId="12671"/>
    <cellStyle name="Data   - Opmaakprofiel2 2 13 3" xfId="417"/>
    <cellStyle name="Data   - Opmaakprofiel2 2 13 3 2" xfId="2051"/>
    <cellStyle name="Data   - Opmaakprofiel2 2 13 3 2 2" xfId="7894"/>
    <cellStyle name="Data   - Opmaakprofiel2 2 13 3 2 2 2" xfId="20192"/>
    <cellStyle name="Data   - Opmaakprofiel2 2 13 3 2 2 3" xfId="32244"/>
    <cellStyle name="Data   - Opmaakprofiel2 2 13 3 2 2 4" xfId="43319"/>
    <cellStyle name="Data   - Opmaakprofiel2 2 13 3 2 2 5" xfId="52859"/>
    <cellStyle name="Data   - Opmaakprofiel2 2 13 3 2 3" xfId="12679"/>
    <cellStyle name="Data   - Opmaakprofiel2 2 13 3 2 4" xfId="12528"/>
    <cellStyle name="Data   - Opmaakprofiel2 2 13 3 2 5" xfId="46402"/>
    <cellStyle name="Data   - Opmaakprofiel2 2 13 3 2 6" xfId="44224"/>
    <cellStyle name="Data   - Opmaakprofiel2 2 13 3 3" xfId="2488"/>
    <cellStyle name="Data   - Opmaakprofiel2 2 13 3 3 2" xfId="7895"/>
    <cellStyle name="Data   - Opmaakprofiel2 2 13 3 3 2 2" xfId="20193"/>
    <cellStyle name="Data   - Opmaakprofiel2 2 13 3 3 2 3" xfId="32245"/>
    <cellStyle name="Data   - Opmaakprofiel2 2 13 3 3 2 4" xfId="25497"/>
    <cellStyle name="Data   - Opmaakprofiel2 2 13 3 3 2 5" xfId="52860"/>
    <cellStyle name="Data   - Opmaakprofiel2 2 13 3 3 3" xfId="12680"/>
    <cellStyle name="Data   - Opmaakprofiel2 2 13 3 3 4" xfId="12527"/>
    <cellStyle name="Data   - Opmaakprofiel2 2 13 3 3 5" xfId="40973"/>
    <cellStyle name="Data   - Opmaakprofiel2 2 13 3 3 6" xfId="44229"/>
    <cellStyle name="Data   - Opmaakprofiel2 2 13 3 4" xfId="1418"/>
    <cellStyle name="Data   - Opmaakprofiel2 2 13 3 4 2" xfId="7896"/>
    <cellStyle name="Data   - Opmaakprofiel2 2 13 3 4 2 2" xfId="20194"/>
    <cellStyle name="Data   - Opmaakprofiel2 2 13 3 4 2 3" xfId="32246"/>
    <cellStyle name="Data   - Opmaakprofiel2 2 13 3 4 2 4" xfId="43318"/>
    <cellStyle name="Data   - Opmaakprofiel2 2 13 3 4 2 5" xfId="52861"/>
    <cellStyle name="Data   - Opmaakprofiel2 2 13 3 4 3" xfId="12681"/>
    <cellStyle name="Data   - Opmaakprofiel2 2 13 3 4 4" xfId="12526"/>
    <cellStyle name="Data   - Opmaakprofiel2 2 13 3 4 5" xfId="46401"/>
    <cellStyle name="Data   - Opmaakprofiel2 2 13 3 4 6" xfId="44231"/>
    <cellStyle name="Data   - Opmaakprofiel2 2 13 3 5" xfId="4230"/>
    <cellStyle name="Data   - Opmaakprofiel2 2 13 3 5 2" xfId="7897"/>
    <cellStyle name="Data   - Opmaakprofiel2 2 13 3 5 2 2" xfId="20195"/>
    <cellStyle name="Data   - Opmaakprofiel2 2 13 3 5 2 3" xfId="32247"/>
    <cellStyle name="Data   - Opmaakprofiel2 2 13 3 5 2 4" xfId="34411"/>
    <cellStyle name="Data   - Opmaakprofiel2 2 13 3 5 2 5" xfId="52862"/>
    <cellStyle name="Data   - Opmaakprofiel2 2 13 3 5 3" xfId="12682"/>
    <cellStyle name="Data   - Opmaakprofiel2 2 13 3 5 4" xfId="12525"/>
    <cellStyle name="Data   - Opmaakprofiel2 2 13 3 5 5" xfId="40972"/>
    <cellStyle name="Data   - Opmaakprofiel2 2 13 3 5 6" xfId="37922"/>
    <cellStyle name="Data   - Opmaakprofiel2 2 13 3 6" xfId="4231"/>
    <cellStyle name="Data   - Opmaakprofiel2 2 13 3 6 2" xfId="7898"/>
    <cellStyle name="Data   - Opmaakprofiel2 2 13 3 6 2 2" xfId="20196"/>
    <cellStyle name="Data   - Opmaakprofiel2 2 13 3 6 2 3" xfId="32248"/>
    <cellStyle name="Data   - Opmaakprofiel2 2 13 3 6 2 4" xfId="43317"/>
    <cellStyle name="Data   - Opmaakprofiel2 2 13 3 6 2 5" xfId="52863"/>
    <cellStyle name="Data   - Opmaakprofiel2 2 13 3 6 3" xfId="12683"/>
    <cellStyle name="Data   - Opmaakprofiel2 2 13 3 6 4" xfId="12524"/>
    <cellStyle name="Data   - Opmaakprofiel2 2 13 3 6 5" xfId="46400"/>
    <cellStyle name="Data   - Opmaakprofiel2 2 13 3 6 6" xfId="37923"/>
    <cellStyle name="Data   - Opmaakprofiel2 2 13 3 7" xfId="4232"/>
    <cellStyle name="Data   - Opmaakprofiel2 2 13 3 7 2" xfId="12684"/>
    <cellStyle name="Data   - Opmaakprofiel2 2 13 3 7 3" xfId="12523"/>
    <cellStyle name="Data   - Opmaakprofiel2 2 13 3 7 4" xfId="40971"/>
    <cellStyle name="Data   - Opmaakprofiel2 2 13 3 7 5" xfId="44232"/>
    <cellStyle name="Data   - Opmaakprofiel2 2 13 3 8" xfId="7704"/>
    <cellStyle name="Data   - Opmaakprofiel2 2 13 3 8 2" xfId="20002"/>
    <cellStyle name="Data   - Opmaakprofiel2 2 13 3 8 3" xfId="41805"/>
    <cellStyle name="Data   - Opmaakprofiel2 2 13 3 8 4" xfId="43398"/>
    <cellStyle name="Data   - Opmaakprofiel2 2 13 3 8 5" xfId="52674"/>
    <cellStyle name="Data   - Opmaakprofiel2 2 13 3 9" xfId="12678"/>
    <cellStyle name="Data   - Opmaakprofiel2 2 13 4" xfId="455"/>
    <cellStyle name="Data   - Opmaakprofiel2 2 13 4 2" xfId="2239"/>
    <cellStyle name="Data   - Opmaakprofiel2 2 13 4 2 2" xfId="7899"/>
    <cellStyle name="Data   - Opmaakprofiel2 2 13 4 2 2 2" xfId="20197"/>
    <cellStyle name="Data   - Opmaakprofiel2 2 13 4 2 2 3" xfId="32249"/>
    <cellStyle name="Data   - Opmaakprofiel2 2 13 4 2 2 4" xfId="25504"/>
    <cellStyle name="Data   - Opmaakprofiel2 2 13 4 2 2 5" xfId="52864"/>
    <cellStyle name="Data   - Opmaakprofiel2 2 13 4 2 3" xfId="12686"/>
    <cellStyle name="Data   - Opmaakprofiel2 2 13 4 2 4" xfId="12521"/>
    <cellStyle name="Data   - Opmaakprofiel2 2 13 4 2 5" xfId="40970"/>
    <cellStyle name="Data   - Opmaakprofiel2 2 13 4 2 6" xfId="37924"/>
    <cellStyle name="Data   - Opmaakprofiel2 2 13 4 3" xfId="2526"/>
    <cellStyle name="Data   - Opmaakprofiel2 2 13 4 3 2" xfId="7900"/>
    <cellStyle name="Data   - Opmaakprofiel2 2 13 4 3 2 2" xfId="20198"/>
    <cellStyle name="Data   - Opmaakprofiel2 2 13 4 3 2 3" xfId="32250"/>
    <cellStyle name="Data   - Opmaakprofiel2 2 13 4 3 2 4" xfId="31654"/>
    <cellStyle name="Data   - Opmaakprofiel2 2 13 4 3 2 5" xfId="52865"/>
    <cellStyle name="Data   - Opmaakprofiel2 2 13 4 3 3" xfId="12687"/>
    <cellStyle name="Data   - Opmaakprofiel2 2 13 4 3 4" xfId="12520"/>
    <cellStyle name="Data   - Opmaakprofiel2 2 13 4 3 5" xfId="46398"/>
    <cellStyle name="Data   - Opmaakprofiel2 2 13 4 3 6" xfId="44233"/>
    <cellStyle name="Data   - Opmaakprofiel2 2 13 4 4" xfId="3414"/>
    <cellStyle name="Data   - Opmaakprofiel2 2 13 4 4 2" xfId="7901"/>
    <cellStyle name="Data   - Opmaakprofiel2 2 13 4 4 2 2" xfId="20199"/>
    <cellStyle name="Data   - Opmaakprofiel2 2 13 4 4 2 3" xfId="32251"/>
    <cellStyle name="Data   - Opmaakprofiel2 2 13 4 4 2 4" xfId="25511"/>
    <cellStyle name="Data   - Opmaakprofiel2 2 13 4 4 2 5" xfId="52866"/>
    <cellStyle name="Data   - Opmaakprofiel2 2 13 4 4 3" xfId="12688"/>
    <cellStyle name="Data   - Opmaakprofiel2 2 13 4 4 4" xfId="12519"/>
    <cellStyle name="Data   - Opmaakprofiel2 2 13 4 4 5" xfId="40969"/>
    <cellStyle name="Data   - Opmaakprofiel2 2 13 4 4 6" xfId="37925"/>
    <cellStyle name="Data   - Opmaakprofiel2 2 13 4 5" xfId="4233"/>
    <cellStyle name="Data   - Opmaakprofiel2 2 13 4 5 2" xfId="7902"/>
    <cellStyle name="Data   - Opmaakprofiel2 2 13 4 5 2 2" xfId="20200"/>
    <cellStyle name="Data   - Opmaakprofiel2 2 13 4 5 2 3" xfId="32252"/>
    <cellStyle name="Data   - Opmaakprofiel2 2 13 4 5 2 4" xfId="43316"/>
    <cellStyle name="Data   - Opmaakprofiel2 2 13 4 5 2 5" xfId="52867"/>
    <cellStyle name="Data   - Opmaakprofiel2 2 13 4 5 3" xfId="12689"/>
    <cellStyle name="Data   - Opmaakprofiel2 2 13 4 5 4" xfId="12518"/>
    <cellStyle name="Data   - Opmaakprofiel2 2 13 4 5 5" xfId="40968"/>
    <cellStyle name="Data   - Opmaakprofiel2 2 13 4 5 6" xfId="37926"/>
    <cellStyle name="Data   - Opmaakprofiel2 2 13 4 6" xfId="4234"/>
    <cellStyle name="Data   - Opmaakprofiel2 2 13 4 6 2" xfId="7903"/>
    <cellStyle name="Data   - Opmaakprofiel2 2 13 4 6 2 2" xfId="20201"/>
    <cellStyle name="Data   - Opmaakprofiel2 2 13 4 6 2 3" xfId="32253"/>
    <cellStyle name="Data   - Opmaakprofiel2 2 13 4 6 2 4" xfId="31683"/>
    <cellStyle name="Data   - Opmaakprofiel2 2 13 4 6 2 5" xfId="52868"/>
    <cellStyle name="Data   - Opmaakprofiel2 2 13 4 6 3" xfId="12690"/>
    <cellStyle name="Data   - Opmaakprofiel2 2 13 4 6 4" xfId="12517"/>
    <cellStyle name="Data   - Opmaakprofiel2 2 13 4 6 5" xfId="40967"/>
    <cellStyle name="Data   - Opmaakprofiel2 2 13 4 6 6" xfId="37935"/>
    <cellStyle name="Data   - Opmaakprofiel2 2 13 4 7" xfId="4235"/>
    <cellStyle name="Data   - Opmaakprofiel2 2 13 4 7 2" xfId="12691"/>
    <cellStyle name="Data   - Opmaakprofiel2 2 13 4 7 3" xfId="12516"/>
    <cellStyle name="Data   - Opmaakprofiel2 2 13 4 7 4" xfId="46397"/>
    <cellStyle name="Data   - Opmaakprofiel2 2 13 4 7 5" xfId="37940"/>
    <cellStyle name="Data   - Opmaakprofiel2 2 13 4 8" xfId="7679"/>
    <cellStyle name="Data   - Opmaakprofiel2 2 13 4 8 2" xfId="19977"/>
    <cellStyle name="Data   - Opmaakprofiel2 2 13 4 8 3" xfId="41780"/>
    <cellStyle name="Data   - Opmaakprofiel2 2 13 4 8 4" xfId="25055"/>
    <cellStyle name="Data   - Opmaakprofiel2 2 13 4 8 5" xfId="52649"/>
    <cellStyle name="Data   - Opmaakprofiel2 2 13 4 9" xfId="12685"/>
    <cellStyle name="Data   - Opmaakprofiel2 2 13 5" xfId="425"/>
    <cellStyle name="Data   - Opmaakprofiel2 2 13 5 2" xfId="2273"/>
    <cellStyle name="Data   - Opmaakprofiel2 2 13 5 2 2" xfId="7904"/>
    <cellStyle name="Data   - Opmaakprofiel2 2 13 5 2 2 2" xfId="20202"/>
    <cellStyle name="Data   - Opmaakprofiel2 2 13 5 2 2 3" xfId="32254"/>
    <cellStyle name="Data   - Opmaakprofiel2 2 13 5 2 2 4" xfId="43315"/>
    <cellStyle name="Data   - Opmaakprofiel2 2 13 5 2 2 5" xfId="52869"/>
    <cellStyle name="Data   - Opmaakprofiel2 2 13 5 2 3" xfId="12693"/>
    <cellStyle name="Data   - Opmaakprofiel2 2 13 5 2 4" xfId="12514"/>
    <cellStyle name="Data   - Opmaakprofiel2 2 13 5 2 5" xfId="46396"/>
    <cellStyle name="Data   - Opmaakprofiel2 2 13 5 2 6" xfId="37951"/>
    <cellStyle name="Data   - Opmaakprofiel2 2 13 5 3" xfId="2496"/>
    <cellStyle name="Data   - Opmaakprofiel2 2 13 5 3 2" xfId="7905"/>
    <cellStyle name="Data   - Opmaakprofiel2 2 13 5 3 2 2" xfId="20203"/>
    <cellStyle name="Data   - Opmaakprofiel2 2 13 5 3 2 3" xfId="32255"/>
    <cellStyle name="Data   - Opmaakprofiel2 2 13 5 3 2 4" xfId="25518"/>
    <cellStyle name="Data   - Opmaakprofiel2 2 13 5 3 2 5" xfId="52870"/>
    <cellStyle name="Data   - Opmaakprofiel2 2 13 5 3 3" xfId="12694"/>
    <cellStyle name="Data   - Opmaakprofiel2 2 13 5 3 4" xfId="12513"/>
    <cellStyle name="Data   - Opmaakprofiel2 2 13 5 3 5" xfId="40965"/>
    <cellStyle name="Data   - Opmaakprofiel2 2 13 5 3 6" xfId="37956"/>
    <cellStyle name="Data   - Opmaakprofiel2 2 13 5 4" xfId="2426"/>
    <cellStyle name="Data   - Opmaakprofiel2 2 13 5 4 2" xfId="7906"/>
    <cellStyle name="Data   - Opmaakprofiel2 2 13 5 4 2 2" xfId="20204"/>
    <cellStyle name="Data   - Opmaakprofiel2 2 13 5 4 2 3" xfId="32256"/>
    <cellStyle name="Data   - Opmaakprofiel2 2 13 5 4 2 4" xfId="43314"/>
    <cellStyle name="Data   - Opmaakprofiel2 2 13 5 4 2 5" xfId="52871"/>
    <cellStyle name="Data   - Opmaakprofiel2 2 13 5 4 3" xfId="12695"/>
    <cellStyle name="Data   - Opmaakprofiel2 2 13 5 4 4" xfId="12512"/>
    <cellStyle name="Data   - Opmaakprofiel2 2 13 5 4 5" xfId="46395"/>
    <cellStyle name="Data   - Opmaakprofiel2 2 13 5 4 6" xfId="37961"/>
    <cellStyle name="Data   - Opmaakprofiel2 2 13 5 5" xfId="4236"/>
    <cellStyle name="Data   - Opmaakprofiel2 2 13 5 5 2" xfId="7907"/>
    <cellStyle name="Data   - Opmaakprofiel2 2 13 5 5 2 2" xfId="20205"/>
    <cellStyle name="Data   - Opmaakprofiel2 2 13 5 5 2 3" xfId="32257"/>
    <cellStyle name="Data   - Opmaakprofiel2 2 13 5 5 2 4" xfId="31539"/>
    <cellStyle name="Data   - Opmaakprofiel2 2 13 5 5 2 5" xfId="52872"/>
    <cellStyle name="Data   - Opmaakprofiel2 2 13 5 5 3" xfId="12696"/>
    <cellStyle name="Data   - Opmaakprofiel2 2 13 5 5 4" xfId="12511"/>
    <cellStyle name="Data   - Opmaakprofiel2 2 13 5 5 5" xfId="40964"/>
    <cellStyle name="Data   - Opmaakprofiel2 2 13 5 5 6" xfId="37966"/>
    <cellStyle name="Data   - Opmaakprofiel2 2 13 5 6" xfId="4237"/>
    <cellStyle name="Data   - Opmaakprofiel2 2 13 5 6 2" xfId="7908"/>
    <cellStyle name="Data   - Opmaakprofiel2 2 13 5 6 2 2" xfId="20206"/>
    <cellStyle name="Data   - Opmaakprofiel2 2 13 5 6 2 3" xfId="32258"/>
    <cellStyle name="Data   - Opmaakprofiel2 2 13 5 6 2 4" xfId="43313"/>
    <cellStyle name="Data   - Opmaakprofiel2 2 13 5 6 2 5" xfId="52873"/>
    <cellStyle name="Data   - Opmaakprofiel2 2 13 5 6 3" xfId="12697"/>
    <cellStyle name="Data   - Opmaakprofiel2 2 13 5 6 4" xfId="12510"/>
    <cellStyle name="Data   - Opmaakprofiel2 2 13 5 6 5" xfId="46394"/>
    <cellStyle name="Data   - Opmaakprofiel2 2 13 5 6 6" xfId="44263"/>
    <cellStyle name="Data   - Opmaakprofiel2 2 13 5 7" xfId="4238"/>
    <cellStyle name="Data   - Opmaakprofiel2 2 13 5 7 2" xfId="12698"/>
    <cellStyle name="Data   - Opmaakprofiel2 2 13 5 7 3" xfId="12509"/>
    <cellStyle name="Data   - Opmaakprofiel2 2 13 5 7 4" xfId="40963"/>
    <cellStyle name="Data   - Opmaakprofiel2 2 13 5 7 5" xfId="37977"/>
    <cellStyle name="Data   - Opmaakprofiel2 2 13 5 8" xfId="7699"/>
    <cellStyle name="Data   - Opmaakprofiel2 2 13 5 8 2" xfId="19997"/>
    <cellStyle name="Data   - Opmaakprofiel2 2 13 5 8 3" xfId="41800"/>
    <cellStyle name="Data   - Opmaakprofiel2 2 13 5 8 4" xfId="34656"/>
    <cellStyle name="Data   - Opmaakprofiel2 2 13 5 8 5" xfId="52669"/>
    <cellStyle name="Data   - Opmaakprofiel2 2 13 5 9" xfId="12692"/>
    <cellStyle name="Data   - Opmaakprofiel2 2 13 6" xfId="536"/>
    <cellStyle name="Data   - Opmaakprofiel2 2 13 6 2" xfId="1977"/>
    <cellStyle name="Data   - Opmaakprofiel2 2 13 6 2 2" xfId="7909"/>
    <cellStyle name="Data   - Opmaakprofiel2 2 13 6 2 2 2" xfId="20207"/>
    <cellStyle name="Data   - Opmaakprofiel2 2 13 6 2 2 3" xfId="32259"/>
    <cellStyle name="Data   - Opmaakprofiel2 2 13 6 2 2 4" xfId="25525"/>
    <cellStyle name="Data   - Opmaakprofiel2 2 13 6 2 2 5" xfId="52874"/>
    <cellStyle name="Data   - Opmaakprofiel2 2 13 6 2 3" xfId="12700"/>
    <cellStyle name="Data   - Opmaakprofiel2 2 13 6 2 4" xfId="12507"/>
    <cellStyle name="Data   - Opmaakprofiel2 2 13 6 2 5" xfId="40962"/>
    <cellStyle name="Data   - Opmaakprofiel2 2 13 6 2 6" xfId="37985"/>
    <cellStyle name="Data   - Opmaakprofiel2 2 13 6 3" xfId="2607"/>
    <cellStyle name="Data   - Opmaakprofiel2 2 13 6 3 2" xfId="7910"/>
    <cellStyle name="Data   - Opmaakprofiel2 2 13 6 3 2 2" xfId="20208"/>
    <cellStyle name="Data   - Opmaakprofiel2 2 13 6 3 2 3" xfId="32260"/>
    <cellStyle name="Data   - Opmaakprofiel2 2 13 6 3 2 4" xfId="43312"/>
    <cellStyle name="Data   - Opmaakprofiel2 2 13 6 3 2 5" xfId="52875"/>
    <cellStyle name="Data   - Opmaakprofiel2 2 13 6 3 3" xfId="12701"/>
    <cellStyle name="Data   - Opmaakprofiel2 2 13 6 3 4" xfId="12506"/>
    <cellStyle name="Data   - Opmaakprofiel2 2 13 6 3 5" xfId="40961"/>
    <cellStyle name="Data   - Opmaakprofiel2 2 13 6 3 6" xfId="37989"/>
    <cellStyle name="Data   - Opmaakprofiel2 2 13 6 4" xfId="3486"/>
    <cellStyle name="Data   - Opmaakprofiel2 2 13 6 4 2" xfId="7911"/>
    <cellStyle name="Data   - Opmaakprofiel2 2 13 6 4 2 2" xfId="20209"/>
    <cellStyle name="Data   - Opmaakprofiel2 2 13 6 4 2 3" xfId="32261"/>
    <cellStyle name="Data   - Opmaakprofiel2 2 13 6 4 2 4" xfId="31472"/>
    <cellStyle name="Data   - Opmaakprofiel2 2 13 6 4 2 5" xfId="52876"/>
    <cellStyle name="Data   - Opmaakprofiel2 2 13 6 4 3" xfId="12702"/>
    <cellStyle name="Data   - Opmaakprofiel2 2 13 6 4 4" xfId="12505"/>
    <cellStyle name="Data   - Opmaakprofiel2 2 13 6 4 5" xfId="40960"/>
    <cellStyle name="Data   - Opmaakprofiel2 2 13 6 4 6" xfId="37995"/>
    <cellStyle name="Data   - Opmaakprofiel2 2 13 6 5" xfId="4239"/>
    <cellStyle name="Data   - Opmaakprofiel2 2 13 6 5 2" xfId="7912"/>
    <cellStyle name="Data   - Opmaakprofiel2 2 13 6 5 2 2" xfId="20210"/>
    <cellStyle name="Data   - Opmaakprofiel2 2 13 6 5 2 3" xfId="32262"/>
    <cellStyle name="Data   - Opmaakprofiel2 2 13 6 5 2 4" xfId="34902"/>
    <cellStyle name="Data   - Opmaakprofiel2 2 13 6 5 2 5" xfId="52877"/>
    <cellStyle name="Data   - Opmaakprofiel2 2 13 6 5 3" xfId="12703"/>
    <cellStyle name="Data   - Opmaakprofiel2 2 13 6 5 4" xfId="12504"/>
    <cellStyle name="Data   - Opmaakprofiel2 2 13 6 5 5" xfId="46392"/>
    <cellStyle name="Data   - Opmaakprofiel2 2 13 6 5 6" xfId="38002"/>
    <cellStyle name="Data   - Opmaakprofiel2 2 13 6 6" xfId="4240"/>
    <cellStyle name="Data   - Opmaakprofiel2 2 13 6 6 2" xfId="7913"/>
    <cellStyle name="Data   - Opmaakprofiel2 2 13 6 6 2 2" xfId="20211"/>
    <cellStyle name="Data   - Opmaakprofiel2 2 13 6 6 2 3" xfId="32263"/>
    <cellStyle name="Data   - Opmaakprofiel2 2 13 6 6 2 4" xfId="25538"/>
    <cellStyle name="Data   - Opmaakprofiel2 2 13 6 6 2 5" xfId="52878"/>
    <cellStyle name="Data   - Opmaakprofiel2 2 13 6 6 3" xfId="12704"/>
    <cellStyle name="Data   - Opmaakprofiel2 2 13 6 6 4" xfId="12503"/>
    <cellStyle name="Data   - Opmaakprofiel2 2 13 6 6 5" xfId="40959"/>
    <cellStyle name="Data   - Opmaakprofiel2 2 13 6 6 6" xfId="38007"/>
    <cellStyle name="Data   - Opmaakprofiel2 2 13 6 7" xfId="4241"/>
    <cellStyle name="Data   - Opmaakprofiel2 2 13 6 7 2" xfId="12705"/>
    <cellStyle name="Data   - Opmaakprofiel2 2 13 6 7 3" xfId="12502"/>
    <cellStyle name="Data   - Opmaakprofiel2 2 13 6 7 4" xfId="46391"/>
    <cellStyle name="Data   - Opmaakprofiel2 2 13 6 7 5" xfId="38012"/>
    <cellStyle name="Data   - Opmaakprofiel2 2 13 6 8" xfId="7625"/>
    <cellStyle name="Data   - Opmaakprofiel2 2 13 6 8 2" xfId="19923"/>
    <cellStyle name="Data   - Opmaakprofiel2 2 13 6 8 3" xfId="41726"/>
    <cellStyle name="Data   - Opmaakprofiel2 2 13 6 8 4" xfId="24940"/>
    <cellStyle name="Data   - Opmaakprofiel2 2 13 6 8 5" xfId="52595"/>
    <cellStyle name="Data   - Opmaakprofiel2 2 13 6 9" xfId="12699"/>
    <cellStyle name="Data   - Opmaakprofiel2 2 13 7" xfId="2403"/>
    <cellStyle name="Data   - Opmaakprofiel2 2 13 7 2" xfId="7914"/>
    <cellStyle name="Data   - Opmaakprofiel2 2 13 7 2 2" xfId="20212"/>
    <cellStyle name="Data   - Opmaakprofiel2 2 13 7 2 3" xfId="32264"/>
    <cellStyle name="Data   - Opmaakprofiel2 2 13 7 2 4" xfId="43311"/>
    <cellStyle name="Data   - Opmaakprofiel2 2 13 7 2 5" xfId="52879"/>
    <cellStyle name="Data   - Opmaakprofiel2 2 13 7 3" xfId="12706"/>
    <cellStyle name="Data   - Opmaakprofiel2 2 13 7 4" xfId="12501"/>
    <cellStyle name="Data   - Opmaakprofiel2 2 13 7 5" xfId="40958"/>
    <cellStyle name="Data   - Opmaakprofiel2 2 13 7 6" xfId="38017"/>
    <cellStyle name="Data   - Opmaakprofiel2 2 13 8" xfId="2763"/>
    <cellStyle name="Data   - Opmaakprofiel2 2 13 8 2" xfId="7915"/>
    <cellStyle name="Data   - Opmaakprofiel2 2 13 8 2 2" xfId="20213"/>
    <cellStyle name="Data   - Opmaakprofiel2 2 13 8 2 3" xfId="32265"/>
    <cellStyle name="Data   - Opmaakprofiel2 2 13 8 2 4" xfId="31870"/>
    <cellStyle name="Data   - Opmaakprofiel2 2 13 8 2 5" xfId="52880"/>
    <cellStyle name="Data   - Opmaakprofiel2 2 13 8 3" xfId="12707"/>
    <cellStyle name="Data   - Opmaakprofiel2 2 13 8 4" xfId="12500"/>
    <cellStyle name="Data   - Opmaakprofiel2 2 13 8 5" xfId="46390"/>
    <cellStyle name="Data   - Opmaakprofiel2 2 13 8 6" xfId="38022"/>
    <cellStyle name="Data   - Opmaakprofiel2 2 13 9" xfId="3625"/>
    <cellStyle name="Data   - Opmaakprofiel2 2 13 9 2" xfId="7916"/>
    <cellStyle name="Data   - Opmaakprofiel2 2 13 9 2 2" xfId="20214"/>
    <cellStyle name="Data   - Opmaakprofiel2 2 13 9 2 3" xfId="32266"/>
    <cellStyle name="Data   - Opmaakprofiel2 2 13 9 2 4" xfId="43310"/>
    <cellStyle name="Data   - Opmaakprofiel2 2 13 9 2 5" xfId="52881"/>
    <cellStyle name="Data   - Opmaakprofiel2 2 13 9 3" xfId="12708"/>
    <cellStyle name="Data   - Opmaakprofiel2 2 13 9 4" xfId="12499"/>
    <cellStyle name="Data   - Opmaakprofiel2 2 13 9 5" xfId="40957"/>
    <cellStyle name="Data   - Opmaakprofiel2 2 13 9 6" xfId="38028"/>
    <cellStyle name="Data   - Opmaakprofiel2 2 14" xfId="782"/>
    <cellStyle name="Data   - Opmaakprofiel2 2 14 10" xfId="4242"/>
    <cellStyle name="Data   - Opmaakprofiel2 2 14 10 2" xfId="7917"/>
    <cellStyle name="Data   - Opmaakprofiel2 2 14 10 2 2" xfId="20215"/>
    <cellStyle name="Data   - Opmaakprofiel2 2 14 10 2 3" xfId="32267"/>
    <cellStyle name="Data   - Opmaakprofiel2 2 14 10 2 4" xfId="25542"/>
    <cellStyle name="Data   - Opmaakprofiel2 2 14 10 2 5" xfId="52882"/>
    <cellStyle name="Data   - Opmaakprofiel2 2 14 10 3" xfId="12710"/>
    <cellStyle name="Data   - Opmaakprofiel2 2 14 10 4" xfId="12497"/>
    <cellStyle name="Data   - Opmaakprofiel2 2 14 10 5" xfId="40956"/>
    <cellStyle name="Data   - Opmaakprofiel2 2 14 10 6" xfId="38037"/>
    <cellStyle name="Data   - Opmaakprofiel2 2 14 11" xfId="4243"/>
    <cellStyle name="Data   - Opmaakprofiel2 2 14 11 2" xfId="7918"/>
    <cellStyle name="Data   - Opmaakprofiel2 2 14 11 2 2" xfId="20216"/>
    <cellStyle name="Data   - Opmaakprofiel2 2 14 11 2 3" xfId="32268"/>
    <cellStyle name="Data   - Opmaakprofiel2 2 14 11 2 4" xfId="43309"/>
    <cellStyle name="Data   - Opmaakprofiel2 2 14 11 2 5" xfId="52883"/>
    <cellStyle name="Data   - Opmaakprofiel2 2 14 11 3" xfId="12711"/>
    <cellStyle name="Data   - Opmaakprofiel2 2 14 11 4" xfId="12496"/>
    <cellStyle name="Data   - Opmaakprofiel2 2 14 11 5" xfId="46388"/>
    <cellStyle name="Data   - Opmaakprofiel2 2 14 11 6" xfId="38042"/>
    <cellStyle name="Data   - Opmaakprofiel2 2 14 12" xfId="4244"/>
    <cellStyle name="Data   - Opmaakprofiel2 2 14 12 2" xfId="12712"/>
    <cellStyle name="Data   - Opmaakprofiel2 2 14 12 3" xfId="12495"/>
    <cellStyle name="Data   - Opmaakprofiel2 2 14 12 4" xfId="40955"/>
    <cellStyle name="Data   - Opmaakprofiel2 2 14 12 5" xfId="38047"/>
    <cellStyle name="Data   - Opmaakprofiel2 2 14 13" xfId="10147"/>
    <cellStyle name="Data   - Opmaakprofiel2 2 14 13 2" xfId="22445"/>
    <cellStyle name="Data   - Opmaakprofiel2 2 14 13 3" xfId="44209"/>
    <cellStyle name="Data   - Opmaakprofiel2 2 14 13 4" xfId="31780"/>
    <cellStyle name="Data   - Opmaakprofiel2 2 14 13 5" xfId="55112"/>
    <cellStyle name="Data   - Opmaakprofiel2 2 14 14" xfId="12709"/>
    <cellStyle name="Data   - Opmaakprofiel2 2 14 2" xfId="945"/>
    <cellStyle name="Data   - Opmaakprofiel2 2 14 2 2" xfId="2300"/>
    <cellStyle name="Data   - Opmaakprofiel2 2 14 2 2 2" xfId="7919"/>
    <cellStyle name="Data   - Opmaakprofiel2 2 14 2 2 2 2" xfId="20217"/>
    <cellStyle name="Data   - Opmaakprofiel2 2 14 2 2 2 3" xfId="32269"/>
    <cellStyle name="Data   - Opmaakprofiel2 2 14 2 2 2 4" xfId="34443"/>
    <cellStyle name="Data   - Opmaakprofiel2 2 14 2 2 2 5" xfId="52884"/>
    <cellStyle name="Data   - Opmaakprofiel2 2 14 2 2 3" xfId="12714"/>
    <cellStyle name="Data   - Opmaakprofiel2 2 14 2 2 4" xfId="12493"/>
    <cellStyle name="Data   - Opmaakprofiel2 2 14 2 2 5" xfId="40954"/>
    <cellStyle name="Data   - Opmaakprofiel2 2 14 2 2 6" xfId="44320"/>
    <cellStyle name="Data   - Opmaakprofiel2 2 14 2 3" xfId="2956"/>
    <cellStyle name="Data   - Opmaakprofiel2 2 14 2 3 2" xfId="7920"/>
    <cellStyle name="Data   - Opmaakprofiel2 2 14 2 3 2 2" xfId="20218"/>
    <cellStyle name="Data   - Opmaakprofiel2 2 14 2 3 2 3" xfId="32270"/>
    <cellStyle name="Data   - Opmaakprofiel2 2 14 2 3 2 4" xfId="43308"/>
    <cellStyle name="Data   - Opmaakprofiel2 2 14 2 3 2 5" xfId="52885"/>
    <cellStyle name="Data   - Opmaakprofiel2 2 14 2 3 3" xfId="12715"/>
    <cellStyle name="Data   - Opmaakprofiel2 2 14 2 3 4" xfId="12492"/>
    <cellStyle name="Data   - Opmaakprofiel2 2 14 2 3 5" xfId="46387"/>
    <cellStyle name="Data   - Opmaakprofiel2 2 14 2 3 6" xfId="38062"/>
    <cellStyle name="Data   - Opmaakprofiel2 2 14 2 4" xfId="3803"/>
    <cellStyle name="Data   - Opmaakprofiel2 2 14 2 4 2" xfId="7921"/>
    <cellStyle name="Data   - Opmaakprofiel2 2 14 2 4 2 2" xfId="20219"/>
    <cellStyle name="Data   - Opmaakprofiel2 2 14 2 4 2 3" xfId="32271"/>
    <cellStyle name="Data   - Opmaakprofiel2 2 14 2 4 2 4" xfId="25549"/>
    <cellStyle name="Data   - Opmaakprofiel2 2 14 2 4 2 5" xfId="52886"/>
    <cellStyle name="Data   - Opmaakprofiel2 2 14 2 4 3" xfId="12716"/>
    <cellStyle name="Data   - Opmaakprofiel2 2 14 2 4 4" xfId="12491"/>
    <cellStyle name="Data   - Opmaakprofiel2 2 14 2 4 5" xfId="40953"/>
    <cellStyle name="Data   - Opmaakprofiel2 2 14 2 4 6" xfId="38067"/>
    <cellStyle name="Data   - Opmaakprofiel2 2 14 2 5" xfId="4245"/>
    <cellStyle name="Data   - Opmaakprofiel2 2 14 2 5 2" xfId="7922"/>
    <cellStyle name="Data   - Opmaakprofiel2 2 14 2 5 2 2" xfId="20220"/>
    <cellStyle name="Data   - Opmaakprofiel2 2 14 2 5 2 3" xfId="32272"/>
    <cellStyle name="Data   - Opmaakprofiel2 2 14 2 5 2 4" xfId="43307"/>
    <cellStyle name="Data   - Opmaakprofiel2 2 14 2 5 2 5" xfId="52887"/>
    <cellStyle name="Data   - Opmaakprofiel2 2 14 2 5 3" xfId="12717"/>
    <cellStyle name="Data   - Opmaakprofiel2 2 14 2 5 4" xfId="12490"/>
    <cellStyle name="Data   - Opmaakprofiel2 2 14 2 5 5" xfId="46386"/>
    <cellStyle name="Data   - Opmaakprofiel2 2 14 2 5 6" xfId="38073"/>
    <cellStyle name="Data   - Opmaakprofiel2 2 14 2 6" xfId="4246"/>
    <cellStyle name="Data   - Opmaakprofiel2 2 14 2 6 2" xfId="7923"/>
    <cellStyle name="Data   - Opmaakprofiel2 2 14 2 6 2 2" xfId="20221"/>
    <cellStyle name="Data   - Opmaakprofiel2 2 14 2 6 2 3" xfId="32273"/>
    <cellStyle name="Data   - Opmaakprofiel2 2 14 2 6 2 4" xfId="31998"/>
    <cellStyle name="Data   - Opmaakprofiel2 2 14 2 6 2 5" xfId="52888"/>
    <cellStyle name="Data   - Opmaakprofiel2 2 14 2 6 3" xfId="12718"/>
    <cellStyle name="Data   - Opmaakprofiel2 2 14 2 6 4" xfId="12489"/>
    <cellStyle name="Data   - Opmaakprofiel2 2 14 2 6 5" xfId="40952"/>
    <cellStyle name="Data   - Opmaakprofiel2 2 14 2 6 6" xfId="38078"/>
    <cellStyle name="Data   - Opmaakprofiel2 2 14 2 7" xfId="4247"/>
    <cellStyle name="Data   - Opmaakprofiel2 2 14 2 7 2" xfId="12719"/>
    <cellStyle name="Data   - Opmaakprofiel2 2 14 2 7 3" xfId="12488"/>
    <cellStyle name="Data   - Opmaakprofiel2 2 14 2 7 4" xfId="46385"/>
    <cellStyle name="Data   - Opmaakprofiel2 2 14 2 7 5" xfId="38083"/>
    <cellStyle name="Data   - Opmaakprofiel2 2 14 2 8" xfId="7348"/>
    <cellStyle name="Data   - Opmaakprofiel2 2 14 2 8 2" xfId="19646"/>
    <cellStyle name="Data   - Opmaakprofiel2 2 14 2 8 3" xfId="41449"/>
    <cellStyle name="Data   - Opmaakprofiel2 2 14 2 8 4" xfId="36831"/>
    <cellStyle name="Data   - Opmaakprofiel2 2 14 2 8 5" xfId="52318"/>
    <cellStyle name="Data   - Opmaakprofiel2 2 14 2 9" xfId="12713"/>
    <cellStyle name="Data   - Opmaakprofiel2 2 14 3" xfId="1042"/>
    <cellStyle name="Data   - Opmaakprofiel2 2 14 3 2" xfId="2385"/>
    <cellStyle name="Data   - Opmaakprofiel2 2 14 3 2 2" xfId="7924"/>
    <cellStyle name="Data   - Opmaakprofiel2 2 14 3 2 2 2" xfId="20222"/>
    <cellStyle name="Data   - Opmaakprofiel2 2 14 3 2 2 3" xfId="32274"/>
    <cellStyle name="Data   - Opmaakprofiel2 2 14 3 2 2 4" xfId="25556"/>
    <cellStyle name="Data   - Opmaakprofiel2 2 14 3 2 2 5" xfId="52889"/>
    <cellStyle name="Data   - Opmaakprofiel2 2 14 3 2 3" xfId="12721"/>
    <cellStyle name="Data   - Opmaakprofiel2 2 14 3 2 4" xfId="12486"/>
    <cellStyle name="Data   - Opmaakprofiel2 2 14 3 2 5" xfId="46384"/>
    <cellStyle name="Data   - Opmaakprofiel2 2 14 3 2 6" xfId="44345"/>
    <cellStyle name="Data   - Opmaakprofiel2 2 14 3 3" xfId="3053"/>
    <cellStyle name="Data   - Opmaakprofiel2 2 14 3 3 2" xfId="7925"/>
    <cellStyle name="Data   - Opmaakprofiel2 2 14 3 3 2 2" xfId="20223"/>
    <cellStyle name="Data   - Opmaakprofiel2 2 14 3 3 2 3" xfId="32275"/>
    <cellStyle name="Data   - Opmaakprofiel2 2 14 3 3 2 4" xfId="31596"/>
    <cellStyle name="Data   - Opmaakprofiel2 2 14 3 3 2 5" xfId="52890"/>
    <cellStyle name="Data   - Opmaakprofiel2 2 14 3 3 3" xfId="12722"/>
    <cellStyle name="Data   - Opmaakprofiel2 2 14 3 3 4" xfId="12485"/>
    <cellStyle name="Data   - Opmaakprofiel2 2 14 3 3 5" xfId="40950"/>
    <cellStyle name="Data   - Opmaakprofiel2 2 14 3 3 6" xfId="44348"/>
    <cellStyle name="Data   - Opmaakprofiel2 2 14 3 4" xfId="3894"/>
    <cellStyle name="Data   - Opmaakprofiel2 2 14 3 4 2" xfId="7926"/>
    <cellStyle name="Data   - Opmaakprofiel2 2 14 3 4 2 2" xfId="20224"/>
    <cellStyle name="Data   - Opmaakprofiel2 2 14 3 4 2 3" xfId="32276"/>
    <cellStyle name="Data   - Opmaakprofiel2 2 14 3 4 2 4" xfId="43306"/>
    <cellStyle name="Data   - Opmaakprofiel2 2 14 3 4 2 5" xfId="52891"/>
    <cellStyle name="Data   - Opmaakprofiel2 2 14 3 4 3" xfId="12723"/>
    <cellStyle name="Data   - Opmaakprofiel2 2 14 3 4 4" xfId="12484"/>
    <cellStyle name="Data   - Opmaakprofiel2 2 14 3 4 5" xfId="46383"/>
    <cellStyle name="Data   - Opmaakprofiel2 2 14 3 4 6" xfId="38103"/>
    <cellStyle name="Data   - Opmaakprofiel2 2 14 3 5" xfId="4248"/>
    <cellStyle name="Data   - Opmaakprofiel2 2 14 3 5 2" xfId="7927"/>
    <cellStyle name="Data   - Opmaakprofiel2 2 14 3 5 2 2" xfId="20225"/>
    <cellStyle name="Data   - Opmaakprofiel2 2 14 3 5 2 3" xfId="32277"/>
    <cellStyle name="Data   - Opmaakprofiel2 2 14 3 5 2 4" xfId="25563"/>
    <cellStyle name="Data   - Opmaakprofiel2 2 14 3 5 2 5" xfId="52892"/>
    <cellStyle name="Data   - Opmaakprofiel2 2 14 3 5 3" xfId="12724"/>
    <cellStyle name="Data   - Opmaakprofiel2 2 14 3 5 4" xfId="24776"/>
    <cellStyle name="Data   - Opmaakprofiel2 2 14 3 5 5" xfId="40949"/>
    <cellStyle name="Data   - Opmaakprofiel2 2 14 3 5 6" xfId="38108"/>
    <cellStyle name="Data   - Opmaakprofiel2 2 14 3 6" xfId="4249"/>
    <cellStyle name="Data   - Opmaakprofiel2 2 14 3 6 2" xfId="7928"/>
    <cellStyle name="Data   - Opmaakprofiel2 2 14 3 6 2 2" xfId="20226"/>
    <cellStyle name="Data   - Opmaakprofiel2 2 14 3 6 2 3" xfId="32278"/>
    <cellStyle name="Data   - Opmaakprofiel2 2 14 3 6 2 4" xfId="43305"/>
    <cellStyle name="Data   - Opmaakprofiel2 2 14 3 6 2 5" xfId="52893"/>
    <cellStyle name="Data   - Opmaakprofiel2 2 14 3 6 3" xfId="12725"/>
    <cellStyle name="Data   - Opmaakprofiel2 2 14 3 6 4" xfId="24777"/>
    <cellStyle name="Data   - Opmaakprofiel2 2 14 3 6 5" xfId="40948"/>
    <cellStyle name="Data   - Opmaakprofiel2 2 14 3 6 6" xfId="44359"/>
    <cellStyle name="Data   - Opmaakprofiel2 2 14 3 7" xfId="4250"/>
    <cellStyle name="Data   - Opmaakprofiel2 2 14 3 7 2" xfId="12726"/>
    <cellStyle name="Data   - Opmaakprofiel2 2 14 3 7 3" xfId="24778"/>
    <cellStyle name="Data   - Opmaakprofiel2 2 14 3 7 4" xfId="40947"/>
    <cellStyle name="Data   - Opmaakprofiel2 2 14 3 7 5" xfId="38119"/>
    <cellStyle name="Data   - Opmaakprofiel2 2 14 3 8" xfId="7281"/>
    <cellStyle name="Data   - Opmaakprofiel2 2 14 3 8 2" xfId="19579"/>
    <cellStyle name="Data   - Opmaakprofiel2 2 14 3 8 3" xfId="41382"/>
    <cellStyle name="Data   - Opmaakprofiel2 2 14 3 8 4" xfId="36870"/>
    <cellStyle name="Data   - Opmaakprofiel2 2 14 3 8 5" xfId="52251"/>
    <cellStyle name="Data   - Opmaakprofiel2 2 14 3 9" xfId="12720"/>
    <cellStyle name="Data   - Opmaakprofiel2 2 14 4" xfId="1092"/>
    <cellStyle name="Data   - Opmaakprofiel2 2 14 4 2" xfId="1549"/>
    <cellStyle name="Data   - Opmaakprofiel2 2 14 4 2 2" xfId="7929"/>
    <cellStyle name="Data   - Opmaakprofiel2 2 14 4 2 2 2" xfId="20227"/>
    <cellStyle name="Data   - Opmaakprofiel2 2 14 4 2 2 3" xfId="32279"/>
    <cellStyle name="Data   - Opmaakprofiel2 2 14 4 2 2 4" xfId="34620"/>
    <cellStyle name="Data   - Opmaakprofiel2 2 14 4 2 2 5" xfId="52894"/>
    <cellStyle name="Data   - Opmaakprofiel2 2 14 4 2 3" xfId="12728"/>
    <cellStyle name="Data   - Opmaakprofiel2 2 14 4 2 4" xfId="24780"/>
    <cellStyle name="Data   - Opmaakprofiel2 2 14 4 2 5" xfId="40946"/>
    <cellStyle name="Data   - Opmaakprofiel2 2 14 4 2 6" xfId="38130"/>
    <cellStyle name="Data   - Opmaakprofiel2 2 14 4 3" xfId="3103"/>
    <cellStyle name="Data   - Opmaakprofiel2 2 14 4 3 2" xfId="7930"/>
    <cellStyle name="Data   - Opmaakprofiel2 2 14 4 3 2 2" xfId="20228"/>
    <cellStyle name="Data   - Opmaakprofiel2 2 14 4 3 2 3" xfId="32280"/>
    <cellStyle name="Data   - Opmaakprofiel2 2 14 4 3 2 4" xfId="43304"/>
    <cellStyle name="Data   - Opmaakprofiel2 2 14 4 3 2 5" xfId="52895"/>
    <cellStyle name="Data   - Opmaakprofiel2 2 14 4 3 3" xfId="12729"/>
    <cellStyle name="Data   - Opmaakprofiel2 2 14 4 3 4" xfId="24781"/>
    <cellStyle name="Data   - Opmaakprofiel2 2 14 4 3 5" xfId="46381"/>
    <cellStyle name="Data   - Opmaakprofiel2 2 14 4 3 6" xfId="38135"/>
    <cellStyle name="Data   - Opmaakprofiel2 2 14 4 4" xfId="3940"/>
    <cellStyle name="Data   - Opmaakprofiel2 2 14 4 4 2" xfId="7931"/>
    <cellStyle name="Data   - Opmaakprofiel2 2 14 4 4 2 2" xfId="20229"/>
    <cellStyle name="Data   - Opmaakprofiel2 2 14 4 4 2 3" xfId="32281"/>
    <cellStyle name="Data   - Opmaakprofiel2 2 14 4 4 2 4" xfId="25570"/>
    <cellStyle name="Data   - Opmaakprofiel2 2 14 4 4 2 5" xfId="52896"/>
    <cellStyle name="Data   - Opmaakprofiel2 2 14 4 4 3" xfId="12730"/>
    <cellStyle name="Data   - Opmaakprofiel2 2 14 4 4 4" xfId="24782"/>
    <cellStyle name="Data   - Opmaakprofiel2 2 14 4 4 5" xfId="40945"/>
    <cellStyle name="Data   - Opmaakprofiel2 2 14 4 4 6" xfId="38139"/>
    <cellStyle name="Data   - Opmaakprofiel2 2 14 4 5" xfId="4251"/>
    <cellStyle name="Data   - Opmaakprofiel2 2 14 4 5 2" xfId="7932"/>
    <cellStyle name="Data   - Opmaakprofiel2 2 14 4 5 2 2" xfId="20230"/>
    <cellStyle name="Data   - Opmaakprofiel2 2 14 4 5 2 3" xfId="32282"/>
    <cellStyle name="Data   - Opmaakprofiel2 2 14 4 5 2 4" xfId="43303"/>
    <cellStyle name="Data   - Opmaakprofiel2 2 14 4 5 2 5" xfId="52897"/>
    <cellStyle name="Data   - Opmaakprofiel2 2 14 4 5 3" xfId="12731"/>
    <cellStyle name="Data   - Opmaakprofiel2 2 14 4 5 4" xfId="24783"/>
    <cellStyle name="Data   - Opmaakprofiel2 2 14 4 5 5" xfId="46380"/>
    <cellStyle name="Data   - Opmaakprofiel2 2 14 4 5 6" xfId="38145"/>
    <cellStyle name="Data   - Opmaakprofiel2 2 14 4 6" xfId="4252"/>
    <cellStyle name="Data   - Opmaakprofiel2 2 14 4 6 2" xfId="7933"/>
    <cellStyle name="Data   - Opmaakprofiel2 2 14 4 6 2 2" xfId="20231"/>
    <cellStyle name="Data   - Opmaakprofiel2 2 14 4 6 2 3" xfId="32283"/>
    <cellStyle name="Data   - Opmaakprofiel2 2 14 4 6 2 4" xfId="31451"/>
    <cellStyle name="Data   - Opmaakprofiel2 2 14 4 6 2 5" xfId="52898"/>
    <cellStyle name="Data   - Opmaakprofiel2 2 14 4 6 3" xfId="12732"/>
    <cellStyle name="Data   - Opmaakprofiel2 2 14 4 6 4" xfId="24784"/>
    <cellStyle name="Data   - Opmaakprofiel2 2 14 4 6 5" xfId="40944"/>
    <cellStyle name="Data   - Opmaakprofiel2 2 14 4 6 6" xfId="38150"/>
    <cellStyle name="Data   - Opmaakprofiel2 2 14 4 7" xfId="4253"/>
    <cellStyle name="Data   - Opmaakprofiel2 2 14 4 7 2" xfId="12733"/>
    <cellStyle name="Data   - Opmaakprofiel2 2 14 4 7 3" xfId="24785"/>
    <cellStyle name="Data   - Opmaakprofiel2 2 14 4 7 4" xfId="46379"/>
    <cellStyle name="Data   - Opmaakprofiel2 2 14 4 7 5" xfId="38155"/>
    <cellStyle name="Data   - Opmaakprofiel2 2 14 4 8" xfId="7248"/>
    <cellStyle name="Data   - Opmaakprofiel2 2 14 4 8 2" xfId="19546"/>
    <cellStyle name="Data   - Opmaakprofiel2 2 14 4 8 3" xfId="41349"/>
    <cellStyle name="Data   - Opmaakprofiel2 2 14 4 8 4" xfId="43588"/>
    <cellStyle name="Data   - Opmaakprofiel2 2 14 4 8 5" xfId="52218"/>
    <cellStyle name="Data   - Opmaakprofiel2 2 14 4 9" xfId="12727"/>
    <cellStyle name="Data   - Opmaakprofiel2 2 14 5" xfId="1213"/>
    <cellStyle name="Data   - Opmaakprofiel2 2 14 5 2" xfId="2422"/>
    <cellStyle name="Data   - Opmaakprofiel2 2 14 5 2 2" xfId="7934"/>
    <cellStyle name="Data   - Opmaakprofiel2 2 14 5 2 2 2" xfId="20232"/>
    <cellStyle name="Data   - Opmaakprofiel2 2 14 5 2 2 3" xfId="32284"/>
    <cellStyle name="Data   - Opmaakprofiel2 2 14 5 2 2 4" xfId="43302"/>
    <cellStyle name="Data   - Opmaakprofiel2 2 14 5 2 2 5" xfId="52899"/>
    <cellStyle name="Data   - Opmaakprofiel2 2 14 5 2 3" xfId="12735"/>
    <cellStyle name="Data   - Opmaakprofiel2 2 14 5 2 4" xfId="24787"/>
    <cellStyle name="Data   - Opmaakprofiel2 2 14 5 2 5" xfId="46378"/>
    <cellStyle name="Data   - Opmaakprofiel2 2 14 5 2 6" xfId="44394"/>
    <cellStyle name="Data   - Opmaakprofiel2 2 14 5 3" xfId="3224"/>
    <cellStyle name="Data   - Opmaakprofiel2 2 14 5 3 2" xfId="7935"/>
    <cellStyle name="Data   - Opmaakprofiel2 2 14 5 3 2 2" xfId="20233"/>
    <cellStyle name="Data   - Opmaakprofiel2 2 14 5 3 2 3" xfId="32285"/>
    <cellStyle name="Data   - Opmaakprofiel2 2 14 5 3 2 4" xfId="25580"/>
    <cellStyle name="Data   - Opmaakprofiel2 2 14 5 3 2 5" xfId="52900"/>
    <cellStyle name="Data   - Opmaakprofiel2 2 14 5 3 3" xfId="12736"/>
    <cellStyle name="Data   - Opmaakprofiel2 2 14 5 3 4" xfId="24788"/>
    <cellStyle name="Data   - Opmaakprofiel2 2 14 5 3 5" xfId="40942"/>
    <cellStyle name="Data   - Opmaakprofiel2 2 14 5 3 6" xfId="44397"/>
    <cellStyle name="Data   - Opmaakprofiel2 2 14 5 4" xfId="4039"/>
    <cellStyle name="Data   - Opmaakprofiel2 2 14 5 4 2" xfId="7936"/>
    <cellStyle name="Data   - Opmaakprofiel2 2 14 5 4 2 2" xfId="20234"/>
    <cellStyle name="Data   - Opmaakprofiel2 2 14 5 4 2 3" xfId="32286"/>
    <cellStyle name="Data   - Opmaakprofiel2 2 14 5 4 2 4" xfId="34534"/>
    <cellStyle name="Data   - Opmaakprofiel2 2 14 5 4 2 5" xfId="52901"/>
    <cellStyle name="Data   - Opmaakprofiel2 2 14 5 4 3" xfId="12737"/>
    <cellStyle name="Data   - Opmaakprofiel2 2 14 5 4 4" xfId="24789"/>
    <cellStyle name="Data   - Opmaakprofiel2 2 14 5 4 5" xfId="40941"/>
    <cellStyle name="Data   - Opmaakprofiel2 2 14 5 4 6" xfId="38179"/>
    <cellStyle name="Data   - Opmaakprofiel2 2 14 5 5" xfId="4254"/>
    <cellStyle name="Data   - Opmaakprofiel2 2 14 5 5 2" xfId="7937"/>
    <cellStyle name="Data   - Opmaakprofiel2 2 14 5 5 2 2" xfId="20235"/>
    <cellStyle name="Data   - Opmaakprofiel2 2 14 5 5 2 3" xfId="32287"/>
    <cellStyle name="Data   - Opmaakprofiel2 2 14 5 5 2 4" xfId="43301"/>
    <cellStyle name="Data   - Opmaakprofiel2 2 14 5 5 2 5" xfId="52902"/>
    <cellStyle name="Data   - Opmaakprofiel2 2 14 5 5 3" xfId="12738"/>
    <cellStyle name="Data   - Opmaakprofiel2 2 14 5 5 4" xfId="24790"/>
    <cellStyle name="Data   - Opmaakprofiel2 2 14 5 5 5" xfId="40940"/>
    <cellStyle name="Data   - Opmaakprofiel2 2 14 5 5 6" xfId="38184"/>
    <cellStyle name="Data   - Opmaakprofiel2 2 14 5 6" xfId="4255"/>
    <cellStyle name="Data   - Opmaakprofiel2 2 14 5 6 2" xfId="7938"/>
    <cellStyle name="Data   - Opmaakprofiel2 2 14 5 6 2 2" xfId="20236"/>
    <cellStyle name="Data   - Opmaakprofiel2 2 14 5 6 2 3" xfId="32288"/>
    <cellStyle name="Data   - Opmaakprofiel2 2 14 5 6 2 4" xfId="25584"/>
    <cellStyle name="Data   - Opmaakprofiel2 2 14 5 6 2 5" xfId="52903"/>
    <cellStyle name="Data   - Opmaakprofiel2 2 14 5 6 3" xfId="12739"/>
    <cellStyle name="Data   - Opmaakprofiel2 2 14 5 6 4" xfId="24791"/>
    <cellStyle name="Data   - Opmaakprofiel2 2 14 5 6 5" xfId="46377"/>
    <cellStyle name="Data   - Opmaakprofiel2 2 14 5 6 6" xfId="38189"/>
    <cellStyle name="Data   - Opmaakprofiel2 2 14 5 7" xfId="4256"/>
    <cellStyle name="Data   - Opmaakprofiel2 2 14 5 7 2" xfId="12740"/>
    <cellStyle name="Data   - Opmaakprofiel2 2 14 5 7 3" xfId="24792"/>
    <cellStyle name="Data   - Opmaakprofiel2 2 14 5 7 4" xfId="40939"/>
    <cellStyle name="Data   - Opmaakprofiel2 2 14 5 7 5" xfId="44413"/>
    <cellStyle name="Data   - Opmaakprofiel2 2 14 5 8" xfId="7161"/>
    <cellStyle name="Data   - Opmaakprofiel2 2 14 5 8 2" xfId="19459"/>
    <cellStyle name="Data   - Opmaakprofiel2 2 14 5 8 3" xfId="41262"/>
    <cellStyle name="Data   - Opmaakprofiel2 2 14 5 8 4" xfId="36940"/>
    <cellStyle name="Data   - Opmaakprofiel2 2 14 5 8 5" xfId="52131"/>
    <cellStyle name="Data   - Opmaakprofiel2 2 14 5 9" xfId="12734"/>
    <cellStyle name="Data   - Opmaakprofiel2 2 14 6" xfId="922"/>
    <cellStyle name="Data   - Opmaakprofiel2 2 14 6 2" xfId="2243"/>
    <cellStyle name="Data   - Opmaakprofiel2 2 14 6 2 2" xfId="7939"/>
    <cellStyle name="Data   - Opmaakprofiel2 2 14 6 2 2 2" xfId="20237"/>
    <cellStyle name="Data   - Opmaakprofiel2 2 14 6 2 2 3" xfId="32289"/>
    <cellStyle name="Data   - Opmaakprofiel2 2 14 6 2 2 4" xfId="43300"/>
    <cellStyle name="Data   - Opmaakprofiel2 2 14 6 2 2 5" xfId="52904"/>
    <cellStyle name="Data   - Opmaakprofiel2 2 14 6 2 3" xfId="12742"/>
    <cellStyle name="Data   - Opmaakprofiel2 2 14 6 2 4" xfId="24794"/>
    <cellStyle name="Data   - Opmaakprofiel2 2 14 6 2 5" xfId="40938"/>
    <cellStyle name="Data   - Opmaakprofiel2 2 14 6 2 6" xfId="38204"/>
    <cellStyle name="Data   - Opmaakprofiel2 2 14 6 3" xfId="2933"/>
    <cellStyle name="Data   - Opmaakprofiel2 2 14 6 3 2" xfId="7940"/>
    <cellStyle name="Data   - Opmaakprofiel2 2 14 6 3 2 2" xfId="20238"/>
    <cellStyle name="Data   - Opmaakprofiel2 2 14 6 3 2 3" xfId="32290"/>
    <cellStyle name="Data   - Opmaakprofiel2 2 14 6 3 2 4" xfId="31729"/>
    <cellStyle name="Data   - Opmaakprofiel2 2 14 6 3 2 5" xfId="52905"/>
    <cellStyle name="Data   - Opmaakprofiel2 2 14 6 3 3" xfId="12743"/>
    <cellStyle name="Data   - Opmaakprofiel2 2 14 6 3 4" xfId="24795"/>
    <cellStyle name="Data   - Opmaakprofiel2 2 14 6 3 5" xfId="46375"/>
    <cellStyle name="Data   - Opmaakprofiel2 2 14 6 3 6" xfId="38205"/>
    <cellStyle name="Data   - Opmaakprofiel2 2 14 6 4" xfId="3784"/>
    <cellStyle name="Data   - Opmaakprofiel2 2 14 6 4 2" xfId="7941"/>
    <cellStyle name="Data   - Opmaakprofiel2 2 14 6 4 2 2" xfId="20239"/>
    <cellStyle name="Data   - Opmaakprofiel2 2 14 6 4 2 3" xfId="32291"/>
    <cellStyle name="Data   - Opmaakprofiel2 2 14 6 4 2 4" xfId="43299"/>
    <cellStyle name="Data   - Opmaakprofiel2 2 14 6 4 2 5" xfId="52906"/>
    <cellStyle name="Data   - Opmaakprofiel2 2 14 6 4 3" xfId="12744"/>
    <cellStyle name="Data   - Opmaakprofiel2 2 14 6 4 4" xfId="24796"/>
    <cellStyle name="Data   - Opmaakprofiel2 2 14 6 4 5" xfId="40937"/>
    <cellStyle name="Data   - Opmaakprofiel2 2 14 6 4 6" xfId="38212"/>
    <cellStyle name="Data   - Opmaakprofiel2 2 14 6 5" xfId="4257"/>
    <cellStyle name="Data   - Opmaakprofiel2 2 14 6 5 2" xfId="7942"/>
    <cellStyle name="Data   - Opmaakprofiel2 2 14 6 5 2 2" xfId="20240"/>
    <cellStyle name="Data   - Opmaakprofiel2 2 14 6 5 2 3" xfId="32292"/>
    <cellStyle name="Data   - Opmaakprofiel2 2 14 6 5 2 4" xfId="25591"/>
    <cellStyle name="Data   - Opmaakprofiel2 2 14 6 5 2 5" xfId="52907"/>
    <cellStyle name="Data   - Opmaakprofiel2 2 14 6 5 3" xfId="12745"/>
    <cellStyle name="Data   - Opmaakprofiel2 2 14 6 5 4" xfId="24797"/>
    <cellStyle name="Data   - Opmaakprofiel2 2 14 6 5 5" xfId="46374"/>
    <cellStyle name="Data   - Opmaakprofiel2 2 14 6 5 6" xfId="44429"/>
    <cellStyle name="Data   - Opmaakprofiel2 2 14 6 6" xfId="4258"/>
    <cellStyle name="Data   - Opmaakprofiel2 2 14 6 6 2" xfId="7943"/>
    <cellStyle name="Data   - Opmaakprofiel2 2 14 6 6 2 2" xfId="20241"/>
    <cellStyle name="Data   - Opmaakprofiel2 2 14 6 6 2 3" xfId="32293"/>
    <cellStyle name="Data   - Opmaakprofiel2 2 14 6 6 2 4" xfId="43298"/>
    <cellStyle name="Data   - Opmaakprofiel2 2 14 6 6 2 5" xfId="52908"/>
    <cellStyle name="Data   - Opmaakprofiel2 2 14 6 6 3" xfId="12746"/>
    <cellStyle name="Data   - Opmaakprofiel2 2 14 6 6 4" xfId="24798"/>
    <cellStyle name="Data   - Opmaakprofiel2 2 14 6 6 5" xfId="40936"/>
    <cellStyle name="Data   - Opmaakprofiel2 2 14 6 6 6" xfId="44434"/>
    <cellStyle name="Data   - Opmaakprofiel2 2 14 6 7" xfId="4259"/>
    <cellStyle name="Data   - Opmaakprofiel2 2 14 6 7 2" xfId="12747"/>
    <cellStyle name="Data   - Opmaakprofiel2 2 14 6 7 3" xfId="24799"/>
    <cellStyle name="Data   - Opmaakprofiel2 2 14 6 7 4" xfId="46373"/>
    <cellStyle name="Data   - Opmaakprofiel2 2 14 6 7 5" xfId="44437"/>
    <cellStyle name="Data   - Opmaakprofiel2 2 14 6 8" xfId="10052"/>
    <cellStyle name="Data   - Opmaakprofiel2 2 14 6 8 2" xfId="22350"/>
    <cellStyle name="Data   - Opmaakprofiel2 2 14 6 8 3" xfId="44114"/>
    <cellStyle name="Data   - Opmaakprofiel2 2 14 6 8 4" xfId="28514"/>
    <cellStyle name="Data   - Opmaakprofiel2 2 14 6 8 5" xfId="55017"/>
    <cellStyle name="Data   - Opmaakprofiel2 2 14 6 9" xfId="12741"/>
    <cellStyle name="Data   - Opmaakprofiel2 2 14 7" xfId="1649"/>
    <cellStyle name="Data   - Opmaakprofiel2 2 14 7 2" xfId="7944"/>
    <cellStyle name="Data   - Opmaakprofiel2 2 14 7 2 2" xfId="20242"/>
    <cellStyle name="Data   - Opmaakprofiel2 2 14 7 2 3" xfId="32294"/>
    <cellStyle name="Data   - Opmaakprofiel2 2 14 7 2 4" xfId="31663"/>
    <cellStyle name="Data   - Opmaakprofiel2 2 14 7 2 5" xfId="52909"/>
    <cellStyle name="Data   - Opmaakprofiel2 2 14 7 3" xfId="12748"/>
    <cellStyle name="Data   - Opmaakprofiel2 2 14 7 4" xfId="24800"/>
    <cellStyle name="Data   - Opmaakprofiel2 2 14 7 5" xfId="40935"/>
    <cellStyle name="Data   - Opmaakprofiel2 2 14 7 6" xfId="38234"/>
    <cellStyle name="Data   - Opmaakprofiel2 2 14 8" xfId="2812"/>
    <cellStyle name="Data   - Opmaakprofiel2 2 14 8 2" xfId="7945"/>
    <cellStyle name="Data   - Opmaakprofiel2 2 14 8 2 2" xfId="20243"/>
    <cellStyle name="Data   - Opmaakprofiel2 2 14 8 2 3" xfId="32295"/>
    <cellStyle name="Data   - Opmaakprofiel2 2 14 8 2 4" xfId="43297"/>
    <cellStyle name="Data   - Opmaakprofiel2 2 14 8 2 5" xfId="52910"/>
    <cellStyle name="Data   - Opmaakprofiel2 2 14 8 3" xfId="12749"/>
    <cellStyle name="Data   - Opmaakprofiel2 2 14 8 4" xfId="24801"/>
    <cellStyle name="Data   - Opmaakprofiel2 2 14 8 5" xfId="40934"/>
    <cellStyle name="Data   - Opmaakprofiel2 2 14 8 6" xfId="38237"/>
    <cellStyle name="Data   - Opmaakprofiel2 2 14 9" xfId="3671"/>
    <cellStyle name="Data   - Opmaakprofiel2 2 14 9 2" xfId="7946"/>
    <cellStyle name="Data   - Opmaakprofiel2 2 14 9 2 2" xfId="20244"/>
    <cellStyle name="Data   - Opmaakprofiel2 2 14 9 2 3" xfId="32296"/>
    <cellStyle name="Data   - Opmaakprofiel2 2 14 9 2 4" xfId="25598"/>
    <cellStyle name="Data   - Opmaakprofiel2 2 14 9 2 5" xfId="52911"/>
    <cellStyle name="Data   - Opmaakprofiel2 2 14 9 3" xfId="12750"/>
    <cellStyle name="Data   - Opmaakprofiel2 2 14 9 4" xfId="24802"/>
    <cellStyle name="Data   - Opmaakprofiel2 2 14 9 5" xfId="40933"/>
    <cellStyle name="Data   - Opmaakprofiel2 2 14 9 6" xfId="38244"/>
    <cellStyle name="Data   - Opmaakprofiel2 2 15" xfId="778"/>
    <cellStyle name="Data   - Opmaakprofiel2 2 15 10" xfId="4260"/>
    <cellStyle name="Data   - Opmaakprofiel2 2 15 10 2" xfId="7947"/>
    <cellStyle name="Data   - Opmaakprofiel2 2 15 10 2 2" xfId="20245"/>
    <cellStyle name="Data   - Opmaakprofiel2 2 15 10 2 3" xfId="32297"/>
    <cellStyle name="Data   - Opmaakprofiel2 2 15 10 2 4" xfId="31900"/>
    <cellStyle name="Data   - Opmaakprofiel2 2 15 10 2 5" xfId="52912"/>
    <cellStyle name="Data   - Opmaakprofiel2 2 15 10 3" xfId="12752"/>
    <cellStyle name="Data   - Opmaakprofiel2 2 15 10 4" xfId="24804"/>
    <cellStyle name="Data   - Opmaakprofiel2 2 15 10 5" xfId="40932"/>
    <cellStyle name="Data   - Opmaakprofiel2 2 15 10 6" xfId="38253"/>
    <cellStyle name="Data   - Opmaakprofiel2 2 15 11" xfId="4261"/>
    <cellStyle name="Data   - Opmaakprofiel2 2 15 11 2" xfId="7948"/>
    <cellStyle name="Data   - Opmaakprofiel2 2 15 11 2 2" xfId="20246"/>
    <cellStyle name="Data   - Opmaakprofiel2 2 15 11 2 3" xfId="32298"/>
    <cellStyle name="Data   - Opmaakprofiel2 2 15 11 2 4" xfId="25605"/>
    <cellStyle name="Data   - Opmaakprofiel2 2 15 11 2 5" xfId="52913"/>
    <cellStyle name="Data   - Opmaakprofiel2 2 15 11 3" xfId="12753"/>
    <cellStyle name="Data   - Opmaakprofiel2 2 15 11 4" xfId="24805"/>
    <cellStyle name="Data   - Opmaakprofiel2 2 15 11 5" xfId="46371"/>
    <cellStyle name="Data   - Opmaakprofiel2 2 15 11 6" xfId="44457"/>
    <cellStyle name="Data   - Opmaakprofiel2 2 15 12" xfId="4262"/>
    <cellStyle name="Data   - Opmaakprofiel2 2 15 12 2" xfId="12754"/>
    <cellStyle name="Data   - Opmaakprofiel2 2 15 12 3" xfId="24806"/>
    <cellStyle name="Data   - Opmaakprofiel2 2 15 12 4" xfId="40931"/>
    <cellStyle name="Data   - Opmaakprofiel2 2 15 12 5" xfId="38264"/>
    <cellStyle name="Data   - Opmaakprofiel2 2 15 13" xfId="10152"/>
    <cellStyle name="Data   - Opmaakprofiel2 2 15 13 2" xfId="22450"/>
    <cellStyle name="Data   - Opmaakprofiel2 2 15 13 3" xfId="44214"/>
    <cellStyle name="Data   - Opmaakprofiel2 2 15 13 4" xfId="42394"/>
    <cellStyle name="Data   - Opmaakprofiel2 2 15 13 5" xfId="55117"/>
    <cellStyle name="Data   - Opmaakprofiel2 2 15 14" xfId="12751"/>
    <cellStyle name="Data   - Opmaakprofiel2 2 15 2" xfId="941"/>
    <cellStyle name="Data   - Opmaakprofiel2 2 15 2 2" xfId="1738"/>
    <cellStyle name="Data   - Opmaakprofiel2 2 15 2 2 2" xfId="7949"/>
    <cellStyle name="Data   - Opmaakprofiel2 2 15 2 2 2 2" xfId="20247"/>
    <cellStyle name="Data   - Opmaakprofiel2 2 15 2 2 2 3" xfId="32299"/>
    <cellStyle name="Data   - Opmaakprofiel2 2 15 2 2 2 4" xfId="43296"/>
    <cellStyle name="Data   - Opmaakprofiel2 2 15 2 2 2 5" xfId="52914"/>
    <cellStyle name="Data   - Opmaakprofiel2 2 15 2 2 3" xfId="12756"/>
    <cellStyle name="Data   - Opmaakprofiel2 2 15 2 2 4" xfId="24808"/>
    <cellStyle name="Data   - Opmaakprofiel2 2 15 2 2 5" xfId="40930"/>
    <cellStyle name="Data   - Opmaakprofiel2 2 15 2 2 6" xfId="38274"/>
    <cellStyle name="Data   - Opmaakprofiel2 2 15 2 3" xfId="2952"/>
    <cellStyle name="Data   - Opmaakprofiel2 2 15 2 3 2" xfId="7950"/>
    <cellStyle name="Data   - Opmaakprofiel2 2 15 2 3 2 2" xfId="20248"/>
    <cellStyle name="Data   - Opmaakprofiel2 2 15 2 3 2 3" xfId="32300"/>
    <cellStyle name="Data   - Opmaakprofiel2 2 15 2 3 2 4" xfId="31544"/>
    <cellStyle name="Data   - Opmaakprofiel2 2 15 2 3 2 5" xfId="52915"/>
    <cellStyle name="Data   - Opmaakprofiel2 2 15 2 3 3" xfId="12757"/>
    <cellStyle name="Data   - Opmaakprofiel2 2 15 2 3 4" xfId="24809"/>
    <cellStyle name="Data   - Opmaakprofiel2 2 15 2 3 5" xfId="46369"/>
    <cellStyle name="Data   - Opmaakprofiel2 2 15 2 3 6" xfId="38278"/>
    <cellStyle name="Data   - Opmaakprofiel2 2 15 2 4" xfId="3800"/>
    <cellStyle name="Data   - Opmaakprofiel2 2 15 2 4 2" xfId="7951"/>
    <cellStyle name="Data   - Opmaakprofiel2 2 15 2 4 2 2" xfId="20249"/>
    <cellStyle name="Data   - Opmaakprofiel2 2 15 2 4 2 3" xfId="32301"/>
    <cellStyle name="Data   - Opmaakprofiel2 2 15 2 4 2 4" xfId="43295"/>
    <cellStyle name="Data   - Opmaakprofiel2 2 15 2 4 2 5" xfId="52916"/>
    <cellStyle name="Data   - Opmaakprofiel2 2 15 2 4 3" xfId="12758"/>
    <cellStyle name="Data   - Opmaakprofiel2 2 15 2 4 4" xfId="24810"/>
    <cellStyle name="Data   - Opmaakprofiel2 2 15 2 4 5" xfId="40929"/>
    <cellStyle name="Data   - Opmaakprofiel2 2 15 2 4 6" xfId="44470"/>
    <cellStyle name="Data   - Opmaakprofiel2 2 15 2 5" xfId="4263"/>
    <cellStyle name="Data   - Opmaakprofiel2 2 15 2 5 2" xfId="7952"/>
    <cellStyle name="Data   - Opmaakprofiel2 2 15 2 5 2 2" xfId="20250"/>
    <cellStyle name="Data   - Opmaakprofiel2 2 15 2 5 2 3" xfId="32302"/>
    <cellStyle name="Data   - Opmaakprofiel2 2 15 2 5 2 4" xfId="25612"/>
    <cellStyle name="Data   - Opmaakprofiel2 2 15 2 5 2 5" xfId="52917"/>
    <cellStyle name="Data   - Opmaakprofiel2 2 15 2 5 3" xfId="12759"/>
    <cellStyle name="Data   - Opmaakprofiel2 2 15 2 5 4" xfId="24811"/>
    <cellStyle name="Data   - Opmaakprofiel2 2 15 2 5 5" xfId="46368"/>
    <cellStyle name="Data   - Opmaakprofiel2 2 15 2 5 6" xfId="38286"/>
    <cellStyle name="Data   - Opmaakprofiel2 2 15 2 6" xfId="4264"/>
    <cellStyle name="Data   - Opmaakprofiel2 2 15 2 6 2" xfId="7953"/>
    <cellStyle name="Data   - Opmaakprofiel2 2 15 2 6 2 2" xfId="20251"/>
    <cellStyle name="Data   - Opmaakprofiel2 2 15 2 6 2 3" xfId="32303"/>
    <cellStyle name="Data   - Opmaakprofiel2 2 15 2 6 2 4" xfId="43294"/>
    <cellStyle name="Data   - Opmaakprofiel2 2 15 2 6 2 5" xfId="52918"/>
    <cellStyle name="Data   - Opmaakprofiel2 2 15 2 6 3" xfId="12760"/>
    <cellStyle name="Data   - Opmaakprofiel2 2 15 2 6 4" xfId="24812"/>
    <cellStyle name="Data   - Opmaakprofiel2 2 15 2 6 5" xfId="40928"/>
    <cellStyle name="Data   - Opmaakprofiel2 2 15 2 6 6" xfId="44477"/>
    <cellStyle name="Data   - Opmaakprofiel2 2 15 2 7" xfId="4265"/>
    <cellStyle name="Data   - Opmaakprofiel2 2 15 2 7 2" xfId="12761"/>
    <cellStyle name="Data   - Opmaakprofiel2 2 15 2 7 3" xfId="24813"/>
    <cellStyle name="Data   - Opmaakprofiel2 2 15 2 7 4" xfId="40927"/>
    <cellStyle name="Data   - Opmaakprofiel2 2 15 2 7 5" xfId="44479"/>
    <cellStyle name="Data   - Opmaakprofiel2 2 15 2 8" xfId="7351"/>
    <cellStyle name="Data   - Opmaakprofiel2 2 15 2 8 2" xfId="19649"/>
    <cellStyle name="Data   - Opmaakprofiel2 2 15 2 8 3" xfId="41452"/>
    <cellStyle name="Data   - Opmaakprofiel2 2 15 2 8 4" xfId="36829"/>
    <cellStyle name="Data   - Opmaakprofiel2 2 15 2 8 5" xfId="52321"/>
    <cellStyle name="Data   - Opmaakprofiel2 2 15 2 9" xfId="12755"/>
    <cellStyle name="Data   - Opmaakprofiel2 2 15 3" xfId="1038"/>
    <cellStyle name="Data   - Opmaakprofiel2 2 15 3 2" xfId="2172"/>
    <cellStyle name="Data   - Opmaakprofiel2 2 15 3 2 2" xfId="7954"/>
    <cellStyle name="Data   - Opmaakprofiel2 2 15 3 2 2 2" xfId="20252"/>
    <cellStyle name="Data   - Opmaakprofiel2 2 15 3 2 2 3" xfId="32304"/>
    <cellStyle name="Data   - Opmaakprofiel2 2 15 3 2 2 4" xfId="31579"/>
    <cellStyle name="Data   - Opmaakprofiel2 2 15 3 2 2 5" xfId="52919"/>
    <cellStyle name="Data   - Opmaakprofiel2 2 15 3 2 3" xfId="12763"/>
    <cellStyle name="Data   - Opmaakprofiel2 2 15 3 2 4" xfId="24815"/>
    <cellStyle name="Data   - Opmaakprofiel2 2 15 3 2 5" xfId="46367"/>
    <cellStyle name="Data   - Opmaakprofiel2 2 15 3 2 6" xfId="38303"/>
    <cellStyle name="Data   - Opmaakprofiel2 2 15 3 3" xfId="3049"/>
    <cellStyle name="Data   - Opmaakprofiel2 2 15 3 3 2" xfId="7955"/>
    <cellStyle name="Data   - Opmaakprofiel2 2 15 3 3 2 2" xfId="20253"/>
    <cellStyle name="Data   - Opmaakprofiel2 2 15 3 3 2 3" xfId="32305"/>
    <cellStyle name="Data   - Opmaakprofiel2 2 15 3 3 2 4" xfId="25622"/>
    <cellStyle name="Data   - Opmaakprofiel2 2 15 3 3 2 5" xfId="52920"/>
    <cellStyle name="Data   - Opmaakprofiel2 2 15 3 3 3" xfId="12764"/>
    <cellStyle name="Data   - Opmaakprofiel2 2 15 3 3 4" xfId="24816"/>
    <cellStyle name="Data   - Opmaakprofiel2 2 15 3 3 5" xfId="40926"/>
    <cellStyle name="Data   - Opmaakprofiel2 2 15 3 3 6" xfId="44490"/>
    <cellStyle name="Data   - Opmaakprofiel2 2 15 3 4" xfId="3890"/>
    <cellStyle name="Data   - Opmaakprofiel2 2 15 3 4 2" xfId="7956"/>
    <cellStyle name="Data   - Opmaakprofiel2 2 15 3 4 2 2" xfId="20254"/>
    <cellStyle name="Data   - Opmaakprofiel2 2 15 3 4 2 3" xfId="32306"/>
    <cellStyle name="Data   - Opmaakprofiel2 2 15 3 4 2 4" xfId="43293"/>
    <cellStyle name="Data   - Opmaakprofiel2 2 15 3 4 2 5" xfId="52921"/>
    <cellStyle name="Data   - Opmaakprofiel2 2 15 3 4 3" xfId="12765"/>
    <cellStyle name="Data   - Opmaakprofiel2 2 15 3 4 4" xfId="24817"/>
    <cellStyle name="Data   - Opmaakprofiel2 2 15 3 4 5" xfId="46366"/>
    <cellStyle name="Data   - Opmaakprofiel2 2 15 3 4 6" xfId="44493"/>
    <cellStyle name="Data   - Opmaakprofiel2 2 15 3 5" xfId="4266"/>
    <cellStyle name="Data   - Opmaakprofiel2 2 15 3 5 2" xfId="7957"/>
    <cellStyle name="Data   - Opmaakprofiel2 2 15 3 5 2 2" xfId="20255"/>
    <cellStyle name="Data   - Opmaakprofiel2 2 15 3 5 2 3" xfId="32307"/>
    <cellStyle name="Data   - Opmaakprofiel2 2 15 3 5 2 4" xfId="31878"/>
    <cellStyle name="Data   - Opmaakprofiel2 2 15 3 5 2 5" xfId="52922"/>
    <cellStyle name="Data   - Opmaakprofiel2 2 15 3 5 3" xfId="12766"/>
    <cellStyle name="Data   - Opmaakprofiel2 2 15 3 5 4" xfId="24818"/>
    <cellStyle name="Data   - Opmaakprofiel2 2 15 3 5 5" xfId="40925"/>
    <cellStyle name="Data   - Opmaakprofiel2 2 15 3 5 6" xfId="44497"/>
    <cellStyle name="Data   - Opmaakprofiel2 2 15 3 6" xfId="4267"/>
    <cellStyle name="Data   - Opmaakprofiel2 2 15 3 6 2" xfId="7958"/>
    <cellStyle name="Data   - Opmaakprofiel2 2 15 3 6 2 2" xfId="20256"/>
    <cellStyle name="Data   - Opmaakprofiel2 2 15 3 6 2 3" xfId="32308"/>
    <cellStyle name="Data   - Opmaakprofiel2 2 15 3 6 2 4" xfId="43292"/>
    <cellStyle name="Data   - Opmaakprofiel2 2 15 3 6 2 5" xfId="52923"/>
    <cellStyle name="Data   - Opmaakprofiel2 2 15 3 6 3" xfId="12767"/>
    <cellStyle name="Data   - Opmaakprofiel2 2 15 3 6 4" xfId="24819"/>
    <cellStyle name="Data   - Opmaakprofiel2 2 15 3 6 5" xfId="46365"/>
    <cellStyle name="Data   - Opmaakprofiel2 2 15 3 6 6" xfId="44499"/>
    <cellStyle name="Data   - Opmaakprofiel2 2 15 3 7" xfId="4268"/>
    <cellStyle name="Data   - Opmaakprofiel2 2 15 3 7 2" xfId="12768"/>
    <cellStyle name="Data   - Opmaakprofiel2 2 15 3 7 3" xfId="24820"/>
    <cellStyle name="Data   - Opmaakprofiel2 2 15 3 7 4" xfId="40924"/>
    <cellStyle name="Data   - Opmaakprofiel2 2 15 3 7 5" xfId="38323"/>
    <cellStyle name="Data   - Opmaakprofiel2 2 15 3 8" xfId="9972"/>
    <cellStyle name="Data   - Opmaakprofiel2 2 15 3 8 2" xfId="22270"/>
    <cellStyle name="Data   - Opmaakprofiel2 2 15 3 8 3" xfId="44035"/>
    <cellStyle name="Data   - Opmaakprofiel2 2 15 3 8 4" xfId="42469"/>
    <cellStyle name="Data   - Opmaakprofiel2 2 15 3 8 5" xfId="54937"/>
    <cellStyle name="Data   - Opmaakprofiel2 2 15 3 9" xfId="12762"/>
    <cellStyle name="Data   - Opmaakprofiel2 2 15 4" xfId="594"/>
    <cellStyle name="Data   - Opmaakprofiel2 2 15 4 2" xfId="1620"/>
    <cellStyle name="Data   - Opmaakprofiel2 2 15 4 2 2" xfId="7959"/>
    <cellStyle name="Data   - Opmaakprofiel2 2 15 4 2 2 2" xfId="20257"/>
    <cellStyle name="Data   - Opmaakprofiel2 2 15 4 2 2 3" xfId="32309"/>
    <cellStyle name="Data   - Opmaakprofiel2 2 15 4 2 2 4" xfId="25626"/>
    <cellStyle name="Data   - Opmaakprofiel2 2 15 4 2 2 5" xfId="52924"/>
    <cellStyle name="Data   - Opmaakprofiel2 2 15 4 2 3" xfId="12770"/>
    <cellStyle name="Data   - Opmaakprofiel2 2 15 4 2 4" xfId="24822"/>
    <cellStyle name="Data   - Opmaakprofiel2 2 15 4 2 5" xfId="40923"/>
    <cellStyle name="Data   - Opmaakprofiel2 2 15 4 2 6" xfId="44511"/>
    <cellStyle name="Data   - Opmaakprofiel2 2 15 4 3" xfId="2665"/>
    <cellStyle name="Data   - Opmaakprofiel2 2 15 4 3 2" xfId="7960"/>
    <cellStyle name="Data   - Opmaakprofiel2 2 15 4 3 2 2" xfId="20258"/>
    <cellStyle name="Data   - Opmaakprofiel2 2 15 4 3 2 3" xfId="32310"/>
    <cellStyle name="Data   - Opmaakprofiel2 2 15 4 3 2 4" xfId="43291"/>
    <cellStyle name="Data   - Opmaakprofiel2 2 15 4 3 2 5" xfId="52925"/>
    <cellStyle name="Data   - Opmaakprofiel2 2 15 4 3 3" xfId="12771"/>
    <cellStyle name="Data   - Opmaakprofiel2 2 15 4 3 4" xfId="24823"/>
    <cellStyle name="Data   - Opmaakprofiel2 2 15 4 3 5" xfId="46363"/>
    <cellStyle name="Data   - Opmaakprofiel2 2 15 4 3 6" xfId="38334"/>
    <cellStyle name="Data   - Opmaakprofiel2 2 15 4 4" xfId="3539"/>
    <cellStyle name="Data   - Opmaakprofiel2 2 15 4 4 2" xfId="7961"/>
    <cellStyle name="Data   - Opmaakprofiel2 2 15 4 4 2 2" xfId="20259"/>
    <cellStyle name="Data   - Opmaakprofiel2 2 15 4 4 2 3" xfId="32311"/>
    <cellStyle name="Data   - Opmaakprofiel2 2 15 4 4 2 4" xfId="31758"/>
    <cellStyle name="Data   - Opmaakprofiel2 2 15 4 4 2 5" xfId="52926"/>
    <cellStyle name="Data   - Opmaakprofiel2 2 15 4 4 3" xfId="12772"/>
    <cellStyle name="Data   - Opmaakprofiel2 2 15 4 4 4" xfId="24824"/>
    <cellStyle name="Data   - Opmaakprofiel2 2 15 4 4 5" xfId="40922"/>
    <cellStyle name="Data   - Opmaakprofiel2 2 15 4 4 6" xfId="44517"/>
    <cellStyle name="Data   - Opmaakprofiel2 2 15 4 5" xfId="4269"/>
    <cellStyle name="Data   - Opmaakprofiel2 2 15 4 5 2" xfId="7962"/>
    <cellStyle name="Data   - Opmaakprofiel2 2 15 4 5 2 2" xfId="20260"/>
    <cellStyle name="Data   - Opmaakprofiel2 2 15 4 5 2 3" xfId="32312"/>
    <cellStyle name="Data   - Opmaakprofiel2 2 15 4 5 2 4" xfId="43290"/>
    <cellStyle name="Data   - Opmaakprofiel2 2 15 4 5 2 5" xfId="52927"/>
    <cellStyle name="Data   - Opmaakprofiel2 2 15 4 5 3" xfId="12773"/>
    <cellStyle name="Data   - Opmaakprofiel2 2 15 4 5 4" xfId="24825"/>
    <cellStyle name="Data   - Opmaakprofiel2 2 15 4 5 5" xfId="40921"/>
    <cellStyle name="Data   - Opmaakprofiel2 2 15 4 5 6" xfId="44519"/>
    <cellStyle name="Data   - Opmaakprofiel2 2 15 4 6" xfId="4270"/>
    <cellStyle name="Data   - Opmaakprofiel2 2 15 4 6 2" xfId="7963"/>
    <cellStyle name="Data   - Opmaakprofiel2 2 15 4 6 2 2" xfId="20261"/>
    <cellStyle name="Data   - Opmaakprofiel2 2 15 4 6 2 3" xfId="32313"/>
    <cellStyle name="Data   - Opmaakprofiel2 2 15 4 6 2 4" xfId="25633"/>
    <cellStyle name="Data   - Opmaakprofiel2 2 15 4 6 2 5" xfId="52928"/>
    <cellStyle name="Data   - Opmaakprofiel2 2 15 4 6 3" xfId="12774"/>
    <cellStyle name="Data   - Opmaakprofiel2 2 15 4 6 4" xfId="24826"/>
    <cellStyle name="Data   - Opmaakprofiel2 2 15 4 6 5" xfId="40920"/>
    <cellStyle name="Data   - Opmaakprofiel2 2 15 4 6 6" xfId="38348"/>
    <cellStyle name="Data   - Opmaakprofiel2 2 15 4 7" xfId="4271"/>
    <cellStyle name="Data   - Opmaakprofiel2 2 15 4 7 2" xfId="12775"/>
    <cellStyle name="Data   - Opmaakprofiel2 2 15 4 7 3" xfId="24827"/>
    <cellStyle name="Data   - Opmaakprofiel2 2 15 4 7 4" xfId="46362"/>
    <cellStyle name="Data   - Opmaakprofiel2 2 15 4 7 5" xfId="38352"/>
    <cellStyle name="Data   - Opmaakprofiel2 2 15 4 8" xfId="7586"/>
    <cellStyle name="Data   - Opmaakprofiel2 2 15 4 8 2" xfId="19884"/>
    <cellStyle name="Data   - Opmaakprofiel2 2 15 4 8 3" xfId="41687"/>
    <cellStyle name="Data   - Opmaakprofiel2 2 15 4 8 4" xfId="43447"/>
    <cellStyle name="Data   - Opmaakprofiel2 2 15 4 8 5" xfId="52556"/>
    <cellStyle name="Data   - Opmaakprofiel2 2 15 4 9" xfId="12769"/>
    <cellStyle name="Data   - Opmaakprofiel2 2 15 5" xfId="1210"/>
    <cellStyle name="Data   - Opmaakprofiel2 2 15 5 2" xfId="2022"/>
    <cellStyle name="Data   - Opmaakprofiel2 2 15 5 2 2" xfId="7964"/>
    <cellStyle name="Data   - Opmaakprofiel2 2 15 5 2 2 2" xfId="20262"/>
    <cellStyle name="Data   - Opmaakprofiel2 2 15 5 2 2 3" xfId="32314"/>
    <cellStyle name="Data   - Opmaakprofiel2 2 15 5 2 2 4" xfId="43289"/>
    <cellStyle name="Data   - Opmaakprofiel2 2 15 5 2 2 5" xfId="52929"/>
    <cellStyle name="Data   - Opmaakprofiel2 2 15 5 2 3" xfId="12777"/>
    <cellStyle name="Data   - Opmaakprofiel2 2 15 5 2 4" xfId="24829"/>
    <cellStyle name="Data   - Opmaakprofiel2 2 15 5 2 5" xfId="46361"/>
    <cellStyle name="Data   - Opmaakprofiel2 2 15 5 2 6" xfId="44533"/>
    <cellStyle name="Data   - Opmaakprofiel2 2 15 5 3" xfId="3221"/>
    <cellStyle name="Data   - Opmaakprofiel2 2 15 5 3 2" xfId="7965"/>
    <cellStyle name="Data   - Opmaakprofiel2 2 15 5 3 2 2" xfId="20263"/>
    <cellStyle name="Data   - Opmaakprofiel2 2 15 5 3 2 3" xfId="32315"/>
    <cellStyle name="Data   - Opmaakprofiel2 2 15 5 3 2 4" xfId="34589"/>
    <cellStyle name="Data   - Opmaakprofiel2 2 15 5 3 2 5" xfId="52930"/>
    <cellStyle name="Data   - Opmaakprofiel2 2 15 5 3 3" xfId="12778"/>
    <cellStyle name="Data   - Opmaakprofiel2 2 15 5 3 4" xfId="24830"/>
    <cellStyle name="Data   - Opmaakprofiel2 2 15 5 3 5" xfId="40918"/>
    <cellStyle name="Data   - Opmaakprofiel2 2 15 5 3 6" xfId="38364"/>
    <cellStyle name="Data   - Opmaakprofiel2 2 15 5 4" xfId="4036"/>
    <cellStyle name="Data   - Opmaakprofiel2 2 15 5 4 2" xfId="7966"/>
    <cellStyle name="Data   - Opmaakprofiel2 2 15 5 4 2 2" xfId="20264"/>
    <cellStyle name="Data   - Opmaakprofiel2 2 15 5 4 2 3" xfId="32316"/>
    <cellStyle name="Data   - Opmaakprofiel2 2 15 5 4 2 4" xfId="25640"/>
    <cellStyle name="Data   - Opmaakprofiel2 2 15 5 4 2 5" xfId="52931"/>
    <cellStyle name="Data   - Opmaakprofiel2 2 15 5 4 3" xfId="12779"/>
    <cellStyle name="Data   - Opmaakprofiel2 2 15 5 4 4" xfId="24831"/>
    <cellStyle name="Data   - Opmaakprofiel2 2 15 5 4 5" xfId="46360"/>
    <cellStyle name="Data   - Opmaakprofiel2 2 15 5 4 6" xfId="38366"/>
    <cellStyle name="Data   - Opmaakprofiel2 2 15 5 5" xfId="4272"/>
    <cellStyle name="Data   - Opmaakprofiel2 2 15 5 5 2" xfId="7967"/>
    <cellStyle name="Data   - Opmaakprofiel2 2 15 5 5 2 2" xfId="20265"/>
    <cellStyle name="Data   - Opmaakprofiel2 2 15 5 5 2 3" xfId="32317"/>
    <cellStyle name="Data   - Opmaakprofiel2 2 15 5 5 2 4" xfId="31962"/>
    <cellStyle name="Data   - Opmaakprofiel2 2 15 5 5 2 5" xfId="52932"/>
    <cellStyle name="Data   - Opmaakprofiel2 2 15 5 5 3" xfId="12780"/>
    <cellStyle name="Data   - Opmaakprofiel2 2 15 5 5 4" xfId="24832"/>
    <cellStyle name="Data   - Opmaakprofiel2 2 15 5 5 5" xfId="40917"/>
    <cellStyle name="Data   - Opmaakprofiel2 2 15 5 5 6" xfId="44542"/>
    <cellStyle name="Data   - Opmaakprofiel2 2 15 5 6" xfId="4273"/>
    <cellStyle name="Data   - Opmaakprofiel2 2 15 5 6 2" xfId="7968"/>
    <cellStyle name="Data   - Opmaakprofiel2 2 15 5 6 2 2" xfId="20266"/>
    <cellStyle name="Data   - Opmaakprofiel2 2 15 5 6 2 3" xfId="32318"/>
    <cellStyle name="Data   - Opmaakprofiel2 2 15 5 6 2 4" xfId="43288"/>
    <cellStyle name="Data   - Opmaakprofiel2 2 15 5 6 2 5" xfId="52933"/>
    <cellStyle name="Data   - Opmaakprofiel2 2 15 5 6 3" xfId="12781"/>
    <cellStyle name="Data   - Opmaakprofiel2 2 15 5 6 4" xfId="24833"/>
    <cellStyle name="Data   - Opmaakprofiel2 2 15 5 6 5" xfId="46359"/>
    <cellStyle name="Data   - Opmaakprofiel2 2 15 5 6 6" xfId="38376"/>
    <cellStyle name="Data   - Opmaakprofiel2 2 15 5 7" xfId="4274"/>
    <cellStyle name="Data   - Opmaakprofiel2 2 15 5 7 2" xfId="12782"/>
    <cellStyle name="Data   - Opmaakprofiel2 2 15 5 7 3" xfId="24834"/>
    <cellStyle name="Data   - Opmaakprofiel2 2 15 5 7 4" xfId="40916"/>
    <cellStyle name="Data   - Opmaakprofiel2 2 15 5 7 5" xfId="44548"/>
    <cellStyle name="Data   - Opmaakprofiel2 2 15 5 8" xfId="7164"/>
    <cellStyle name="Data   - Opmaakprofiel2 2 15 5 8 2" xfId="19462"/>
    <cellStyle name="Data   - Opmaakprofiel2 2 15 5 8 3" xfId="41265"/>
    <cellStyle name="Data   - Opmaakprofiel2 2 15 5 8 4" xfId="43623"/>
    <cellStyle name="Data   - Opmaakprofiel2 2 15 5 8 5" xfId="52134"/>
    <cellStyle name="Data   - Opmaakprofiel2 2 15 5 9" xfId="12776"/>
    <cellStyle name="Data   - Opmaakprofiel2 2 15 6" xfId="661"/>
    <cellStyle name="Data   - Opmaakprofiel2 2 15 6 2" xfId="2345"/>
    <cellStyle name="Data   - Opmaakprofiel2 2 15 6 2 2" xfId="7969"/>
    <cellStyle name="Data   - Opmaakprofiel2 2 15 6 2 2 2" xfId="20267"/>
    <cellStyle name="Data   - Opmaakprofiel2 2 15 6 2 2 3" xfId="32319"/>
    <cellStyle name="Data   - Opmaakprofiel2 2 15 6 2 2 4" xfId="25647"/>
    <cellStyle name="Data   - Opmaakprofiel2 2 15 6 2 2 5" xfId="52934"/>
    <cellStyle name="Data   - Opmaakprofiel2 2 15 6 2 3" xfId="12784"/>
    <cellStyle name="Data   - Opmaakprofiel2 2 15 6 2 4" xfId="24836"/>
    <cellStyle name="Data   - Opmaakprofiel2 2 15 6 2 5" xfId="40915"/>
    <cellStyle name="Data   - Opmaakprofiel2 2 15 6 2 6" xfId="44554"/>
    <cellStyle name="Data   - Opmaakprofiel2 2 15 6 3" xfId="2727"/>
    <cellStyle name="Data   - Opmaakprofiel2 2 15 6 3 2" xfId="7970"/>
    <cellStyle name="Data   - Opmaakprofiel2 2 15 6 3 2 2" xfId="20268"/>
    <cellStyle name="Data   - Opmaakprofiel2 2 15 6 3 2 3" xfId="32320"/>
    <cellStyle name="Data   - Opmaakprofiel2 2 15 6 3 2 4" xfId="43287"/>
    <cellStyle name="Data   - Opmaakprofiel2 2 15 6 3 2 5" xfId="52935"/>
    <cellStyle name="Data   - Opmaakprofiel2 2 15 6 3 3" xfId="12785"/>
    <cellStyle name="Data   - Opmaakprofiel2 2 15 6 3 4" xfId="24837"/>
    <cellStyle name="Data   - Opmaakprofiel2 2 15 6 3 5" xfId="40914"/>
    <cellStyle name="Data   - Opmaakprofiel2 2 15 6 3 6" xfId="44557"/>
    <cellStyle name="Data   - Opmaakprofiel2 2 15 6 4" xfId="3594"/>
    <cellStyle name="Data   - Opmaakprofiel2 2 15 6 4 2" xfId="7971"/>
    <cellStyle name="Data   - Opmaakprofiel2 2 15 6 4 2 2" xfId="20269"/>
    <cellStyle name="Data   - Opmaakprofiel2 2 15 6 4 2 3" xfId="32321"/>
    <cellStyle name="Data   - Opmaakprofiel2 2 15 6 4 2 4" xfId="31669"/>
    <cellStyle name="Data   - Opmaakprofiel2 2 15 6 4 2 5" xfId="52936"/>
    <cellStyle name="Data   - Opmaakprofiel2 2 15 6 4 3" xfId="12786"/>
    <cellStyle name="Data   - Opmaakprofiel2 2 15 6 4 4" xfId="24838"/>
    <cellStyle name="Data   - Opmaakprofiel2 2 15 6 4 5" xfId="40913"/>
    <cellStyle name="Data   - Opmaakprofiel2 2 15 6 4 6" xfId="44560"/>
    <cellStyle name="Data   - Opmaakprofiel2 2 15 6 5" xfId="4275"/>
    <cellStyle name="Data   - Opmaakprofiel2 2 15 6 5 2" xfId="7972"/>
    <cellStyle name="Data   - Opmaakprofiel2 2 15 6 5 2 2" xfId="20270"/>
    <cellStyle name="Data   - Opmaakprofiel2 2 15 6 5 2 3" xfId="32322"/>
    <cellStyle name="Data   - Opmaakprofiel2 2 15 6 5 2 4" xfId="43286"/>
    <cellStyle name="Data   - Opmaakprofiel2 2 15 6 5 2 5" xfId="52937"/>
    <cellStyle name="Data   - Opmaakprofiel2 2 15 6 5 3" xfId="12787"/>
    <cellStyle name="Data   - Opmaakprofiel2 2 15 6 5 4" xfId="24839"/>
    <cellStyle name="Data   - Opmaakprofiel2 2 15 6 5 5" xfId="46357"/>
    <cellStyle name="Data   - Opmaakprofiel2 2 15 6 5 6" xfId="38400"/>
    <cellStyle name="Data   - Opmaakprofiel2 2 15 6 6" xfId="4276"/>
    <cellStyle name="Data   - Opmaakprofiel2 2 15 6 6 2" xfId="7973"/>
    <cellStyle name="Data   - Opmaakprofiel2 2 15 6 6 2 2" xfId="20271"/>
    <cellStyle name="Data   - Opmaakprofiel2 2 15 6 6 2 3" xfId="32323"/>
    <cellStyle name="Data   - Opmaakprofiel2 2 15 6 6 2 4" xfId="25654"/>
    <cellStyle name="Data   - Opmaakprofiel2 2 15 6 6 2 5" xfId="52938"/>
    <cellStyle name="Data   - Opmaakprofiel2 2 15 6 6 3" xfId="12788"/>
    <cellStyle name="Data   - Opmaakprofiel2 2 15 6 6 4" xfId="24840"/>
    <cellStyle name="Data   - Opmaakprofiel2 2 15 6 6 5" xfId="40912"/>
    <cellStyle name="Data   - Opmaakprofiel2 2 15 6 6 6" xfId="38404"/>
    <cellStyle name="Data   - Opmaakprofiel2 2 15 6 7" xfId="4277"/>
    <cellStyle name="Data   - Opmaakprofiel2 2 15 6 7 2" xfId="12789"/>
    <cellStyle name="Data   - Opmaakprofiel2 2 15 6 7 3" xfId="24841"/>
    <cellStyle name="Data   - Opmaakprofiel2 2 15 6 7 4" xfId="46356"/>
    <cellStyle name="Data   - Opmaakprofiel2 2 15 6 7 5" xfId="38408"/>
    <cellStyle name="Data   - Opmaakprofiel2 2 15 6 8" xfId="10232"/>
    <cellStyle name="Data   - Opmaakprofiel2 2 15 6 8 2" xfId="22530"/>
    <cellStyle name="Data   - Opmaakprofiel2 2 15 6 8 3" xfId="44292"/>
    <cellStyle name="Data   - Opmaakprofiel2 2 15 6 8 4" xfId="42360"/>
    <cellStyle name="Data   - Opmaakprofiel2 2 15 6 8 5" xfId="55197"/>
    <cellStyle name="Data   - Opmaakprofiel2 2 15 6 9" xfId="12783"/>
    <cellStyle name="Data   - Opmaakprofiel2 2 15 7" xfId="1648"/>
    <cellStyle name="Data   - Opmaakprofiel2 2 15 7 2" xfId="7974"/>
    <cellStyle name="Data   - Opmaakprofiel2 2 15 7 2 2" xfId="20272"/>
    <cellStyle name="Data   - Opmaakprofiel2 2 15 7 2 3" xfId="32324"/>
    <cellStyle name="Data   - Opmaakprofiel2 2 15 7 2 4" xfId="43285"/>
    <cellStyle name="Data   - Opmaakprofiel2 2 15 7 2 5" xfId="52939"/>
    <cellStyle name="Data   - Opmaakprofiel2 2 15 7 3" xfId="12790"/>
    <cellStyle name="Data   - Opmaakprofiel2 2 15 7 4" xfId="24842"/>
    <cellStyle name="Data   - Opmaakprofiel2 2 15 7 5" xfId="40911"/>
    <cellStyle name="Data   - Opmaakprofiel2 2 15 7 6" xfId="44572"/>
    <cellStyle name="Data   - Opmaakprofiel2 2 15 8" xfId="2809"/>
    <cellStyle name="Data   - Opmaakprofiel2 2 15 8 2" xfId="7975"/>
    <cellStyle name="Data   - Opmaakprofiel2 2 15 8 2 2" xfId="20273"/>
    <cellStyle name="Data   - Opmaakprofiel2 2 15 8 2 3" xfId="32325"/>
    <cellStyle name="Data   - Opmaakprofiel2 2 15 8 2 4" xfId="31580"/>
    <cellStyle name="Data   - Opmaakprofiel2 2 15 8 2 5" xfId="52940"/>
    <cellStyle name="Data   - Opmaakprofiel2 2 15 8 3" xfId="12791"/>
    <cellStyle name="Data   - Opmaakprofiel2 2 15 8 4" xfId="24843"/>
    <cellStyle name="Data   - Opmaakprofiel2 2 15 8 5" xfId="46355"/>
    <cellStyle name="Data   - Opmaakprofiel2 2 15 8 6" xfId="38416"/>
    <cellStyle name="Data   - Opmaakprofiel2 2 15 9" xfId="3668"/>
    <cellStyle name="Data   - Opmaakprofiel2 2 15 9 2" xfId="7976"/>
    <cellStyle name="Data   - Opmaakprofiel2 2 15 9 2 2" xfId="20274"/>
    <cellStyle name="Data   - Opmaakprofiel2 2 15 9 2 3" xfId="32326"/>
    <cellStyle name="Data   - Opmaakprofiel2 2 15 9 2 4" xfId="43284"/>
    <cellStyle name="Data   - Opmaakprofiel2 2 15 9 2 5" xfId="52941"/>
    <cellStyle name="Data   - Opmaakprofiel2 2 15 9 3" xfId="12792"/>
    <cellStyle name="Data   - Opmaakprofiel2 2 15 9 4" xfId="24844"/>
    <cellStyle name="Data   - Opmaakprofiel2 2 15 9 5" xfId="40910"/>
    <cellStyle name="Data   - Opmaakprofiel2 2 15 9 6" xfId="44579"/>
    <cellStyle name="Data   - Opmaakprofiel2 2 16" xfId="785"/>
    <cellStyle name="Data   - Opmaakprofiel2 2 16 10" xfId="4278"/>
    <cellStyle name="Data   - Opmaakprofiel2 2 16 10 2" xfId="7977"/>
    <cellStyle name="Data   - Opmaakprofiel2 2 16 10 2 2" xfId="20275"/>
    <cellStyle name="Data   - Opmaakprofiel2 2 16 10 2 3" xfId="32327"/>
    <cellStyle name="Data   - Opmaakprofiel2 2 16 10 2 4" xfId="25664"/>
    <cellStyle name="Data   - Opmaakprofiel2 2 16 10 2 5" xfId="52942"/>
    <cellStyle name="Data   - Opmaakprofiel2 2 16 10 3" xfId="12794"/>
    <cellStyle name="Data   - Opmaakprofiel2 2 16 10 4" xfId="24846"/>
    <cellStyle name="Data   - Opmaakprofiel2 2 16 10 5" xfId="40909"/>
    <cellStyle name="Data   - Opmaakprofiel2 2 16 10 6" xfId="44585"/>
    <cellStyle name="Data   - Opmaakprofiel2 2 16 11" xfId="4279"/>
    <cellStyle name="Data   - Opmaakprofiel2 2 16 11 2" xfId="7978"/>
    <cellStyle name="Data   - Opmaakprofiel2 2 16 11 2 2" xfId="20276"/>
    <cellStyle name="Data   - Opmaakprofiel2 2 16 11 2 3" xfId="32328"/>
    <cellStyle name="Data   - Opmaakprofiel2 2 16 11 2 4" xfId="34553"/>
    <cellStyle name="Data   - Opmaakprofiel2 2 16 11 2 5" xfId="52943"/>
    <cellStyle name="Data   - Opmaakprofiel2 2 16 11 3" xfId="12795"/>
    <cellStyle name="Data   - Opmaakprofiel2 2 16 11 4" xfId="24847"/>
    <cellStyle name="Data   - Opmaakprofiel2 2 16 11 5" xfId="46353"/>
    <cellStyle name="Data   - Opmaakprofiel2 2 16 11 6" xfId="44588"/>
    <cellStyle name="Data   - Opmaakprofiel2 2 16 12" xfId="4280"/>
    <cellStyle name="Data   - Opmaakprofiel2 2 16 12 2" xfId="12796"/>
    <cellStyle name="Data   - Opmaakprofiel2 2 16 12 3" xfId="24848"/>
    <cellStyle name="Data   - Opmaakprofiel2 2 16 12 4" xfId="40908"/>
    <cellStyle name="Data   - Opmaakprofiel2 2 16 12 5" xfId="44591"/>
    <cellStyle name="Data   - Opmaakprofiel2 2 16 13" xfId="7457"/>
    <cellStyle name="Data   - Opmaakprofiel2 2 16 13 2" xfId="19755"/>
    <cellStyle name="Data   - Opmaakprofiel2 2 16 13 3" xfId="41558"/>
    <cellStyle name="Data   - Opmaakprofiel2 2 16 13 4" xfId="15545"/>
    <cellStyle name="Data   - Opmaakprofiel2 2 16 13 5" xfId="52427"/>
    <cellStyle name="Data   - Opmaakprofiel2 2 16 14" xfId="12793"/>
    <cellStyle name="Data   - Opmaakprofiel2 2 16 2" xfId="948"/>
    <cellStyle name="Data   - Opmaakprofiel2 2 16 2 2" xfId="2079"/>
    <cellStyle name="Data   - Opmaakprofiel2 2 16 2 2 2" xfId="7979"/>
    <cellStyle name="Data   - Opmaakprofiel2 2 16 2 2 2 2" xfId="20277"/>
    <cellStyle name="Data   - Opmaakprofiel2 2 16 2 2 2 3" xfId="32329"/>
    <cellStyle name="Data   - Opmaakprofiel2 2 16 2 2 2 4" xfId="25668"/>
    <cellStyle name="Data   - Opmaakprofiel2 2 16 2 2 2 5" xfId="52944"/>
    <cellStyle name="Data   - Opmaakprofiel2 2 16 2 2 3" xfId="12798"/>
    <cellStyle name="Data   - Opmaakprofiel2 2 16 2 2 4" xfId="24850"/>
    <cellStyle name="Data   - Opmaakprofiel2 2 16 2 2 5" xfId="40906"/>
    <cellStyle name="Data   - Opmaakprofiel2 2 16 2 2 6" xfId="44597"/>
    <cellStyle name="Data   - Opmaakprofiel2 2 16 2 3" xfId="2959"/>
    <cellStyle name="Data   - Opmaakprofiel2 2 16 2 3 2" xfId="7980"/>
    <cellStyle name="Data   - Opmaakprofiel2 2 16 2 3 2 2" xfId="20278"/>
    <cellStyle name="Data   - Opmaakprofiel2 2 16 2 3 2 3" xfId="32330"/>
    <cellStyle name="Data   - Opmaakprofiel2 2 16 2 3 2 4" xfId="43283"/>
    <cellStyle name="Data   - Opmaakprofiel2 2 16 2 3 2 5" xfId="52945"/>
    <cellStyle name="Data   - Opmaakprofiel2 2 16 2 3 3" xfId="12799"/>
    <cellStyle name="Data   - Opmaakprofiel2 2 16 2 3 4" xfId="24851"/>
    <cellStyle name="Data   - Opmaakprofiel2 2 16 2 3 5" xfId="46352"/>
    <cellStyle name="Data   - Opmaakprofiel2 2 16 2 3 6" xfId="38447"/>
    <cellStyle name="Data   - Opmaakprofiel2 2 16 2 4" xfId="3805"/>
    <cellStyle name="Data   - Opmaakprofiel2 2 16 2 4 2" xfId="7981"/>
    <cellStyle name="Data   - Opmaakprofiel2 2 16 2 4 2 2" xfId="20279"/>
    <cellStyle name="Data   - Opmaakprofiel2 2 16 2 4 2 3" xfId="32331"/>
    <cellStyle name="Data   - Opmaakprofiel2 2 16 2 4 2 4" xfId="31748"/>
    <cellStyle name="Data   - Opmaakprofiel2 2 16 2 4 2 5" xfId="52946"/>
    <cellStyle name="Data   - Opmaakprofiel2 2 16 2 4 3" xfId="12800"/>
    <cellStyle name="Data   - Opmaakprofiel2 2 16 2 4 4" xfId="24852"/>
    <cellStyle name="Data   - Opmaakprofiel2 2 16 2 4 5" xfId="40905"/>
    <cellStyle name="Data   - Opmaakprofiel2 2 16 2 4 6" xfId="38453"/>
    <cellStyle name="Data   - Opmaakprofiel2 2 16 2 5" xfId="4281"/>
    <cellStyle name="Data   - Opmaakprofiel2 2 16 2 5 2" xfId="7982"/>
    <cellStyle name="Data   - Opmaakprofiel2 2 16 2 5 2 2" xfId="20280"/>
    <cellStyle name="Data   - Opmaakprofiel2 2 16 2 5 2 3" xfId="32332"/>
    <cellStyle name="Data   - Opmaakprofiel2 2 16 2 5 2 4" xfId="43282"/>
    <cellStyle name="Data   - Opmaakprofiel2 2 16 2 5 2 5" xfId="52947"/>
    <cellStyle name="Data   - Opmaakprofiel2 2 16 2 5 3" xfId="12801"/>
    <cellStyle name="Data   - Opmaakprofiel2 2 16 2 5 4" xfId="24853"/>
    <cellStyle name="Data   - Opmaakprofiel2 2 16 2 5 5" xfId="46351"/>
    <cellStyle name="Data   - Opmaakprofiel2 2 16 2 5 6" xfId="44608"/>
    <cellStyle name="Data   - Opmaakprofiel2 2 16 2 6" xfId="4282"/>
    <cellStyle name="Data   - Opmaakprofiel2 2 16 2 6 2" xfId="7983"/>
    <cellStyle name="Data   - Opmaakprofiel2 2 16 2 6 2 2" xfId="20281"/>
    <cellStyle name="Data   - Opmaakprofiel2 2 16 2 6 2 3" xfId="32333"/>
    <cellStyle name="Data   - Opmaakprofiel2 2 16 2 6 2 4" xfId="25675"/>
    <cellStyle name="Data   - Opmaakprofiel2 2 16 2 6 2 5" xfId="52948"/>
    <cellStyle name="Data   - Opmaakprofiel2 2 16 2 6 3" xfId="12802"/>
    <cellStyle name="Data   - Opmaakprofiel2 2 16 2 6 4" xfId="24854"/>
    <cellStyle name="Data   - Opmaakprofiel2 2 16 2 6 5" xfId="40904"/>
    <cellStyle name="Data   - Opmaakprofiel2 2 16 2 6 6" xfId="38461"/>
    <cellStyle name="Data   - Opmaakprofiel2 2 16 2 7" xfId="4283"/>
    <cellStyle name="Data   - Opmaakprofiel2 2 16 2 7 2" xfId="12803"/>
    <cellStyle name="Data   - Opmaakprofiel2 2 16 2 7 3" xfId="24855"/>
    <cellStyle name="Data   - Opmaakprofiel2 2 16 2 7 4" xfId="46350"/>
    <cellStyle name="Data   - Opmaakprofiel2 2 16 2 7 5" xfId="38465"/>
    <cellStyle name="Data   - Opmaakprofiel2 2 16 2 8" xfId="10037"/>
    <cellStyle name="Data   - Opmaakprofiel2 2 16 2 8 2" xfId="22335"/>
    <cellStyle name="Data   - Opmaakprofiel2 2 16 2 8 3" xfId="44099"/>
    <cellStyle name="Data   - Opmaakprofiel2 2 16 2 8 4" xfId="28483"/>
    <cellStyle name="Data   - Opmaakprofiel2 2 16 2 8 5" xfId="55002"/>
    <cellStyle name="Data   - Opmaakprofiel2 2 16 2 9" xfId="12797"/>
    <cellStyle name="Data   - Opmaakprofiel2 2 16 3" xfId="1044"/>
    <cellStyle name="Data   - Opmaakprofiel2 2 16 3 2" xfId="1721"/>
    <cellStyle name="Data   - Opmaakprofiel2 2 16 3 2 2" xfId="7984"/>
    <cellStyle name="Data   - Opmaakprofiel2 2 16 3 2 2 2" xfId="20282"/>
    <cellStyle name="Data   - Opmaakprofiel2 2 16 3 2 2 3" xfId="32334"/>
    <cellStyle name="Data   - Opmaakprofiel2 2 16 3 2 2 4" xfId="43281"/>
    <cellStyle name="Data   - Opmaakprofiel2 2 16 3 2 2 5" xfId="52949"/>
    <cellStyle name="Data   - Opmaakprofiel2 2 16 3 2 3" xfId="12805"/>
    <cellStyle name="Data   - Opmaakprofiel2 2 16 3 2 4" xfId="24857"/>
    <cellStyle name="Data   - Opmaakprofiel2 2 16 3 2 5" xfId="46349"/>
    <cellStyle name="Data   - Opmaakprofiel2 2 16 3 2 6" xfId="38470"/>
    <cellStyle name="Data   - Opmaakprofiel2 2 16 3 3" xfId="3055"/>
    <cellStyle name="Data   - Opmaakprofiel2 2 16 3 3 2" xfId="7985"/>
    <cellStyle name="Data   - Opmaakprofiel2 2 16 3 3 2 2" xfId="20283"/>
    <cellStyle name="Data   - Opmaakprofiel2 2 16 3 3 2 3" xfId="32335"/>
    <cellStyle name="Data   - Opmaakprofiel2 2 16 3 3 2 4" xfId="31926"/>
    <cellStyle name="Data   - Opmaakprofiel2 2 16 3 3 2 5" xfId="52950"/>
    <cellStyle name="Data   - Opmaakprofiel2 2 16 3 3 3" xfId="12806"/>
    <cellStyle name="Data   - Opmaakprofiel2 2 16 3 3 4" xfId="24858"/>
    <cellStyle name="Data   - Opmaakprofiel2 2 16 3 3 5" xfId="40902"/>
    <cellStyle name="Data   - Opmaakprofiel2 2 16 3 3 6" xfId="38476"/>
    <cellStyle name="Data   - Opmaakprofiel2 2 16 3 4" xfId="3896"/>
    <cellStyle name="Data   - Opmaakprofiel2 2 16 3 4 2" xfId="7986"/>
    <cellStyle name="Data   - Opmaakprofiel2 2 16 3 4 2 2" xfId="20284"/>
    <cellStyle name="Data   - Opmaakprofiel2 2 16 3 4 2 3" xfId="32336"/>
    <cellStyle name="Data   - Opmaakprofiel2 2 16 3 4 2 4" xfId="43280"/>
    <cellStyle name="Data   - Opmaakprofiel2 2 16 3 4 2 5" xfId="52951"/>
    <cellStyle name="Data   - Opmaakprofiel2 2 16 3 4 3" xfId="12807"/>
    <cellStyle name="Data   - Opmaakprofiel2 2 16 3 4 4" xfId="24859"/>
    <cellStyle name="Data   - Opmaakprofiel2 2 16 3 4 5" xfId="46348"/>
    <cellStyle name="Data   - Opmaakprofiel2 2 16 3 4 6" xfId="44626"/>
    <cellStyle name="Data   - Opmaakprofiel2 2 16 3 5" xfId="4284"/>
    <cellStyle name="Data   - Opmaakprofiel2 2 16 3 5 2" xfId="7987"/>
    <cellStyle name="Data   - Opmaakprofiel2 2 16 3 5 2 2" xfId="20285"/>
    <cellStyle name="Data   - Opmaakprofiel2 2 16 3 5 2 3" xfId="32337"/>
    <cellStyle name="Data   - Opmaakprofiel2 2 16 3 5 2 4" xfId="25682"/>
    <cellStyle name="Data   - Opmaakprofiel2 2 16 3 5 2 5" xfId="52952"/>
    <cellStyle name="Data   - Opmaakprofiel2 2 16 3 5 3" xfId="12808"/>
    <cellStyle name="Data   - Opmaakprofiel2 2 16 3 5 4" xfId="24860"/>
    <cellStyle name="Data   - Opmaakprofiel2 2 16 3 5 5" xfId="40901"/>
    <cellStyle name="Data   - Opmaakprofiel2 2 16 3 5 6" xfId="38484"/>
    <cellStyle name="Data   - Opmaakprofiel2 2 16 3 6" xfId="4285"/>
    <cellStyle name="Data   - Opmaakprofiel2 2 16 3 6 2" xfId="7988"/>
    <cellStyle name="Data   - Opmaakprofiel2 2 16 3 6 2 2" xfId="20286"/>
    <cellStyle name="Data   - Opmaakprofiel2 2 16 3 6 2 3" xfId="32338"/>
    <cellStyle name="Data   - Opmaakprofiel2 2 16 3 6 2 4" xfId="43279"/>
    <cellStyle name="Data   - Opmaakprofiel2 2 16 3 6 2 5" xfId="52953"/>
    <cellStyle name="Data   - Opmaakprofiel2 2 16 3 6 3" xfId="12809"/>
    <cellStyle name="Data   - Opmaakprofiel2 2 16 3 6 4" xfId="24861"/>
    <cellStyle name="Data   - Opmaakprofiel2 2 16 3 6 5" xfId="40900"/>
    <cellStyle name="Data   - Opmaakprofiel2 2 16 3 6 6" xfId="44632"/>
    <cellStyle name="Data   - Opmaakprofiel2 2 16 3 7" xfId="4286"/>
    <cellStyle name="Data   - Opmaakprofiel2 2 16 3 7 2" xfId="12810"/>
    <cellStyle name="Data   - Opmaakprofiel2 2 16 3 7 3" xfId="24862"/>
    <cellStyle name="Data   - Opmaakprofiel2 2 16 3 7 4" xfId="46347"/>
    <cellStyle name="Data   - Opmaakprofiel2 2 16 3 7 5" xfId="38493"/>
    <cellStyle name="Data   - Opmaakprofiel2 2 16 3 8" xfId="9968"/>
    <cellStyle name="Data   - Opmaakprofiel2 2 16 3 8 2" xfId="22266"/>
    <cellStyle name="Data   - Opmaakprofiel2 2 16 3 8 3" xfId="44031"/>
    <cellStyle name="Data   - Opmaakprofiel2 2 16 3 8 4" xfId="42471"/>
    <cellStyle name="Data   - Opmaakprofiel2 2 16 3 8 5" xfId="54933"/>
    <cellStyle name="Data   - Opmaakprofiel2 2 16 3 9" xfId="12804"/>
    <cellStyle name="Data   - Opmaakprofiel2 2 16 4" xfId="1122"/>
    <cellStyle name="Data   - Opmaakprofiel2 2 16 4 2" xfId="1690"/>
    <cellStyle name="Data   - Opmaakprofiel2 2 16 4 2 2" xfId="7989"/>
    <cellStyle name="Data   - Opmaakprofiel2 2 16 4 2 2 2" xfId="20287"/>
    <cellStyle name="Data   - Opmaakprofiel2 2 16 4 2 2 3" xfId="32339"/>
    <cellStyle name="Data   - Opmaakprofiel2 2 16 4 2 2 4" xfId="31993"/>
    <cellStyle name="Data   - Opmaakprofiel2 2 16 4 2 2 5" xfId="52954"/>
    <cellStyle name="Data   - Opmaakprofiel2 2 16 4 2 3" xfId="12812"/>
    <cellStyle name="Data   - Opmaakprofiel2 2 16 4 2 4" xfId="24864"/>
    <cellStyle name="Data   - Opmaakprofiel2 2 16 4 2 5" xfId="46346"/>
    <cellStyle name="Data   - Opmaakprofiel2 2 16 4 2 6" xfId="38500"/>
    <cellStyle name="Data   - Opmaakprofiel2 2 16 4 3" xfId="3133"/>
    <cellStyle name="Data   - Opmaakprofiel2 2 16 4 3 2" xfId="7990"/>
    <cellStyle name="Data   - Opmaakprofiel2 2 16 4 3 2 2" xfId="20288"/>
    <cellStyle name="Data   - Opmaakprofiel2 2 16 4 3 2 3" xfId="32340"/>
    <cellStyle name="Data   - Opmaakprofiel2 2 16 4 3 2 4" xfId="25689"/>
    <cellStyle name="Data   - Opmaakprofiel2 2 16 4 3 2 5" xfId="52955"/>
    <cellStyle name="Data   - Opmaakprofiel2 2 16 4 3 3" xfId="12813"/>
    <cellStyle name="Data   - Opmaakprofiel2 2 16 4 3 4" xfId="24865"/>
    <cellStyle name="Data   - Opmaakprofiel2 2 16 4 3 5" xfId="40899"/>
    <cellStyle name="Data   - Opmaakprofiel2 2 16 4 3 6" xfId="44644"/>
    <cellStyle name="Data   - Opmaakprofiel2 2 16 4 4" xfId="3967"/>
    <cellStyle name="Data   - Opmaakprofiel2 2 16 4 4 2" xfId="7991"/>
    <cellStyle name="Data   - Opmaakprofiel2 2 16 4 4 2 2" xfId="20289"/>
    <cellStyle name="Data   - Opmaakprofiel2 2 16 4 4 2 3" xfId="32341"/>
    <cellStyle name="Data   - Opmaakprofiel2 2 16 4 4 2 4" xfId="31980"/>
    <cellStyle name="Data   - Opmaakprofiel2 2 16 4 4 2 5" xfId="52956"/>
    <cellStyle name="Data   - Opmaakprofiel2 2 16 4 4 3" xfId="12814"/>
    <cellStyle name="Data   - Opmaakprofiel2 2 16 4 4 4" xfId="24866"/>
    <cellStyle name="Data   - Opmaakprofiel2 2 16 4 4 5" xfId="46345"/>
    <cellStyle name="Data   - Opmaakprofiel2 2 16 4 4 6" xfId="38508"/>
    <cellStyle name="Data   - Opmaakprofiel2 2 16 4 5" xfId="4287"/>
    <cellStyle name="Data   - Opmaakprofiel2 2 16 4 5 2" xfId="7992"/>
    <cellStyle name="Data   - Opmaakprofiel2 2 16 4 5 2 2" xfId="20290"/>
    <cellStyle name="Data   - Opmaakprofiel2 2 16 4 5 2 3" xfId="32342"/>
    <cellStyle name="Data   - Opmaakprofiel2 2 16 4 5 2 4" xfId="43278"/>
    <cellStyle name="Data   - Opmaakprofiel2 2 16 4 5 2 5" xfId="52957"/>
    <cellStyle name="Data   - Opmaakprofiel2 2 16 4 5 3" xfId="12815"/>
    <cellStyle name="Data   - Opmaakprofiel2 2 16 4 5 4" xfId="24867"/>
    <cellStyle name="Data   - Opmaakprofiel2 2 16 4 5 5" xfId="40898"/>
    <cellStyle name="Data   - Opmaakprofiel2 2 16 4 5 6" xfId="38512"/>
    <cellStyle name="Data   - Opmaakprofiel2 2 16 4 6" xfId="4288"/>
    <cellStyle name="Data   - Opmaakprofiel2 2 16 4 6 2" xfId="7993"/>
    <cellStyle name="Data   - Opmaakprofiel2 2 16 4 6 2 2" xfId="20291"/>
    <cellStyle name="Data   - Opmaakprofiel2 2 16 4 6 2 3" xfId="32343"/>
    <cellStyle name="Data   - Opmaakprofiel2 2 16 4 6 2 4" xfId="25696"/>
    <cellStyle name="Data   - Opmaakprofiel2 2 16 4 6 2 5" xfId="52958"/>
    <cellStyle name="Data   - Opmaakprofiel2 2 16 4 6 3" xfId="12816"/>
    <cellStyle name="Data   - Opmaakprofiel2 2 16 4 6 4" xfId="24868"/>
    <cellStyle name="Data   - Opmaakprofiel2 2 16 4 6 5" xfId="46344"/>
    <cellStyle name="Data   - Opmaakprofiel2 2 16 4 6 6" xfId="38516"/>
    <cellStyle name="Data   - Opmaakprofiel2 2 16 4 7" xfId="4289"/>
    <cellStyle name="Data   - Opmaakprofiel2 2 16 4 7 2" xfId="12817"/>
    <cellStyle name="Data   - Opmaakprofiel2 2 16 4 7 3" xfId="24869"/>
    <cellStyle name="Data   - Opmaakprofiel2 2 16 4 7 4" xfId="40897"/>
    <cellStyle name="Data   - Opmaakprofiel2 2 16 4 7 5" xfId="38518"/>
    <cellStyle name="Data   - Opmaakprofiel2 2 16 4 8" xfId="9916"/>
    <cellStyle name="Data   - Opmaakprofiel2 2 16 4 8 2" xfId="22214"/>
    <cellStyle name="Data   - Opmaakprofiel2 2 16 4 8 3" xfId="43980"/>
    <cellStyle name="Data   - Opmaakprofiel2 2 16 4 8 4" xfId="28349"/>
    <cellStyle name="Data   - Opmaakprofiel2 2 16 4 8 5" xfId="54881"/>
    <cellStyle name="Data   - Opmaakprofiel2 2 16 4 9" xfId="12811"/>
    <cellStyle name="Data   - Opmaakprofiel2 2 16 5" xfId="1215"/>
    <cellStyle name="Data   - Opmaakprofiel2 2 16 5 2" xfId="1712"/>
    <cellStyle name="Data   - Opmaakprofiel2 2 16 5 2 2" xfId="7994"/>
    <cellStyle name="Data   - Opmaakprofiel2 2 16 5 2 2 2" xfId="20292"/>
    <cellStyle name="Data   - Opmaakprofiel2 2 16 5 2 2 3" xfId="32344"/>
    <cellStyle name="Data   - Opmaakprofiel2 2 16 5 2 2 4" xfId="43277"/>
    <cellStyle name="Data   - Opmaakprofiel2 2 16 5 2 2 5" xfId="52959"/>
    <cellStyle name="Data   - Opmaakprofiel2 2 16 5 2 3" xfId="12819"/>
    <cellStyle name="Data   - Opmaakprofiel2 2 16 5 2 4" xfId="24871"/>
    <cellStyle name="Data   - Opmaakprofiel2 2 16 5 2 5" xfId="40896"/>
    <cellStyle name="Data   - Opmaakprofiel2 2 16 5 2 6" xfId="44661"/>
    <cellStyle name="Data   - Opmaakprofiel2 2 16 5 3" xfId="3226"/>
    <cellStyle name="Data   - Opmaakprofiel2 2 16 5 3 2" xfId="7995"/>
    <cellStyle name="Data   - Opmaakprofiel2 2 16 5 3 2 2" xfId="20293"/>
    <cellStyle name="Data   - Opmaakprofiel2 2 16 5 3 2 3" xfId="32345"/>
    <cellStyle name="Data   - Opmaakprofiel2 2 16 5 3 2 4" xfId="31478"/>
    <cellStyle name="Data   - Opmaakprofiel2 2 16 5 3 2 5" xfId="52960"/>
    <cellStyle name="Data   - Opmaakprofiel2 2 16 5 3 3" xfId="12820"/>
    <cellStyle name="Data   - Opmaakprofiel2 2 16 5 3 4" xfId="24872"/>
    <cellStyle name="Data   - Opmaakprofiel2 2 16 5 3 5" xfId="40895"/>
    <cellStyle name="Data   - Opmaakprofiel2 2 16 5 3 6" xfId="38531"/>
    <cellStyle name="Data   - Opmaakprofiel2 2 16 5 4" xfId="4041"/>
    <cellStyle name="Data   - Opmaakprofiel2 2 16 5 4 2" xfId="7996"/>
    <cellStyle name="Data   - Opmaakprofiel2 2 16 5 4 2 2" xfId="20294"/>
    <cellStyle name="Data   - Opmaakprofiel2 2 16 5 4 2 3" xfId="32346"/>
    <cellStyle name="Data   - Opmaakprofiel2 2 16 5 4 2 4" xfId="43276"/>
    <cellStyle name="Data   - Opmaakprofiel2 2 16 5 4 2 5" xfId="52961"/>
    <cellStyle name="Data   - Opmaakprofiel2 2 16 5 4 3" xfId="12821"/>
    <cellStyle name="Data   - Opmaakprofiel2 2 16 5 4 4" xfId="24873"/>
    <cellStyle name="Data   - Opmaakprofiel2 2 16 5 4 5" xfId="40894"/>
    <cellStyle name="Data   - Opmaakprofiel2 2 16 5 4 6" xfId="44667"/>
    <cellStyle name="Data   - Opmaakprofiel2 2 16 5 5" xfId="4290"/>
    <cellStyle name="Data   - Opmaakprofiel2 2 16 5 5 2" xfId="7997"/>
    <cellStyle name="Data   - Opmaakprofiel2 2 16 5 5 2 2" xfId="20295"/>
    <cellStyle name="Data   - Opmaakprofiel2 2 16 5 5 2 3" xfId="32347"/>
    <cellStyle name="Data   - Opmaakprofiel2 2 16 5 5 2 4" xfId="25706"/>
    <cellStyle name="Data   - Opmaakprofiel2 2 16 5 5 2 5" xfId="52962"/>
    <cellStyle name="Data   - Opmaakprofiel2 2 16 5 5 3" xfId="12822"/>
    <cellStyle name="Data   - Opmaakprofiel2 2 16 5 5 4" xfId="24874"/>
    <cellStyle name="Data   - Opmaakprofiel2 2 16 5 5 5" xfId="46342"/>
    <cellStyle name="Data   - Opmaakprofiel2 2 16 5 5 6" xfId="38540"/>
    <cellStyle name="Data   - Opmaakprofiel2 2 16 5 6" xfId="4291"/>
    <cellStyle name="Data   - Opmaakprofiel2 2 16 5 6 2" xfId="7998"/>
    <cellStyle name="Data   - Opmaakprofiel2 2 16 5 6 2 2" xfId="20296"/>
    <cellStyle name="Data   - Opmaakprofiel2 2 16 5 6 2 3" xfId="32348"/>
    <cellStyle name="Data   - Opmaakprofiel2 2 16 5 6 2 4" xfId="43275"/>
    <cellStyle name="Data   - Opmaakprofiel2 2 16 5 6 2 5" xfId="52963"/>
    <cellStyle name="Data   - Opmaakprofiel2 2 16 5 6 3" xfId="12823"/>
    <cellStyle name="Data   - Opmaakprofiel2 2 16 5 6 4" xfId="24875"/>
    <cellStyle name="Data   - Opmaakprofiel2 2 16 5 6 5" xfId="40893"/>
    <cellStyle name="Data   - Opmaakprofiel2 2 16 5 6 6" xfId="38542"/>
    <cellStyle name="Data   - Opmaakprofiel2 2 16 5 7" xfId="4292"/>
    <cellStyle name="Data   - Opmaakprofiel2 2 16 5 7 2" xfId="12824"/>
    <cellStyle name="Data   - Opmaakprofiel2 2 16 5 7 3" xfId="24876"/>
    <cellStyle name="Data   - Opmaakprofiel2 2 16 5 7 4" xfId="46341"/>
    <cellStyle name="Data   - Opmaakprofiel2 2 16 5 7 5" xfId="38548"/>
    <cellStyle name="Data   - Opmaakprofiel2 2 16 5 8" xfId="7159"/>
    <cellStyle name="Data   - Opmaakprofiel2 2 16 5 8 2" xfId="19457"/>
    <cellStyle name="Data   - Opmaakprofiel2 2 16 5 8 3" xfId="41260"/>
    <cellStyle name="Data   - Opmaakprofiel2 2 16 5 8 4" xfId="36941"/>
    <cellStyle name="Data   - Opmaakprofiel2 2 16 5 8 5" xfId="52129"/>
    <cellStyle name="Data   - Opmaakprofiel2 2 16 5 9" xfId="12818"/>
    <cellStyle name="Data   - Opmaakprofiel2 2 16 6" xfId="1242"/>
    <cellStyle name="Data   - Opmaakprofiel2 2 16 6 2" xfId="2106"/>
    <cellStyle name="Data   - Opmaakprofiel2 2 16 6 2 2" xfId="7999"/>
    <cellStyle name="Data   - Opmaakprofiel2 2 16 6 2 2 2" xfId="20297"/>
    <cellStyle name="Data   - Opmaakprofiel2 2 16 6 2 2 3" xfId="32349"/>
    <cellStyle name="Data   - Opmaakprofiel2 2 16 6 2 2 4" xfId="31869"/>
    <cellStyle name="Data   - Opmaakprofiel2 2 16 6 2 2 5" xfId="52964"/>
    <cellStyle name="Data   - Opmaakprofiel2 2 16 6 2 3" xfId="12826"/>
    <cellStyle name="Data   - Opmaakprofiel2 2 16 6 2 4" xfId="24878"/>
    <cellStyle name="Data   - Opmaakprofiel2 2 16 6 2 5" xfId="46340"/>
    <cellStyle name="Data   - Opmaakprofiel2 2 16 6 2 6" xfId="44681"/>
    <cellStyle name="Data   - Opmaakprofiel2 2 16 6 3" xfId="3253"/>
    <cellStyle name="Data   - Opmaakprofiel2 2 16 6 3 2" xfId="8000"/>
    <cellStyle name="Data   - Opmaakprofiel2 2 16 6 3 2 2" xfId="20298"/>
    <cellStyle name="Data   - Opmaakprofiel2 2 16 6 3 2 3" xfId="32350"/>
    <cellStyle name="Data   - Opmaakprofiel2 2 16 6 3 2 4" xfId="43274"/>
    <cellStyle name="Data   - Opmaakprofiel2 2 16 6 3 2 5" xfId="52965"/>
    <cellStyle name="Data   - Opmaakprofiel2 2 16 6 3 3" xfId="12827"/>
    <cellStyle name="Data   - Opmaakprofiel2 2 16 6 3 4" xfId="24879"/>
    <cellStyle name="Data   - Opmaakprofiel2 2 16 6 3 5" xfId="40891"/>
    <cellStyle name="Data   - Opmaakprofiel2 2 16 6 3 6" xfId="38560"/>
    <cellStyle name="Data   - Opmaakprofiel2 2 16 6 4" xfId="4066"/>
    <cellStyle name="Data   - Opmaakprofiel2 2 16 6 4 2" xfId="8001"/>
    <cellStyle name="Data   - Opmaakprofiel2 2 16 6 4 2 2" xfId="20299"/>
    <cellStyle name="Data   - Opmaakprofiel2 2 16 6 4 2 3" xfId="32351"/>
    <cellStyle name="Data   - Opmaakprofiel2 2 16 6 4 2 4" xfId="25710"/>
    <cellStyle name="Data   - Opmaakprofiel2 2 16 6 4 2 5" xfId="52966"/>
    <cellStyle name="Data   - Opmaakprofiel2 2 16 6 4 3" xfId="12828"/>
    <cellStyle name="Data   - Opmaakprofiel2 2 16 6 4 4" xfId="24880"/>
    <cellStyle name="Data   - Opmaakprofiel2 2 16 6 4 5" xfId="40890"/>
    <cellStyle name="Data   - Opmaakprofiel2 2 16 6 4 6" xfId="38564"/>
    <cellStyle name="Data   - Opmaakprofiel2 2 16 6 5" xfId="4293"/>
    <cellStyle name="Data   - Opmaakprofiel2 2 16 6 5 2" xfId="8002"/>
    <cellStyle name="Data   - Opmaakprofiel2 2 16 6 5 2 2" xfId="20300"/>
    <cellStyle name="Data   - Opmaakprofiel2 2 16 6 5 2 3" xfId="32352"/>
    <cellStyle name="Data   - Opmaakprofiel2 2 16 6 5 2 4" xfId="31751"/>
    <cellStyle name="Data   - Opmaakprofiel2 2 16 6 5 2 5" xfId="52967"/>
    <cellStyle name="Data   - Opmaakprofiel2 2 16 6 5 3" xfId="12829"/>
    <cellStyle name="Data   - Opmaakprofiel2 2 16 6 5 4" xfId="24881"/>
    <cellStyle name="Data   - Opmaakprofiel2 2 16 6 5 5" xfId="46339"/>
    <cellStyle name="Data   - Opmaakprofiel2 2 16 6 5 6" xfId="38566"/>
    <cellStyle name="Data   - Opmaakprofiel2 2 16 6 6" xfId="4294"/>
    <cellStyle name="Data   - Opmaakprofiel2 2 16 6 6 2" xfId="8003"/>
    <cellStyle name="Data   - Opmaakprofiel2 2 16 6 6 2 2" xfId="20301"/>
    <cellStyle name="Data   - Opmaakprofiel2 2 16 6 6 2 3" xfId="32353"/>
    <cellStyle name="Data   - Opmaakprofiel2 2 16 6 6 2 4" xfId="25717"/>
    <cellStyle name="Data   - Opmaakprofiel2 2 16 6 6 2 5" xfId="52968"/>
    <cellStyle name="Data   - Opmaakprofiel2 2 16 6 6 3" xfId="12830"/>
    <cellStyle name="Data   - Opmaakprofiel2 2 16 6 6 4" xfId="24882"/>
    <cellStyle name="Data   - Opmaakprofiel2 2 16 6 6 5" xfId="40889"/>
    <cellStyle name="Data   - Opmaakprofiel2 2 16 6 6 6" xfId="44691"/>
    <cellStyle name="Data   - Opmaakprofiel2 2 16 6 7" xfId="4295"/>
    <cellStyle name="Data   - Opmaakprofiel2 2 16 6 7 2" xfId="12831"/>
    <cellStyle name="Data   - Opmaakprofiel2 2 16 6 7 3" xfId="24883"/>
    <cellStyle name="Data   - Opmaakprofiel2 2 16 6 7 4" xfId="46338"/>
    <cellStyle name="Data   - Opmaakprofiel2 2 16 6 7 5" xfId="38575"/>
    <cellStyle name="Data   - Opmaakprofiel2 2 16 6 8" xfId="7132"/>
    <cellStyle name="Data   - Opmaakprofiel2 2 16 6 8 2" xfId="19430"/>
    <cellStyle name="Data   - Opmaakprofiel2 2 16 6 8 3" xfId="41233"/>
    <cellStyle name="Data   - Opmaakprofiel2 2 16 6 8 4" xfId="36957"/>
    <cellStyle name="Data   - Opmaakprofiel2 2 16 6 8 5" xfId="52102"/>
    <cellStyle name="Data   - Opmaakprofiel2 2 16 6 9" xfId="12825"/>
    <cellStyle name="Data   - Opmaakprofiel2 2 16 7" xfId="1480"/>
    <cellStyle name="Data   - Opmaakprofiel2 2 16 7 2" xfId="8004"/>
    <cellStyle name="Data   - Opmaakprofiel2 2 16 7 2 2" xfId="20302"/>
    <cellStyle name="Data   - Opmaakprofiel2 2 16 7 2 3" xfId="32354"/>
    <cellStyle name="Data   - Opmaakprofiel2 2 16 7 2 4" xfId="43273"/>
    <cellStyle name="Data   - Opmaakprofiel2 2 16 7 2 5" xfId="52969"/>
    <cellStyle name="Data   - Opmaakprofiel2 2 16 7 3" xfId="12832"/>
    <cellStyle name="Data   - Opmaakprofiel2 2 16 7 4" xfId="24884"/>
    <cellStyle name="Data   - Opmaakprofiel2 2 16 7 5" xfId="40888"/>
    <cellStyle name="Data   - Opmaakprofiel2 2 16 7 6" xfId="44697"/>
    <cellStyle name="Data   - Opmaakprofiel2 2 16 8" xfId="2814"/>
    <cellStyle name="Data   - Opmaakprofiel2 2 16 8 2" xfId="8005"/>
    <cellStyle name="Data   - Opmaakprofiel2 2 16 8 2 2" xfId="20303"/>
    <cellStyle name="Data   - Opmaakprofiel2 2 16 8 2 3" xfId="32355"/>
    <cellStyle name="Data   - Opmaakprofiel2 2 16 8 2 4" xfId="34746"/>
    <cellStyle name="Data   - Opmaakprofiel2 2 16 8 2 5" xfId="52970"/>
    <cellStyle name="Data   - Opmaakprofiel2 2 16 8 3" xfId="12833"/>
    <cellStyle name="Data   - Opmaakprofiel2 2 16 8 4" xfId="24885"/>
    <cellStyle name="Data   - Opmaakprofiel2 2 16 8 5" xfId="46337"/>
    <cellStyle name="Data   - Opmaakprofiel2 2 16 8 6" xfId="38583"/>
    <cellStyle name="Data   - Opmaakprofiel2 2 16 9" xfId="3673"/>
    <cellStyle name="Data   - Opmaakprofiel2 2 16 9 2" xfId="8006"/>
    <cellStyle name="Data   - Opmaakprofiel2 2 16 9 2 2" xfId="20304"/>
    <cellStyle name="Data   - Opmaakprofiel2 2 16 9 2 3" xfId="32356"/>
    <cellStyle name="Data   - Opmaakprofiel2 2 16 9 2 4" xfId="43272"/>
    <cellStyle name="Data   - Opmaakprofiel2 2 16 9 2 5" xfId="52971"/>
    <cellStyle name="Data   - Opmaakprofiel2 2 16 9 3" xfId="12834"/>
    <cellStyle name="Data   - Opmaakprofiel2 2 16 9 4" xfId="24886"/>
    <cellStyle name="Data   - Opmaakprofiel2 2 16 9 5" xfId="40887"/>
    <cellStyle name="Data   - Opmaakprofiel2 2 16 9 6" xfId="44703"/>
    <cellStyle name="Data   - Opmaakprofiel2 2 17" xfId="789"/>
    <cellStyle name="Data   - Opmaakprofiel2 2 17 10" xfId="4296"/>
    <cellStyle name="Data   - Opmaakprofiel2 2 17 10 2" xfId="8007"/>
    <cellStyle name="Data   - Opmaakprofiel2 2 17 10 2 2" xfId="20305"/>
    <cellStyle name="Data   - Opmaakprofiel2 2 17 10 2 3" xfId="32357"/>
    <cellStyle name="Data   - Opmaakprofiel2 2 17 10 2 4" xfId="25724"/>
    <cellStyle name="Data   - Opmaakprofiel2 2 17 10 2 5" xfId="52972"/>
    <cellStyle name="Data   - Opmaakprofiel2 2 17 10 3" xfId="12836"/>
    <cellStyle name="Data   - Opmaakprofiel2 2 17 10 4" xfId="24888"/>
    <cellStyle name="Data   - Opmaakprofiel2 2 17 10 5" xfId="40886"/>
    <cellStyle name="Data   - Opmaakprofiel2 2 17 10 6" xfId="38594"/>
    <cellStyle name="Data   - Opmaakprofiel2 2 17 11" xfId="4297"/>
    <cellStyle name="Data   - Opmaakprofiel2 2 17 11 2" xfId="8008"/>
    <cellStyle name="Data   - Opmaakprofiel2 2 17 11 2 2" xfId="20306"/>
    <cellStyle name="Data   - Opmaakprofiel2 2 17 11 2 3" xfId="32358"/>
    <cellStyle name="Data   - Opmaakprofiel2 2 17 11 2 4" xfId="43271"/>
    <cellStyle name="Data   - Opmaakprofiel2 2 17 11 2 5" xfId="52973"/>
    <cellStyle name="Data   - Opmaakprofiel2 2 17 11 3" xfId="12837"/>
    <cellStyle name="Data   - Opmaakprofiel2 2 17 11 4" xfId="24889"/>
    <cellStyle name="Data   - Opmaakprofiel2 2 17 11 5" xfId="46335"/>
    <cellStyle name="Data   - Opmaakprofiel2 2 17 11 6" xfId="38598"/>
    <cellStyle name="Data   - Opmaakprofiel2 2 17 12" xfId="4298"/>
    <cellStyle name="Data   - Opmaakprofiel2 2 17 12 2" xfId="12838"/>
    <cellStyle name="Data   - Opmaakprofiel2 2 17 12 3" xfId="24890"/>
    <cellStyle name="Data   - Opmaakprofiel2 2 17 12 4" xfId="40885"/>
    <cellStyle name="Data   - Opmaakprofiel2 2 17 12 5" xfId="44714"/>
    <cellStyle name="Data   - Opmaakprofiel2 2 17 13" xfId="7454"/>
    <cellStyle name="Data   - Opmaakprofiel2 2 17 13 2" xfId="19752"/>
    <cellStyle name="Data   - Opmaakprofiel2 2 17 13 3" xfId="41555"/>
    <cellStyle name="Data   - Opmaakprofiel2 2 17 13 4" xfId="43502"/>
    <cellStyle name="Data   - Opmaakprofiel2 2 17 13 5" xfId="52424"/>
    <cellStyle name="Data   - Opmaakprofiel2 2 17 14" xfId="12835"/>
    <cellStyle name="Data   - Opmaakprofiel2 2 17 2" xfId="952"/>
    <cellStyle name="Data   - Opmaakprofiel2 2 17 2 2" xfId="2450"/>
    <cellStyle name="Data   - Opmaakprofiel2 2 17 2 2 2" xfId="8009"/>
    <cellStyle name="Data   - Opmaakprofiel2 2 17 2 2 2 2" xfId="20307"/>
    <cellStyle name="Data   - Opmaakprofiel2 2 17 2 2 2 3" xfId="32359"/>
    <cellStyle name="Data   - Opmaakprofiel2 2 17 2 2 2 4" xfId="32050"/>
    <cellStyle name="Data   - Opmaakprofiel2 2 17 2 2 2 5" xfId="52974"/>
    <cellStyle name="Data   - Opmaakprofiel2 2 17 2 2 3" xfId="12840"/>
    <cellStyle name="Data   - Opmaakprofiel2 2 17 2 2 4" xfId="24892"/>
    <cellStyle name="Data   - Opmaakprofiel2 2 17 2 2 5" xfId="40883"/>
    <cellStyle name="Data   - Opmaakprofiel2 2 17 2 2 6" xfId="44720"/>
    <cellStyle name="Data   - Opmaakprofiel2 2 17 2 3" xfId="2963"/>
    <cellStyle name="Data   - Opmaakprofiel2 2 17 2 3 2" xfId="8010"/>
    <cellStyle name="Data   - Opmaakprofiel2 2 17 2 3 2 2" xfId="20308"/>
    <cellStyle name="Data   - Opmaakprofiel2 2 17 2 3 2 3" xfId="32360"/>
    <cellStyle name="Data   - Opmaakprofiel2 2 17 2 3 2 4" xfId="43270"/>
    <cellStyle name="Data   - Opmaakprofiel2 2 17 2 3 2 5" xfId="52975"/>
    <cellStyle name="Data   - Opmaakprofiel2 2 17 2 3 3" xfId="12841"/>
    <cellStyle name="Data   - Opmaakprofiel2 2 17 2 3 4" xfId="24893"/>
    <cellStyle name="Data   - Opmaakprofiel2 2 17 2 3 5" xfId="46334"/>
    <cellStyle name="Data   - Opmaakprofiel2 2 17 2 3 6" xfId="38613"/>
    <cellStyle name="Data   - Opmaakprofiel2 2 17 2 4" xfId="3809"/>
    <cellStyle name="Data   - Opmaakprofiel2 2 17 2 4 2" xfId="8011"/>
    <cellStyle name="Data   - Opmaakprofiel2 2 17 2 4 2 2" xfId="20309"/>
    <cellStyle name="Data   - Opmaakprofiel2 2 17 2 4 2 3" xfId="32361"/>
    <cellStyle name="Data   - Opmaakprofiel2 2 17 2 4 2 4" xfId="25731"/>
    <cellStyle name="Data   - Opmaakprofiel2 2 17 2 4 2 5" xfId="52976"/>
    <cellStyle name="Data   - Opmaakprofiel2 2 17 2 4 3" xfId="12842"/>
    <cellStyle name="Data   - Opmaakprofiel2 2 17 2 4 4" xfId="24894"/>
    <cellStyle name="Data   - Opmaakprofiel2 2 17 2 4 5" xfId="40882"/>
    <cellStyle name="Data   - Opmaakprofiel2 2 17 2 4 6" xfId="44726"/>
    <cellStyle name="Data   - Opmaakprofiel2 2 17 2 5" xfId="4299"/>
    <cellStyle name="Data   - Opmaakprofiel2 2 17 2 5 2" xfId="8012"/>
    <cellStyle name="Data   - Opmaakprofiel2 2 17 2 5 2 2" xfId="20310"/>
    <cellStyle name="Data   - Opmaakprofiel2 2 17 2 5 2 3" xfId="32362"/>
    <cellStyle name="Data   - Opmaakprofiel2 2 17 2 5 2 4" xfId="43269"/>
    <cellStyle name="Data   - Opmaakprofiel2 2 17 2 5 2 5" xfId="52977"/>
    <cellStyle name="Data   - Opmaakprofiel2 2 17 2 5 3" xfId="12843"/>
    <cellStyle name="Data   - Opmaakprofiel2 2 17 2 5 4" xfId="24895"/>
    <cellStyle name="Data   - Opmaakprofiel2 2 17 2 5 5" xfId="46333"/>
    <cellStyle name="Data   - Opmaakprofiel2 2 17 2 5 6" xfId="38622"/>
    <cellStyle name="Data   - Opmaakprofiel2 2 17 2 6" xfId="4300"/>
    <cellStyle name="Data   - Opmaakprofiel2 2 17 2 6 2" xfId="8013"/>
    <cellStyle name="Data   - Opmaakprofiel2 2 17 2 6 2 2" xfId="20311"/>
    <cellStyle name="Data   - Opmaakprofiel2 2 17 2 6 2 3" xfId="32363"/>
    <cellStyle name="Data   - Opmaakprofiel2 2 17 2 6 2 4" xfId="31773"/>
    <cellStyle name="Data   - Opmaakprofiel2 2 17 2 6 2 5" xfId="52978"/>
    <cellStyle name="Data   - Opmaakprofiel2 2 17 2 6 3" xfId="12844"/>
    <cellStyle name="Data   - Opmaakprofiel2 2 17 2 6 4" xfId="24896"/>
    <cellStyle name="Data   - Opmaakprofiel2 2 17 2 6 5" xfId="40881"/>
    <cellStyle name="Data   - Opmaakprofiel2 2 17 2 6 6" xfId="44732"/>
    <cellStyle name="Data   - Opmaakprofiel2 2 17 2 7" xfId="4301"/>
    <cellStyle name="Data   - Opmaakprofiel2 2 17 2 7 2" xfId="12845"/>
    <cellStyle name="Data   - Opmaakprofiel2 2 17 2 7 3" xfId="24897"/>
    <cellStyle name="Data   - Opmaakprofiel2 2 17 2 7 4" xfId="46332"/>
    <cellStyle name="Data   - Opmaakprofiel2 2 17 2 7 5" xfId="38630"/>
    <cellStyle name="Data   - Opmaakprofiel2 2 17 2 8" xfId="10032"/>
    <cellStyle name="Data   - Opmaakprofiel2 2 17 2 8 2" xfId="22330"/>
    <cellStyle name="Data   - Opmaakprofiel2 2 17 2 8 3" xfId="44094"/>
    <cellStyle name="Data   - Opmaakprofiel2 2 17 2 8 4" xfId="42444"/>
    <cellStyle name="Data   - Opmaakprofiel2 2 17 2 8 5" xfId="54997"/>
    <cellStyle name="Data   - Opmaakprofiel2 2 17 2 9" xfId="12839"/>
    <cellStyle name="Data   - Opmaakprofiel2 2 17 3" xfId="1048"/>
    <cellStyle name="Data   - Opmaakprofiel2 2 17 3 2" xfId="2145"/>
    <cellStyle name="Data   - Opmaakprofiel2 2 17 3 2 2" xfId="8014"/>
    <cellStyle name="Data   - Opmaakprofiel2 2 17 3 2 2 2" xfId="20312"/>
    <cellStyle name="Data   - Opmaakprofiel2 2 17 3 2 2 3" xfId="32364"/>
    <cellStyle name="Data   - Opmaakprofiel2 2 17 3 2 2 4" xfId="25738"/>
    <cellStyle name="Data   - Opmaakprofiel2 2 17 3 2 2 5" xfId="52979"/>
    <cellStyle name="Data   - Opmaakprofiel2 2 17 3 2 3" xfId="12847"/>
    <cellStyle name="Data   - Opmaakprofiel2 2 17 3 2 4" xfId="24899"/>
    <cellStyle name="Data   - Opmaakprofiel2 2 17 3 2 5" xfId="46331"/>
    <cellStyle name="Data   - Opmaakprofiel2 2 17 3 2 6" xfId="44741"/>
    <cellStyle name="Data   - Opmaakprofiel2 2 17 3 3" xfId="3059"/>
    <cellStyle name="Data   - Opmaakprofiel2 2 17 3 3 2" xfId="8015"/>
    <cellStyle name="Data   - Opmaakprofiel2 2 17 3 3 2 2" xfId="20313"/>
    <cellStyle name="Data   - Opmaakprofiel2 2 17 3 3 2 3" xfId="32365"/>
    <cellStyle name="Data   - Opmaakprofiel2 2 17 3 3 2 4" xfId="34307"/>
    <cellStyle name="Data   - Opmaakprofiel2 2 17 3 3 2 5" xfId="52980"/>
    <cellStyle name="Data   - Opmaakprofiel2 2 17 3 3 3" xfId="12848"/>
    <cellStyle name="Data   - Opmaakprofiel2 2 17 3 3 4" xfId="24900"/>
    <cellStyle name="Data   - Opmaakprofiel2 2 17 3 3 5" xfId="40879"/>
    <cellStyle name="Data   - Opmaakprofiel2 2 17 3 3 6" xfId="38643"/>
    <cellStyle name="Data   - Opmaakprofiel2 2 17 3 4" xfId="3900"/>
    <cellStyle name="Data   - Opmaakprofiel2 2 17 3 4 2" xfId="8016"/>
    <cellStyle name="Data   - Opmaakprofiel2 2 17 3 4 2 2" xfId="20314"/>
    <cellStyle name="Data   - Opmaakprofiel2 2 17 3 4 2 3" xfId="32366"/>
    <cellStyle name="Data   - Opmaakprofiel2 2 17 3 4 2 4" xfId="43268"/>
    <cellStyle name="Data   - Opmaakprofiel2 2 17 3 4 2 5" xfId="52981"/>
    <cellStyle name="Data   - Opmaakprofiel2 2 17 3 4 3" xfId="12849"/>
    <cellStyle name="Data   - Opmaakprofiel2 2 17 3 4 4" xfId="24901"/>
    <cellStyle name="Data   - Opmaakprofiel2 2 17 3 4 5" xfId="46330"/>
    <cellStyle name="Data   - Opmaakprofiel2 2 17 3 4 6" xfId="44748"/>
    <cellStyle name="Data   - Opmaakprofiel2 2 17 3 5" xfId="4302"/>
    <cellStyle name="Data   - Opmaakprofiel2 2 17 3 5 2" xfId="8017"/>
    <cellStyle name="Data   - Opmaakprofiel2 2 17 3 5 2 2" xfId="20315"/>
    <cellStyle name="Data   - Opmaakprofiel2 2 17 3 5 2 3" xfId="32367"/>
    <cellStyle name="Data   - Opmaakprofiel2 2 17 3 5 2 4" xfId="25748"/>
    <cellStyle name="Data   - Opmaakprofiel2 2 17 3 5 2 5" xfId="52982"/>
    <cellStyle name="Data   - Opmaakprofiel2 2 17 3 5 3" xfId="12850"/>
    <cellStyle name="Data   - Opmaakprofiel2 2 17 3 5 4" xfId="24902"/>
    <cellStyle name="Data   - Opmaakprofiel2 2 17 3 5 5" xfId="40878"/>
    <cellStyle name="Data   - Opmaakprofiel2 2 17 3 5 6" xfId="38651"/>
    <cellStyle name="Data   - Opmaakprofiel2 2 17 3 6" xfId="4303"/>
    <cellStyle name="Data   - Opmaakprofiel2 2 17 3 6 2" xfId="8018"/>
    <cellStyle name="Data   - Opmaakprofiel2 2 17 3 6 2 2" xfId="20316"/>
    <cellStyle name="Data   - Opmaakprofiel2 2 17 3 6 2 3" xfId="32368"/>
    <cellStyle name="Data   - Opmaakprofiel2 2 17 3 6 2 4" xfId="43267"/>
    <cellStyle name="Data   - Opmaakprofiel2 2 17 3 6 2 5" xfId="52983"/>
    <cellStyle name="Data   - Opmaakprofiel2 2 17 3 6 3" xfId="12851"/>
    <cellStyle name="Data   - Opmaakprofiel2 2 17 3 6 4" xfId="24903"/>
    <cellStyle name="Data   - Opmaakprofiel2 2 17 3 6 5" xfId="40877"/>
    <cellStyle name="Data   - Opmaakprofiel2 2 17 3 6 6" xfId="38655"/>
    <cellStyle name="Data   - Opmaakprofiel2 2 17 3 7" xfId="4304"/>
    <cellStyle name="Data   - Opmaakprofiel2 2 17 3 7 2" xfId="12852"/>
    <cellStyle name="Data   - Opmaakprofiel2 2 17 3 7 3" xfId="24904"/>
    <cellStyle name="Data   - Opmaakprofiel2 2 17 3 7 4" xfId="40876"/>
    <cellStyle name="Data   - Opmaakprofiel2 2 17 3 7 5" xfId="38659"/>
    <cellStyle name="Data   - Opmaakprofiel2 2 17 3 8" xfId="7277"/>
    <cellStyle name="Data   - Opmaakprofiel2 2 17 3 8 2" xfId="19575"/>
    <cellStyle name="Data   - Opmaakprofiel2 2 17 3 8 3" xfId="41378"/>
    <cellStyle name="Data   - Opmaakprofiel2 2 17 3 8 4" xfId="36872"/>
    <cellStyle name="Data   - Opmaakprofiel2 2 17 3 8 5" xfId="52247"/>
    <cellStyle name="Data   - Opmaakprofiel2 2 17 3 9" xfId="12846"/>
    <cellStyle name="Data   - Opmaakprofiel2 2 17 4" xfId="1095"/>
    <cellStyle name="Data   - Opmaakprofiel2 2 17 4 2" xfId="1552"/>
    <cellStyle name="Data   - Opmaakprofiel2 2 17 4 2 2" xfId="8019"/>
    <cellStyle name="Data   - Opmaakprofiel2 2 17 4 2 2 2" xfId="20317"/>
    <cellStyle name="Data   - Opmaakprofiel2 2 17 4 2 2 3" xfId="32369"/>
    <cellStyle name="Data   - Opmaakprofiel2 2 17 4 2 2 4" xfId="25749"/>
    <cellStyle name="Data   - Opmaakprofiel2 2 17 4 2 2 5" xfId="52984"/>
    <cellStyle name="Data   - Opmaakprofiel2 2 17 4 2 3" xfId="12854"/>
    <cellStyle name="Data   - Opmaakprofiel2 2 17 4 2 4" xfId="24906"/>
    <cellStyle name="Data   - Opmaakprofiel2 2 17 4 2 5" xfId="40875"/>
    <cellStyle name="Data   - Opmaakprofiel2 2 17 4 2 6" xfId="38666"/>
    <cellStyle name="Data   - Opmaakprofiel2 2 17 4 3" xfId="3106"/>
    <cellStyle name="Data   - Opmaakprofiel2 2 17 4 3 2" xfId="8020"/>
    <cellStyle name="Data   - Opmaakprofiel2 2 17 4 3 2 2" xfId="20318"/>
    <cellStyle name="Data   - Opmaakprofiel2 2 17 4 3 2 3" xfId="32370"/>
    <cellStyle name="Data   - Opmaakprofiel2 2 17 4 3 2 4" xfId="31662"/>
    <cellStyle name="Data   - Opmaakprofiel2 2 17 4 3 2 5" xfId="52985"/>
    <cellStyle name="Data   - Opmaakprofiel2 2 17 4 3 3" xfId="12855"/>
    <cellStyle name="Data   - Opmaakprofiel2 2 17 4 3 4" xfId="24907"/>
    <cellStyle name="Data   - Opmaakprofiel2 2 17 4 3 5" xfId="46328"/>
    <cellStyle name="Data   - Opmaakprofiel2 2 17 4 3 6" xfId="44765"/>
    <cellStyle name="Data   - Opmaakprofiel2 2 17 4 4" xfId="3943"/>
    <cellStyle name="Data   - Opmaakprofiel2 2 17 4 4 2" xfId="8021"/>
    <cellStyle name="Data   - Opmaakprofiel2 2 17 4 4 2 2" xfId="20319"/>
    <cellStyle name="Data   - Opmaakprofiel2 2 17 4 4 2 3" xfId="32371"/>
    <cellStyle name="Data   - Opmaakprofiel2 2 17 4 4 2 4" xfId="43266"/>
    <cellStyle name="Data   - Opmaakprofiel2 2 17 4 4 2 5" xfId="52986"/>
    <cellStyle name="Data   - Opmaakprofiel2 2 17 4 4 3" xfId="12856"/>
    <cellStyle name="Data   - Opmaakprofiel2 2 17 4 4 4" xfId="24908"/>
    <cellStyle name="Data   - Opmaakprofiel2 2 17 4 4 5" xfId="40874"/>
    <cellStyle name="Data   - Opmaakprofiel2 2 17 4 4 6" xfId="38674"/>
    <cellStyle name="Data   - Opmaakprofiel2 2 17 4 5" xfId="4305"/>
    <cellStyle name="Data   - Opmaakprofiel2 2 17 4 5 2" xfId="8022"/>
    <cellStyle name="Data   - Opmaakprofiel2 2 17 4 5 2 2" xfId="20320"/>
    <cellStyle name="Data   - Opmaakprofiel2 2 17 4 5 2 3" xfId="32372"/>
    <cellStyle name="Data   - Opmaakprofiel2 2 17 4 5 2 4" xfId="25756"/>
    <cellStyle name="Data   - Opmaakprofiel2 2 17 4 5 2 5" xfId="52987"/>
    <cellStyle name="Data   - Opmaakprofiel2 2 17 4 5 3" xfId="12857"/>
    <cellStyle name="Data   - Opmaakprofiel2 2 17 4 5 4" xfId="24909"/>
    <cellStyle name="Data   - Opmaakprofiel2 2 17 4 5 5" xfId="46327"/>
    <cellStyle name="Data   - Opmaakprofiel2 2 17 4 5 6" xfId="38678"/>
    <cellStyle name="Data   - Opmaakprofiel2 2 17 4 6" xfId="4306"/>
    <cellStyle name="Data   - Opmaakprofiel2 2 17 4 6 2" xfId="8023"/>
    <cellStyle name="Data   - Opmaakprofiel2 2 17 4 6 2 2" xfId="20321"/>
    <cellStyle name="Data   - Opmaakprofiel2 2 17 4 6 2 3" xfId="32373"/>
    <cellStyle name="Data   - Opmaakprofiel2 2 17 4 6 2 4" xfId="43265"/>
    <cellStyle name="Data   - Opmaakprofiel2 2 17 4 6 2 5" xfId="52988"/>
    <cellStyle name="Data   - Opmaakprofiel2 2 17 4 6 3" xfId="12858"/>
    <cellStyle name="Data   - Opmaakprofiel2 2 17 4 6 4" xfId="24910"/>
    <cellStyle name="Data   - Opmaakprofiel2 2 17 4 6 5" xfId="40873"/>
    <cellStyle name="Data   - Opmaakprofiel2 2 17 4 6 6" xfId="44774"/>
    <cellStyle name="Data   - Opmaakprofiel2 2 17 4 7" xfId="4307"/>
    <cellStyle name="Data   - Opmaakprofiel2 2 17 4 7 2" xfId="12859"/>
    <cellStyle name="Data   - Opmaakprofiel2 2 17 4 7 3" xfId="24911"/>
    <cellStyle name="Data   - Opmaakprofiel2 2 17 4 7 4" xfId="46326"/>
    <cellStyle name="Data   - Opmaakprofiel2 2 17 4 7 5" xfId="44776"/>
    <cellStyle name="Data   - Opmaakprofiel2 2 17 4 8" xfId="9937"/>
    <cellStyle name="Data   - Opmaakprofiel2 2 17 4 8 2" xfId="22235"/>
    <cellStyle name="Data   - Opmaakprofiel2 2 17 4 8 3" xfId="44001"/>
    <cellStyle name="Data   - Opmaakprofiel2 2 17 4 8 4" xfId="28367"/>
    <cellStyle name="Data   - Opmaakprofiel2 2 17 4 8 5" xfId="54902"/>
    <cellStyle name="Data   - Opmaakprofiel2 2 17 4 9" xfId="12853"/>
    <cellStyle name="Data   - Opmaakprofiel2 2 17 5" xfId="1219"/>
    <cellStyle name="Data   - Opmaakprofiel2 2 17 5 2" xfId="1842"/>
    <cellStyle name="Data   - Opmaakprofiel2 2 17 5 2 2" xfId="8024"/>
    <cellStyle name="Data   - Opmaakprofiel2 2 17 5 2 2 2" xfId="20322"/>
    <cellStyle name="Data   - Opmaakprofiel2 2 17 5 2 2 3" xfId="32374"/>
    <cellStyle name="Data   - Opmaakprofiel2 2 17 5 2 2 4" xfId="31542"/>
    <cellStyle name="Data   - Opmaakprofiel2 2 17 5 2 2 5" xfId="52989"/>
    <cellStyle name="Data   - Opmaakprofiel2 2 17 5 2 3" xfId="12861"/>
    <cellStyle name="Data   - Opmaakprofiel2 2 17 5 2 4" xfId="24913"/>
    <cellStyle name="Data   - Opmaakprofiel2 2 17 5 2 5" xfId="46325"/>
    <cellStyle name="Data   - Opmaakprofiel2 2 17 5 2 6" xfId="44783"/>
    <cellStyle name="Data   - Opmaakprofiel2 2 17 5 3" xfId="3230"/>
    <cellStyle name="Data   - Opmaakprofiel2 2 17 5 3 2" xfId="8025"/>
    <cellStyle name="Data   - Opmaakprofiel2 2 17 5 3 2 2" xfId="20323"/>
    <cellStyle name="Data   - Opmaakprofiel2 2 17 5 3 2 3" xfId="32375"/>
    <cellStyle name="Data   - Opmaakprofiel2 2 17 5 3 2 4" xfId="43264"/>
    <cellStyle name="Data   - Opmaakprofiel2 2 17 5 3 2 5" xfId="52990"/>
    <cellStyle name="Data   - Opmaakprofiel2 2 17 5 3 3" xfId="12862"/>
    <cellStyle name="Data   - Opmaakprofiel2 2 17 5 3 4" xfId="24914"/>
    <cellStyle name="Data   - Opmaakprofiel2 2 17 5 3 5" xfId="40872"/>
    <cellStyle name="Data   - Opmaakprofiel2 2 17 5 3 6" xfId="38697"/>
    <cellStyle name="Data   - Opmaakprofiel2 2 17 5 4" xfId="4045"/>
    <cellStyle name="Data   - Opmaakprofiel2 2 17 5 4 2" xfId="8026"/>
    <cellStyle name="Data   - Opmaakprofiel2 2 17 5 4 2 2" xfId="20324"/>
    <cellStyle name="Data   - Opmaakprofiel2 2 17 5 4 2 3" xfId="32376"/>
    <cellStyle name="Data   - Opmaakprofiel2 2 17 5 4 2 4" xfId="25763"/>
    <cellStyle name="Data   - Opmaakprofiel2 2 17 5 4 2 5" xfId="52991"/>
    <cellStyle name="Data   - Opmaakprofiel2 2 17 5 4 3" xfId="12863"/>
    <cellStyle name="Data   - Opmaakprofiel2 2 17 5 4 4" xfId="24915"/>
    <cellStyle name="Data   - Opmaakprofiel2 2 17 5 4 5" xfId="40871"/>
    <cellStyle name="Data   - Opmaakprofiel2 2 17 5 4 6" xfId="44789"/>
    <cellStyle name="Data   - Opmaakprofiel2 2 17 5 5" xfId="4308"/>
    <cellStyle name="Data   - Opmaakprofiel2 2 17 5 5 2" xfId="8027"/>
    <cellStyle name="Data   - Opmaakprofiel2 2 17 5 5 2 2" xfId="20325"/>
    <cellStyle name="Data   - Opmaakprofiel2 2 17 5 5 2 3" xfId="32377"/>
    <cellStyle name="Data   - Opmaakprofiel2 2 17 5 5 2 4" xfId="31449"/>
    <cellStyle name="Data   - Opmaakprofiel2 2 17 5 5 2 5" xfId="52992"/>
    <cellStyle name="Data   - Opmaakprofiel2 2 17 5 5 3" xfId="12864"/>
    <cellStyle name="Data   - Opmaakprofiel2 2 17 5 5 4" xfId="24916"/>
    <cellStyle name="Data   - Opmaakprofiel2 2 17 5 5 5" xfId="40870"/>
    <cellStyle name="Data   - Opmaakprofiel2 2 17 5 5 6" xfId="38706"/>
    <cellStyle name="Data   - Opmaakprofiel2 2 17 5 6" xfId="4309"/>
    <cellStyle name="Data   - Opmaakprofiel2 2 17 5 6 2" xfId="8028"/>
    <cellStyle name="Data   - Opmaakprofiel2 2 17 5 6 2 2" xfId="20326"/>
    <cellStyle name="Data   - Opmaakprofiel2 2 17 5 6 2 3" xfId="32378"/>
    <cellStyle name="Data   - Opmaakprofiel2 2 17 5 6 2 4" xfId="43263"/>
    <cellStyle name="Data   - Opmaakprofiel2 2 17 5 6 2 5" xfId="52993"/>
    <cellStyle name="Data   - Opmaakprofiel2 2 17 5 6 3" xfId="12865"/>
    <cellStyle name="Data   - Opmaakprofiel2 2 17 5 6 4" xfId="24917"/>
    <cellStyle name="Data   - Opmaakprofiel2 2 17 5 6 5" xfId="46324"/>
    <cellStyle name="Data   - Opmaakprofiel2 2 17 5 6 6" xfId="38708"/>
    <cellStyle name="Data   - Opmaakprofiel2 2 17 5 7" xfId="4310"/>
    <cellStyle name="Data   - Opmaakprofiel2 2 17 5 7 2" xfId="12866"/>
    <cellStyle name="Data   - Opmaakprofiel2 2 17 5 7 3" xfId="24918"/>
    <cellStyle name="Data   - Opmaakprofiel2 2 17 5 7 4" xfId="40869"/>
    <cellStyle name="Data   - Opmaakprofiel2 2 17 5 7 5" xfId="38714"/>
    <cellStyle name="Data   - Opmaakprofiel2 2 17 5 8" xfId="7155"/>
    <cellStyle name="Data   - Opmaakprofiel2 2 17 5 8 2" xfId="19453"/>
    <cellStyle name="Data   - Opmaakprofiel2 2 17 5 8 3" xfId="41256"/>
    <cellStyle name="Data   - Opmaakprofiel2 2 17 5 8 4" xfId="36944"/>
    <cellStyle name="Data   - Opmaakprofiel2 2 17 5 8 5" xfId="52125"/>
    <cellStyle name="Data   - Opmaakprofiel2 2 17 5 9" xfId="12860"/>
    <cellStyle name="Data   - Opmaakprofiel2 2 17 6" xfId="833"/>
    <cellStyle name="Data   - Opmaakprofiel2 2 17 6 2" xfId="1459"/>
    <cellStyle name="Data   - Opmaakprofiel2 2 17 6 2 2" xfId="8029"/>
    <cellStyle name="Data   - Opmaakprofiel2 2 17 6 2 2 2" xfId="20327"/>
    <cellStyle name="Data   - Opmaakprofiel2 2 17 6 2 2 3" xfId="32379"/>
    <cellStyle name="Data   - Opmaakprofiel2 2 17 6 2 2 4" xfId="25770"/>
    <cellStyle name="Data   - Opmaakprofiel2 2 17 6 2 2 5" xfId="52994"/>
    <cellStyle name="Data   - Opmaakprofiel2 2 17 6 2 3" xfId="12868"/>
    <cellStyle name="Data   - Opmaakprofiel2 2 17 6 2 4" xfId="24920"/>
    <cellStyle name="Data   - Opmaakprofiel2 2 17 6 2 5" xfId="40868"/>
    <cellStyle name="Data   - Opmaakprofiel2 2 17 6 2 6" xfId="38722"/>
    <cellStyle name="Data   - Opmaakprofiel2 2 17 6 3" xfId="2844"/>
    <cellStyle name="Data   - Opmaakprofiel2 2 17 6 3 2" xfId="8030"/>
    <cellStyle name="Data   - Opmaakprofiel2 2 17 6 3 2 2" xfId="20328"/>
    <cellStyle name="Data   - Opmaakprofiel2 2 17 6 3 2 3" xfId="32380"/>
    <cellStyle name="Data   - Opmaakprofiel2 2 17 6 3 2 4" xfId="43262"/>
    <cellStyle name="Data   - Opmaakprofiel2 2 17 6 3 2 5" xfId="52995"/>
    <cellStyle name="Data   - Opmaakprofiel2 2 17 6 3 3" xfId="12869"/>
    <cellStyle name="Data   - Opmaakprofiel2 2 17 6 3 4" xfId="24921"/>
    <cellStyle name="Data   - Opmaakprofiel2 2 17 6 3 5" xfId="46323"/>
    <cellStyle name="Data   - Opmaakprofiel2 2 17 6 3 6" xfId="38726"/>
    <cellStyle name="Data   - Opmaakprofiel2 2 17 6 4" xfId="3700"/>
    <cellStyle name="Data   - Opmaakprofiel2 2 17 6 4 2" xfId="8031"/>
    <cellStyle name="Data   - Opmaakprofiel2 2 17 6 4 2 2" xfId="20329"/>
    <cellStyle name="Data   - Opmaakprofiel2 2 17 6 4 2 3" xfId="32381"/>
    <cellStyle name="Data   - Opmaakprofiel2 2 17 6 4 2 4" xfId="31730"/>
    <cellStyle name="Data   - Opmaakprofiel2 2 17 6 4 2 5" xfId="52996"/>
    <cellStyle name="Data   - Opmaakprofiel2 2 17 6 4 3" xfId="12870"/>
    <cellStyle name="Data   - Opmaakprofiel2 2 17 6 4 4" xfId="24922"/>
    <cellStyle name="Data   - Opmaakprofiel2 2 17 6 4 5" xfId="40867"/>
    <cellStyle name="Data   - Opmaakprofiel2 2 17 6 4 6" xfId="38730"/>
    <cellStyle name="Data   - Opmaakprofiel2 2 17 6 5" xfId="4311"/>
    <cellStyle name="Data   - Opmaakprofiel2 2 17 6 5 2" xfId="8032"/>
    <cellStyle name="Data   - Opmaakprofiel2 2 17 6 5 2 2" xfId="20330"/>
    <cellStyle name="Data   - Opmaakprofiel2 2 17 6 5 2 3" xfId="32382"/>
    <cellStyle name="Data   - Opmaakprofiel2 2 17 6 5 2 4" xfId="43261"/>
    <cellStyle name="Data   - Opmaakprofiel2 2 17 6 5 2 5" xfId="52997"/>
    <cellStyle name="Data   - Opmaakprofiel2 2 17 6 5 3" xfId="12871"/>
    <cellStyle name="Data   - Opmaakprofiel2 2 17 6 5 4" xfId="24923"/>
    <cellStyle name="Data   - Opmaakprofiel2 2 17 6 5 5" xfId="46322"/>
    <cellStyle name="Data   - Opmaakprofiel2 2 17 6 5 6" xfId="38732"/>
    <cellStyle name="Data   - Opmaakprofiel2 2 17 6 6" xfId="4312"/>
    <cellStyle name="Data   - Opmaakprofiel2 2 17 6 6 2" xfId="8033"/>
    <cellStyle name="Data   - Opmaakprofiel2 2 17 6 6 2 2" xfId="20331"/>
    <cellStyle name="Data   - Opmaakprofiel2 2 17 6 6 2 3" xfId="32383"/>
    <cellStyle name="Data   - Opmaakprofiel2 2 17 6 6 2 4" xfId="25777"/>
    <cellStyle name="Data   - Opmaakprofiel2 2 17 6 6 2 5" xfId="52998"/>
    <cellStyle name="Data   - Opmaakprofiel2 2 17 6 6 3" xfId="12872"/>
    <cellStyle name="Data   - Opmaakprofiel2 2 17 6 6 4" xfId="24924"/>
    <cellStyle name="Data   - Opmaakprofiel2 2 17 6 6 5" xfId="40866"/>
    <cellStyle name="Data   - Opmaakprofiel2 2 17 6 6 6" xfId="38738"/>
    <cellStyle name="Data   - Opmaakprofiel2 2 17 6 7" xfId="4313"/>
    <cellStyle name="Data   - Opmaakprofiel2 2 17 6 7 2" xfId="12873"/>
    <cellStyle name="Data   - Opmaakprofiel2 2 17 6 7 3" xfId="24925"/>
    <cellStyle name="Data   - Opmaakprofiel2 2 17 6 7 4" xfId="46321"/>
    <cellStyle name="Data   - Opmaakprofiel2 2 17 6 7 5" xfId="44817"/>
    <cellStyle name="Data   - Opmaakprofiel2 2 17 6 8" xfId="7425"/>
    <cellStyle name="Data   - Opmaakprofiel2 2 17 6 8 2" xfId="19723"/>
    <cellStyle name="Data   - Opmaakprofiel2 2 17 6 8 3" xfId="41526"/>
    <cellStyle name="Data   - Opmaakprofiel2 2 17 6 8 4" xfId="15564"/>
    <cellStyle name="Data   - Opmaakprofiel2 2 17 6 8 5" xfId="52395"/>
    <cellStyle name="Data   - Opmaakprofiel2 2 17 6 9" xfId="12867"/>
    <cellStyle name="Data   - Opmaakprofiel2 2 17 7" xfId="1520"/>
    <cellStyle name="Data   - Opmaakprofiel2 2 17 7 2" xfId="8034"/>
    <cellStyle name="Data   - Opmaakprofiel2 2 17 7 2 2" xfId="20332"/>
    <cellStyle name="Data   - Opmaakprofiel2 2 17 7 2 3" xfId="32384"/>
    <cellStyle name="Data   - Opmaakprofiel2 2 17 7 2 4" xfId="43260"/>
    <cellStyle name="Data   - Opmaakprofiel2 2 17 7 2 5" xfId="52999"/>
    <cellStyle name="Data   - Opmaakprofiel2 2 17 7 3" xfId="12874"/>
    <cellStyle name="Data   - Opmaakprofiel2 2 17 7 4" xfId="24926"/>
    <cellStyle name="Data   - Opmaakprofiel2 2 17 7 5" xfId="40865"/>
    <cellStyle name="Data   - Opmaakprofiel2 2 17 7 6" xfId="38746"/>
    <cellStyle name="Data   - Opmaakprofiel2 2 17 8" xfId="2817"/>
    <cellStyle name="Data   - Opmaakprofiel2 2 17 8 2" xfId="8035"/>
    <cellStyle name="Data   - Opmaakprofiel2 2 17 8 2 2" xfId="20333"/>
    <cellStyle name="Data   - Opmaakprofiel2 2 17 8 2 3" xfId="32385"/>
    <cellStyle name="Data   - Opmaakprofiel2 2 17 8 2 4" xfId="31423"/>
    <cellStyle name="Data   - Opmaakprofiel2 2 17 8 2 5" xfId="53000"/>
    <cellStyle name="Data   - Opmaakprofiel2 2 17 8 3" xfId="12875"/>
    <cellStyle name="Data   - Opmaakprofiel2 2 17 8 4" xfId="24927"/>
    <cellStyle name="Data   - Opmaakprofiel2 2 17 8 5" xfId="40864"/>
    <cellStyle name="Data   - Opmaakprofiel2 2 17 8 6" xfId="44823"/>
    <cellStyle name="Data   - Opmaakprofiel2 2 17 9" xfId="3676"/>
    <cellStyle name="Data   - Opmaakprofiel2 2 17 9 2" xfId="8036"/>
    <cellStyle name="Data   - Opmaakprofiel2 2 17 9 2 2" xfId="20334"/>
    <cellStyle name="Data   - Opmaakprofiel2 2 17 9 2 3" xfId="32386"/>
    <cellStyle name="Data   - Opmaakprofiel2 2 17 9 2 4" xfId="43259"/>
    <cellStyle name="Data   - Opmaakprofiel2 2 17 9 2 5" xfId="53001"/>
    <cellStyle name="Data   - Opmaakprofiel2 2 17 9 3" xfId="12876"/>
    <cellStyle name="Data   - Opmaakprofiel2 2 17 9 4" xfId="24928"/>
    <cellStyle name="Data   - Opmaakprofiel2 2 17 9 5" xfId="40863"/>
    <cellStyle name="Data   - Opmaakprofiel2 2 17 9 6" xfId="38755"/>
    <cellStyle name="Data   - Opmaakprofiel2 2 18" xfId="800"/>
    <cellStyle name="Data   - Opmaakprofiel2 2 18 10" xfId="4314"/>
    <cellStyle name="Data   - Opmaakprofiel2 2 18 10 2" xfId="8037"/>
    <cellStyle name="Data   - Opmaakprofiel2 2 18 10 2 2" xfId="20335"/>
    <cellStyle name="Data   - Opmaakprofiel2 2 18 10 2 3" xfId="32387"/>
    <cellStyle name="Data   - Opmaakprofiel2 2 18 10 2 4" xfId="25784"/>
    <cellStyle name="Data   - Opmaakprofiel2 2 18 10 2 5" xfId="53002"/>
    <cellStyle name="Data   - Opmaakprofiel2 2 18 10 3" xfId="12878"/>
    <cellStyle name="Data   - Opmaakprofiel2 2 18 10 4" xfId="24930"/>
    <cellStyle name="Data   - Opmaakprofiel2 2 18 10 5" xfId="40862"/>
    <cellStyle name="Data   - Opmaakprofiel2 2 18 10 6" xfId="38762"/>
    <cellStyle name="Data   - Opmaakprofiel2 2 18 11" xfId="4315"/>
    <cellStyle name="Data   - Opmaakprofiel2 2 18 11 2" xfId="8038"/>
    <cellStyle name="Data   - Opmaakprofiel2 2 18 11 2 2" xfId="20336"/>
    <cellStyle name="Data   - Opmaakprofiel2 2 18 11 2 3" xfId="32388"/>
    <cellStyle name="Data   - Opmaakprofiel2 2 18 11 2 4" xfId="31374"/>
    <cellStyle name="Data   - Opmaakprofiel2 2 18 11 2 5" xfId="53003"/>
    <cellStyle name="Data   - Opmaakprofiel2 2 18 11 3" xfId="12879"/>
    <cellStyle name="Data   - Opmaakprofiel2 2 18 11 4" xfId="24931"/>
    <cellStyle name="Data   - Opmaakprofiel2 2 18 11 5" xfId="46319"/>
    <cellStyle name="Data   - Opmaakprofiel2 2 18 11 6" xfId="44835"/>
    <cellStyle name="Data   - Opmaakprofiel2 2 18 12" xfId="4316"/>
    <cellStyle name="Data   - Opmaakprofiel2 2 18 12 2" xfId="12880"/>
    <cellStyle name="Data   - Opmaakprofiel2 2 18 12 3" xfId="24932"/>
    <cellStyle name="Data   - Opmaakprofiel2 2 18 12 4" xfId="40861"/>
    <cellStyle name="Data   - Opmaakprofiel2 2 18 12 5" xfId="38770"/>
    <cellStyle name="Data   - Opmaakprofiel2 2 18 13" xfId="10131"/>
    <cellStyle name="Data   - Opmaakprofiel2 2 18 13 2" xfId="22429"/>
    <cellStyle name="Data   - Opmaakprofiel2 2 18 13 3" xfId="44193"/>
    <cellStyle name="Data   - Opmaakprofiel2 2 18 13 4" xfId="28672"/>
    <cellStyle name="Data   - Opmaakprofiel2 2 18 13 5" xfId="55096"/>
    <cellStyle name="Data   - Opmaakprofiel2 2 18 14" xfId="12877"/>
    <cellStyle name="Data   - Opmaakprofiel2 2 18 2" xfId="962"/>
    <cellStyle name="Data   - Opmaakprofiel2 2 18 2 2" xfId="1692"/>
    <cellStyle name="Data   - Opmaakprofiel2 2 18 2 2 2" xfId="8039"/>
    <cellStyle name="Data   - Opmaakprofiel2 2 18 2 2 2 2" xfId="20337"/>
    <cellStyle name="Data   - Opmaakprofiel2 2 18 2 2 2 3" xfId="32389"/>
    <cellStyle name="Data   - Opmaakprofiel2 2 18 2 2 2 4" xfId="25795"/>
    <cellStyle name="Data   - Opmaakprofiel2 2 18 2 2 2 5" xfId="53004"/>
    <cellStyle name="Data   - Opmaakprofiel2 2 18 2 2 3" xfId="12882"/>
    <cellStyle name="Data   - Opmaakprofiel2 2 18 2 2 4" xfId="24934"/>
    <cellStyle name="Data   - Opmaakprofiel2 2 18 2 2 5" xfId="40860"/>
    <cellStyle name="Data   - Opmaakprofiel2 2 18 2 2 6" xfId="38777"/>
    <cellStyle name="Data   - Opmaakprofiel2 2 18 2 3" xfId="2973"/>
    <cellStyle name="Data   - Opmaakprofiel2 2 18 2 3 2" xfId="8040"/>
    <cellStyle name="Data   - Opmaakprofiel2 2 18 2 3 2 2" xfId="20338"/>
    <cellStyle name="Data   - Opmaakprofiel2 2 18 2 3 2 3" xfId="32390"/>
    <cellStyle name="Data   - Opmaakprofiel2 2 18 2 3 2 4" xfId="43258"/>
    <cellStyle name="Data   - Opmaakprofiel2 2 18 2 3 2 5" xfId="53005"/>
    <cellStyle name="Data   - Opmaakprofiel2 2 18 2 3 3" xfId="12883"/>
    <cellStyle name="Data   - Opmaakprofiel2 2 18 2 3 4" xfId="24935"/>
    <cellStyle name="Data   - Opmaakprofiel2 2 18 2 3 5" xfId="46317"/>
    <cellStyle name="Data   - Opmaakprofiel2 2 18 2 3 6" xfId="38779"/>
    <cellStyle name="Data   - Opmaakprofiel2 2 18 2 4" xfId="3819"/>
    <cellStyle name="Data   - Opmaakprofiel2 2 18 2 4 2" xfId="8041"/>
    <cellStyle name="Data   - Opmaakprofiel2 2 18 2 4 2 2" xfId="20339"/>
    <cellStyle name="Data   - Opmaakprofiel2 2 18 2 4 2 3" xfId="32391"/>
    <cellStyle name="Data   - Opmaakprofiel2 2 18 2 4 2 4" xfId="34797"/>
    <cellStyle name="Data   - Opmaakprofiel2 2 18 2 4 2 5" xfId="53006"/>
    <cellStyle name="Data   - Opmaakprofiel2 2 18 2 4 3" xfId="12884"/>
    <cellStyle name="Data   - Opmaakprofiel2 2 18 2 4 4" xfId="24936"/>
    <cellStyle name="Data   - Opmaakprofiel2 2 18 2 4 5" xfId="40859"/>
    <cellStyle name="Data   - Opmaakprofiel2 2 18 2 4 6" xfId="38785"/>
    <cellStyle name="Data   - Opmaakprofiel2 2 18 2 5" xfId="4317"/>
    <cellStyle name="Data   - Opmaakprofiel2 2 18 2 5 2" xfId="8042"/>
    <cellStyle name="Data   - Opmaakprofiel2 2 18 2 5 2 2" xfId="20340"/>
    <cellStyle name="Data   - Opmaakprofiel2 2 18 2 5 2 3" xfId="32392"/>
    <cellStyle name="Data   - Opmaakprofiel2 2 18 2 5 2 4" xfId="43257"/>
    <cellStyle name="Data   - Opmaakprofiel2 2 18 2 5 2 5" xfId="53007"/>
    <cellStyle name="Data   - Opmaakprofiel2 2 18 2 5 3" xfId="12885"/>
    <cellStyle name="Data   - Opmaakprofiel2 2 18 2 5 4" xfId="24937"/>
    <cellStyle name="Data   - Opmaakprofiel2 2 18 2 5 5" xfId="46316"/>
    <cellStyle name="Data   - Opmaakprofiel2 2 18 2 5 6" xfId="44852"/>
    <cellStyle name="Data   - Opmaakprofiel2 2 18 2 6" xfId="4318"/>
    <cellStyle name="Data   - Opmaakprofiel2 2 18 2 6 2" xfId="8043"/>
    <cellStyle name="Data   - Opmaakprofiel2 2 18 2 6 2 2" xfId="20341"/>
    <cellStyle name="Data   - Opmaakprofiel2 2 18 2 6 2 3" xfId="32393"/>
    <cellStyle name="Data   - Opmaakprofiel2 2 18 2 6 2 4" xfId="25802"/>
    <cellStyle name="Data   - Opmaakprofiel2 2 18 2 6 2 5" xfId="53008"/>
    <cellStyle name="Data   - Opmaakprofiel2 2 18 2 6 3" xfId="12886"/>
    <cellStyle name="Data   - Opmaakprofiel2 2 18 2 6 4" xfId="24938"/>
    <cellStyle name="Data   - Opmaakprofiel2 2 18 2 6 5" xfId="40858"/>
    <cellStyle name="Data   - Opmaakprofiel2 2 18 2 6 6" xfId="38793"/>
    <cellStyle name="Data   - Opmaakprofiel2 2 18 2 7" xfId="4319"/>
    <cellStyle name="Data   - Opmaakprofiel2 2 18 2 7 2" xfId="12887"/>
    <cellStyle name="Data   - Opmaakprofiel2 2 18 2 7 3" xfId="24939"/>
    <cellStyle name="Data   - Opmaakprofiel2 2 18 2 7 4" xfId="40857"/>
    <cellStyle name="Data   - Opmaakprofiel2 2 18 2 7 5" xfId="44858"/>
    <cellStyle name="Data   - Opmaakprofiel2 2 18 2 8" xfId="10028"/>
    <cellStyle name="Data   - Opmaakprofiel2 2 18 2 8 2" xfId="22326"/>
    <cellStyle name="Data   - Opmaakprofiel2 2 18 2 8 3" xfId="44090"/>
    <cellStyle name="Data   - Opmaakprofiel2 2 18 2 8 4" xfId="42446"/>
    <cellStyle name="Data   - Opmaakprofiel2 2 18 2 8 5" xfId="54993"/>
    <cellStyle name="Data   - Opmaakprofiel2 2 18 2 9" xfId="12881"/>
    <cellStyle name="Data   - Opmaakprofiel2 2 18 3" xfId="1056"/>
    <cellStyle name="Data   - Opmaakprofiel2 2 18 3 2" xfId="2264"/>
    <cellStyle name="Data   - Opmaakprofiel2 2 18 3 2 2" xfId="8044"/>
    <cellStyle name="Data   - Opmaakprofiel2 2 18 3 2 2 2" xfId="20342"/>
    <cellStyle name="Data   - Opmaakprofiel2 2 18 3 2 2 3" xfId="32394"/>
    <cellStyle name="Data   - Opmaakprofiel2 2 18 3 2 2 4" xfId="43256"/>
    <cellStyle name="Data   - Opmaakprofiel2 2 18 3 2 2 5" xfId="53009"/>
    <cellStyle name="Data   - Opmaakprofiel2 2 18 3 2 3" xfId="12889"/>
    <cellStyle name="Data   - Opmaakprofiel2 2 18 3 2 4" xfId="24941"/>
    <cellStyle name="Data   - Opmaakprofiel2 2 18 3 2 5" xfId="46315"/>
    <cellStyle name="Data   - Opmaakprofiel2 2 18 3 2 6" xfId="38803"/>
    <cellStyle name="Data   - Opmaakprofiel2 2 18 3 3" xfId="3067"/>
    <cellStyle name="Data   - Opmaakprofiel2 2 18 3 3 2" xfId="8045"/>
    <cellStyle name="Data   - Opmaakprofiel2 2 18 3 3 2 2" xfId="20343"/>
    <cellStyle name="Data   - Opmaakprofiel2 2 18 3 3 2 3" xfId="32395"/>
    <cellStyle name="Data   - Opmaakprofiel2 2 18 3 3 2 4" xfId="34609"/>
    <cellStyle name="Data   - Opmaakprofiel2 2 18 3 3 2 5" xfId="53010"/>
    <cellStyle name="Data   - Opmaakprofiel2 2 18 3 3 3" xfId="12890"/>
    <cellStyle name="Data   - Opmaakprofiel2 2 18 3 3 4" xfId="24942"/>
    <cellStyle name="Data   - Opmaakprofiel2 2 18 3 3 5" xfId="40855"/>
    <cellStyle name="Data   - Opmaakprofiel2 2 18 3 3 6" xfId="38809"/>
    <cellStyle name="Data   - Opmaakprofiel2 2 18 3 4" xfId="3907"/>
    <cellStyle name="Data   - Opmaakprofiel2 2 18 3 4 2" xfId="8046"/>
    <cellStyle name="Data   - Opmaakprofiel2 2 18 3 4 2 2" xfId="20344"/>
    <cellStyle name="Data   - Opmaakprofiel2 2 18 3 4 2 3" xfId="32396"/>
    <cellStyle name="Data   - Opmaakprofiel2 2 18 3 4 2 4" xfId="43255"/>
    <cellStyle name="Data   - Opmaakprofiel2 2 18 3 4 2 5" xfId="53011"/>
    <cellStyle name="Data   - Opmaakprofiel2 2 18 3 4 3" xfId="12891"/>
    <cellStyle name="Data   - Opmaakprofiel2 2 18 3 4 4" xfId="24943"/>
    <cellStyle name="Data   - Opmaakprofiel2 2 18 3 4 5" xfId="46314"/>
    <cellStyle name="Data   - Opmaakprofiel2 2 18 3 4 6" xfId="44869"/>
    <cellStyle name="Data   - Opmaakprofiel2 2 18 3 5" xfId="4320"/>
    <cellStyle name="Data   - Opmaakprofiel2 2 18 3 5 2" xfId="8047"/>
    <cellStyle name="Data   - Opmaakprofiel2 2 18 3 5 2 2" xfId="20345"/>
    <cellStyle name="Data   - Opmaakprofiel2 2 18 3 5 2 3" xfId="32397"/>
    <cellStyle name="Data   - Opmaakprofiel2 2 18 3 5 2 4" xfId="25809"/>
    <cellStyle name="Data   - Opmaakprofiel2 2 18 3 5 2 5" xfId="53012"/>
    <cellStyle name="Data   - Opmaakprofiel2 2 18 3 5 3" xfId="12892"/>
    <cellStyle name="Data   - Opmaakprofiel2 2 18 3 5 4" xfId="24944"/>
    <cellStyle name="Data   - Opmaakprofiel2 2 18 3 5 5" xfId="40854"/>
    <cellStyle name="Data   - Opmaakprofiel2 2 18 3 5 6" xfId="38817"/>
    <cellStyle name="Data   - Opmaakprofiel2 2 18 3 6" xfId="4321"/>
    <cellStyle name="Data   - Opmaakprofiel2 2 18 3 6 2" xfId="8048"/>
    <cellStyle name="Data   - Opmaakprofiel2 2 18 3 6 2 2" xfId="20346"/>
    <cellStyle name="Data   - Opmaakprofiel2 2 18 3 6 2 3" xfId="32398"/>
    <cellStyle name="Data   - Opmaakprofiel2 2 18 3 6 2 4" xfId="43254"/>
    <cellStyle name="Data   - Opmaakprofiel2 2 18 3 6 2 5" xfId="53013"/>
    <cellStyle name="Data   - Opmaakprofiel2 2 18 3 6 3" xfId="12893"/>
    <cellStyle name="Data   - Opmaakprofiel2 2 18 3 6 4" xfId="24945"/>
    <cellStyle name="Data   - Opmaakprofiel2 2 18 3 6 5" xfId="40853"/>
    <cellStyle name="Data   - Opmaakprofiel2 2 18 3 6 6" xfId="44875"/>
    <cellStyle name="Data   - Opmaakprofiel2 2 18 3 7" xfId="4322"/>
    <cellStyle name="Data   - Opmaakprofiel2 2 18 3 7 2" xfId="12894"/>
    <cellStyle name="Data   - Opmaakprofiel2 2 18 3 7 3" xfId="24946"/>
    <cellStyle name="Data   - Opmaakprofiel2 2 18 3 7 4" xfId="46313"/>
    <cellStyle name="Data   - Opmaakprofiel2 2 18 3 7 5" xfId="38826"/>
    <cellStyle name="Data   - Opmaakprofiel2 2 18 3 8" xfId="9960"/>
    <cellStyle name="Data   - Opmaakprofiel2 2 18 3 8 2" xfId="22258"/>
    <cellStyle name="Data   - Opmaakprofiel2 2 18 3 8 3" xfId="44023"/>
    <cellStyle name="Data   - Opmaakprofiel2 2 18 3 8 4" xfId="42474"/>
    <cellStyle name="Data   - Opmaakprofiel2 2 18 3 8 5" xfId="54925"/>
    <cellStyle name="Data   - Opmaakprofiel2 2 18 3 9" xfId="12888"/>
    <cellStyle name="Data   - Opmaakprofiel2 2 18 4" xfId="928"/>
    <cellStyle name="Data   - Opmaakprofiel2 2 18 4 2" xfId="2069"/>
    <cellStyle name="Data   - Opmaakprofiel2 2 18 4 2 2" xfId="8049"/>
    <cellStyle name="Data   - Opmaakprofiel2 2 18 4 2 2 2" xfId="20347"/>
    <cellStyle name="Data   - Opmaakprofiel2 2 18 4 2 2 3" xfId="32399"/>
    <cellStyle name="Data   - Opmaakprofiel2 2 18 4 2 2 4" xfId="34724"/>
    <cellStyle name="Data   - Opmaakprofiel2 2 18 4 2 2 5" xfId="53014"/>
    <cellStyle name="Data   - Opmaakprofiel2 2 18 4 2 3" xfId="12896"/>
    <cellStyle name="Data   - Opmaakprofiel2 2 18 4 2 4" xfId="24948"/>
    <cellStyle name="Data   - Opmaakprofiel2 2 18 4 2 5" xfId="46312"/>
    <cellStyle name="Data   - Opmaakprofiel2 2 18 4 2 6" xfId="38833"/>
    <cellStyle name="Data   - Opmaakprofiel2 2 18 4 3" xfId="2939"/>
    <cellStyle name="Data   - Opmaakprofiel2 2 18 4 3 2" xfId="8050"/>
    <cellStyle name="Data   - Opmaakprofiel2 2 18 4 3 2 2" xfId="20348"/>
    <cellStyle name="Data   - Opmaakprofiel2 2 18 4 3 2 3" xfId="32400"/>
    <cellStyle name="Data   - Opmaakprofiel2 2 18 4 3 2 4" xfId="25816"/>
    <cellStyle name="Data   - Opmaakprofiel2 2 18 4 3 2 5" xfId="53015"/>
    <cellStyle name="Data   - Opmaakprofiel2 2 18 4 3 3" xfId="12897"/>
    <cellStyle name="Data   - Opmaakprofiel2 2 18 4 3 4" xfId="24949"/>
    <cellStyle name="Data   - Opmaakprofiel2 2 18 4 3 5" xfId="40851"/>
    <cellStyle name="Data   - Opmaakprofiel2 2 18 4 3 6" xfId="44887"/>
    <cellStyle name="Data   - Opmaakprofiel2 2 18 4 4" xfId="3787"/>
    <cellStyle name="Data   - Opmaakprofiel2 2 18 4 4 2" xfId="8051"/>
    <cellStyle name="Data   - Opmaakprofiel2 2 18 4 4 2 2" xfId="20349"/>
    <cellStyle name="Data   - Opmaakprofiel2 2 18 4 4 2 3" xfId="32401"/>
    <cellStyle name="Data   - Opmaakprofiel2 2 18 4 4 2 4" xfId="32057"/>
    <cellStyle name="Data   - Opmaakprofiel2 2 18 4 4 2 5" xfId="53016"/>
    <cellStyle name="Data   - Opmaakprofiel2 2 18 4 4 3" xfId="12898"/>
    <cellStyle name="Data   - Opmaakprofiel2 2 18 4 4 4" xfId="24950"/>
    <cellStyle name="Data   - Opmaakprofiel2 2 18 4 4 5" xfId="46311"/>
    <cellStyle name="Data   - Opmaakprofiel2 2 18 4 4 6" xfId="44890"/>
    <cellStyle name="Data   - Opmaakprofiel2 2 18 4 5" xfId="4323"/>
    <cellStyle name="Data   - Opmaakprofiel2 2 18 4 5 2" xfId="8052"/>
    <cellStyle name="Data   - Opmaakprofiel2 2 18 4 5 2 2" xfId="20350"/>
    <cellStyle name="Data   - Opmaakprofiel2 2 18 4 5 2 3" xfId="32402"/>
    <cellStyle name="Data   - Opmaakprofiel2 2 18 4 5 2 4" xfId="43253"/>
    <cellStyle name="Data   - Opmaakprofiel2 2 18 4 5 2 5" xfId="53017"/>
    <cellStyle name="Data   - Opmaakprofiel2 2 18 4 5 3" xfId="12899"/>
    <cellStyle name="Data   - Opmaakprofiel2 2 18 4 5 4" xfId="24951"/>
    <cellStyle name="Data   - Opmaakprofiel2 2 18 4 5 5" xfId="40850"/>
    <cellStyle name="Data   - Opmaakprofiel2 2 18 4 5 6" xfId="38845"/>
    <cellStyle name="Data   - Opmaakprofiel2 2 18 4 6" xfId="4324"/>
    <cellStyle name="Data   - Opmaakprofiel2 2 18 4 6 2" xfId="8053"/>
    <cellStyle name="Data   - Opmaakprofiel2 2 18 4 6 2 2" xfId="20351"/>
    <cellStyle name="Data   - Opmaakprofiel2 2 18 4 6 2 3" xfId="32403"/>
    <cellStyle name="Data   - Opmaakprofiel2 2 18 4 6 2 4" xfId="25823"/>
    <cellStyle name="Data   - Opmaakprofiel2 2 18 4 6 2 5" xfId="53018"/>
    <cellStyle name="Data   - Opmaakprofiel2 2 18 4 6 3" xfId="12900"/>
    <cellStyle name="Data   - Opmaakprofiel2 2 18 4 6 4" xfId="24952"/>
    <cellStyle name="Data   - Opmaakprofiel2 2 18 4 6 5" xfId="40849"/>
    <cellStyle name="Data   - Opmaakprofiel2 2 18 4 6 6" xfId="38849"/>
    <cellStyle name="Data   - Opmaakprofiel2 2 18 4 7" xfId="4325"/>
    <cellStyle name="Data   - Opmaakprofiel2 2 18 4 7 2" xfId="12901"/>
    <cellStyle name="Data   - Opmaakprofiel2 2 18 4 7 3" xfId="24953"/>
    <cellStyle name="Data   - Opmaakprofiel2 2 18 4 7 4" xfId="46310"/>
    <cellStyle name="Data   - Opmaakprofiel2 2 18 4 7 5" xfId="38851"/>
    <cellStyle name="Data   - Opmaakprofiel2 2 18 4 8" xfId="10048"/>
    <cellStyle name="Data   - Opmaakprofiel2 2 18 4 8 2" xfId="22346"/>
    <cellStyle name="Data   - Opmaakprofiel2 2 18 4 8 3" xfId="44110"/>
    <cellStyle name="Data   - Opmaakprofiel2 2 18 4 8 4" xfId="28504"/>
    <cellStyle name="Data   - Opmaakprofiel2 2 18 4 8 5" xfId="55013"/>
    <cellStyle name="Data   - Opmaakprofiel2 2 18 4 9" xfId="12895"/>
    <cellStyle name="Data   - Opmaakprofiel2 2 18 5" xfId="1227"/>
    <cellStyle name="Data   - Opmaakprofiel2 2 18 5 2" xfId="2025"/>
    <cellStyle name="Data   - Opmaakprofiel2 2 18 5 2 2" xfId="8054"/>
    <cellStyle name="Data   - Opmaakprofiel2 2 18 5 2 2 2" xfId="20352"/>
    <cellStyle name="Data   - Opmaakprofiel2 2 18 5 2 2 3" xfId="32404"/>
    <cellStyle name="Data   - Opmaakprofiel2 2 18 5 2 2 4" xfId="43252"/>
    <cellStyle name="Data   - Opmaakprofiel2 2 18 5 2 2 5" xfId="53019"/>
    <cellStyle name="Data   - Opmaakprofiel2 2 18 5 2 3" xfId="12903"/>
    <cellStyle name="Data   - Opmaakprofiel2 2 18 5 2 4" xfId="24955"/>
    <cellStyle name="Data   - Opmaakprofiel2 2 18 5 2 5" xfId="46309"/>
    <cellStyle name="Data   - Opmaakprofiel2 2 18 5 2 6" xfId="44904"/>
    <cellStyle name="Data   - Opmaakprofiel2 2 18 5 3" xfId="3238"/>
    <cellStyle name="Data   - Opmaakprofiel2 2 18 5 3 2" xfId="8055"/>
    <cellStyle name="Data   - Opmaakprofiel2 2 18 5 3 2 2" xfId="20353"/>
    <cellStyle name="Data   - Opmaakprofiel2 2 18 5 3 2 3" xfId="32405"/>
    <cellStyle name="Data   - Opmaakprofiel2 2 18 5 3 2 4" xfId="31768"/>
    <cellStyle name="Data   - Opmaakprofiel2 2 18 5 3 2 5" xfId="53020"/>
    <cellStyle name="Data   - Opmaakprofiel2 2 18 5 3 3" xfId="12904"/>
    <cellStyle name="Data   - Opmaakprofiel2 2 18 5 3 4" xfId="24956"/>
    <cellStyle name="Data   - Opmaakprofiel2 2 18 5 3 5" xfId="40847"/>
    <cellStyle name="Data   - Opmaakprofiel2 2 18 5 3 6" xfId="38864"/>
    <cellStyle name="Data   - Opmaakprofiel2 2 18 5 4" xfId="4053"/>
    <cellStyle name="Data   - Opmaakprofiel2 2 18 5 4 2" xfId="8056"/>
    <cellStyle name="Data   - Opmaakprofiel2 2 18 5 4 2 2" xfId="20354"/>
    <cellStyle name="Data   - Opmaakprofiel2 2 18 5 4 2 3" xfId="32406"/>
    <cellStyle name="Data   - Opmaakprofiel2 2 18 5 4 2 4" xfId="43251"/>
    <cellStyle name="Data   - Opmaakprofiel2 2 18 5 4 2 5" xfId="53021"/>
    <cellStyle name="Data   - Opmaakprofiel2 2 18 5 4 3" xfId="12905"/>
    <cellStyle name="Data   - Opmaakprofiel2 2 18 5 4 4" xfId="24957"/>
    <cellStyle name="Data   - Opmaakprofiel2 2 18 5 4 5" xfId="46308"/>
    <cellStyle name="Data   - Opmaakprofiel2 2 18 5 4 6" xfId="44910"/>
    <cellStyle name="Data   - Opmaakprofiel2 2 18 5 5" xfId="4326"/>
    <cellStyle name="Data   - Opmaakprofiel2 2 18 5 5 2" xfId="8057"/>
    <cellStyle name="Data   - Opmaakprofiel2 2 18 5 5 2 2" xfId="20355"/>
    <cellStyle name="Data   - Opmaakprofiel2 2 18 5 5 2 3" xfId="32407"/>
    <cellStyle name="Data   - Opmaakprofiel2 2 18 5 5 2 4" xfId="25830"/>
    <cellStyle name="Data   - Opmaakprofiel2 2 18 5 5 2 5" xfId="53022"/>
    <cellStyle name="Data   - Opmaakprofiel2 2 18 5 5 3" xfId="12906"/>
    <cellStyle name="Data   - Opmaakprofiel2 2 18 5 5 4" xfId="24958"/>
    <cellStyle name="Data   - Opmaakprofiel2 2 18 5 5 5" xfId="40846"/>
    <cellStyle name="Data   - Opmaakprofiel2 2 18 5 5 6" xfId="38873"/>
    <cellStyle name="Data   - Opmaakprofiel2 2 18 5 6" xfId="4327"/>
    <cellStyle name="Data   - Opmaakprofiel2 2 18 5 6 2" xfId="8058"/>
    <cellStyle name="Data   - Opmaakprofiel2 2 18 5 6 2 2" xfId="20356"/>
    <cellStyle name="Data   - Opmaakprofiel2 2 18 5 6 2 3" xfId="32408"/>
    <cellStyle name="Data   - Opmaakprofiel2 2 18 5 6 2 4" xfId="43250"/>
    <cellStyle name="Data   - Opmaakprofiel2 2 18 5 6 2 5" xfId="53023"/>
    <cellStyle name="Data   - Opmaakprofiel2 2 18 5 6 3" xfId="12907"/>
    <cellStyle name="Data   - Opmaakprofiel2 2 18 5 6 4" xfId="24959"/>
    <cellStyle name="Data   - Opmaakprofiel2 2 18 5 6 5" xfId="46307"/>
    <cellStyle name="Data   - Opmaakprofiel2 2 18 5 6 6" xfId="38875"/>
    <cellStyle name="Data   - Opmaakprofiel2 2 18 5 7" xfId="4328"/>
    <cellStyle name="Data   - Opmaakprofiel2 2 18 5 7 2" xfId="12908"/>
    <cellStyle name="Data   - Opmaakprofiel2 2 18 5 7 3" xfId="24960"/>
    <cellStyle name="Data   - Opmaakprofiel2 2 18 5 7 4" xfId="40845"/>
    <cellStyle name="Data   - Opmaakprofiel2 2 18 5 7 5" xfId="44915"/>
    <cellStyle name="Data   - Opmaakprofiel2 2 18 5 8" xfId="7147"/>
    <cellStyle name="Data   - Opmaakprofiel2 2 18 5 8 2" xfId="19445"/>
    <cellStyle name="Data   - Opmaakprofiel2 2 18 5 8 3" xfId="41248"/>
    <cellStyle name="Data   - Opmaakprofiel2 2 18 5 8 4" xfId="36948"/>
    <cellStyle name="Data   - Opmaakprofiel2 2 18 5 8 5" xfId="52117"/>
    <cellStyle name="Data   - Opmaakprofiel2 2 18 5 9" xfId="12902"/>
    <cellStyle name="Data   - Opmaakprofiel2 2 18 6" xfId="1058"/>
    <cellStyle name="Data   - Opmaakprofiel2 2 18 6 2" xfId="2080"/>
    <cellStyle name="Data   - Opmaakprofiel2 2 18 6 2 2" xfId="8059"/>
    <cellStyle name="Data   - Opmaakprofiel2 2 18 6 2 2 2" xfId="20357"/>
    <cellStyle name="Data   - Opmaakprofiel2 2 18 6 2 2 3" xfId="32409"/>
    <cellStyle name="Data   - Opmaakprofiel2 2 18 6 2 2 4" xfId="34714"/>
    <cellStyle name="Data   - Opmaakprofiel2 2 18 6 2 2 5" xfId="53024"/>
    <cellStyle name="Data   - Opmaakprofiel2 2 18 6 2 3" xfId="12910"/>
    <cellStyle name="Data   - Opmaakprofiel2 2 18 6 2 4" xfId="24962"/>
    <cellStyle name="Data   - Opmaakprofiel2 2 18 6 2 5" xfId="40844"/>
    <cellStyle name="Data   - Opmaakprofiel2 2 18 6 2 6" xfId="38877"/>
    <cellStyle name="Data   - Opmaakprofiel2 2 18 6 3" xfId="3069"/>
    <cellStyle name="Data   - Opmaakprofiel2 2 18 6 3 2" xfId="8060"/>
    <cellStyle name="Data   - Opmaakprofiel2 2 18 6 3 2 2" xfId="20358"/>
    <cellStyle name="Data   - Opmaakprofiel2 2 18 6 3 2 3" xfId="32410"/>
    <cellStyle name="Data   - Opmaakprofiel2 2 18 6 3 2 4" xfId="43249"/>
    <cellStyle name="Data   - Opmaakprofiel2 2 18 6 3 2 5" xfId="53025"/>
    <cellStyle name="Data   - Opmaakprofiel2 2 18 6 3 3" xfId="12911"/>
    <cellStyle name="Data   - Opmaakprofiel2 2 18 6 3 4" xfId="24963"/>
    <cellStyle name="Data   - Opmaakprofiel2 2 18 6 3 5" xfId="40843"/>
    <cellStyle name="Data   - Opmaakprofiel2 2 18 6 3 6" xfId="44917"/>
    <cellStyle name="Data   - Opmaakprofiel2 2 18 6 4" xfId="3909"/>
    <cellStyle name="Data   - Opmaakprofiel2 2 18 6 4 2" xfId="8061"/>
    <cellStyle name="Data   - Opmaakprofiel2 2 18 6 4 2 2" xfId="20359"/>
    <cellStyle name="Data   - Opmaakprofiel2 2 18 6 4 2 3" xfId="32411"/>
    <cellStyle name="Data   - Opmaakprofiel2 2 18 6 4 2 4" xfId="25837"/>
    <cellStyle name="Data   - Opmaakprofiel2 2 18 6 4 2 5" xfId="53026"/>
    <cellStyle name="Data   - Opmaakprofiel2 2 18 6 4 3" xfId="12912"/>
    <cellStyle name="Data   - Opmaakprofiel2 2 18 6 4 4" xfId="24964"/>
    <cellStyle name="Data   - Opmaakprofiel2 2 18 6 4 5" xfId="40842"/>
    <cellStyle name="Data   - Opmaakprofiel2 2 18 6 4 6" xfId="38881"/>
    <cellStyle name="Data   - Opmaakprofiel2 2 18 6 5" xfId="4329"/>
    <cellStyle name="Data   - Opmaakprofiel2 2 18 6 5 2" xfId="8062"/>
    <cellStyle name="Data   - Opmaakprofiel2 2 18 6 5 2 2" xfId="20360"/>
    <cellStyle name="Data   - Opmaakprofiel2 2 18 6 5 2 3" xfId="32412"/>
    <cellStyle name="Data   - Opmaakprofiel2 2 18 6 5 2 4" xfId="31518"/>
    <cellStyle name="Data   - Opmaakprofiel2 2 18 6 5 2 5" xfId="53027"/>
    <cellStyle name="Data   - Opmaakprofiel2 2 18 6 5 3" xfId="12913"/>
    <cellStyle name="Data   - Opmaakprofiel2 2 18 6 5 4" xfId="24965"/>
    <cellStyle name="Data   - Opmaakprofiel2 2 18 6 5 5" xfId="46305"/>
    <cellStyle name="Data   - Opmaakprofiel2 2 18 6 5 6" xfId="38884"/>
    <cellStyle name="Data   - Opmaakprofiel2 2 18 6 6" xfId="4330"/>
    <cellStyle name="Data   - Opmaakprofiel2 2 18 6 6 2" xfId="8063"/>
    <cellStyle name="Data   - Opmaakprofiel2 2 18 6 6 2 2" xfId="20361"/>
    <cellStyle name="Data   - Opmaakprofiel2 2 18 6 6 2 3" xfId="32413"/>
    <cellStyle name="Data   - Opmaakprofiel2 2 18 6 6 2 4" xfId="25844"/>
    <cellStyle name="Data   - Opmaakprofiel2 2 18 6 6 2 5" xfId="53028"/>
    <cellStyle name="Data   - Opmaakprofiel2 2 18 6 6 3" xfId="12914"/>
    <cellStyle name="Data   - Opmaakprofiel2 2 18 6 6 4" xfId="24966"/>
    <cellStyle name="Data   - Opmaakprofiel2 2 18 6 6 5" xfId="40841"/>
    <cellStyle name="Data   - Opmaakprofiel2 2 18 6 6 6" xfId="44920"/>
    <cellStyle name="Data   - Opmaakprofiel2 2 18 6 7" xfId="4331"/>
    <cellStyle name="Data   - Opmaakprofiel2 2 18 6 7 2" xfId="12915"/>
    <cellStyle name="Data   - Opmaakprofiel2 2 18 6 7 3" xfId="24967"/>
    <cellStyle name="Data   - Opmaakprofiel2 2 18 6 7 4" xfId="46304"/>
    <cellStyle name="Data   - Opmaakprofiel2 2 18 6 7 5" xfId="38888"/>
    <cellStyle name="Data   - Opmaakprofiel2 2 18 6 8" xfId="9961"/>
    <cellStyle name="Data   - Opmaakprofiel2 2 18 6 8 2" xfId="22259"/>
    <cellStyle name="Data   - Opmaakprofiel2 2 18 6 8 3" xfId="44024"/>
    <cellStyle name="Data   - Opmaakprofiel2 2 18 6 8 4" xfId="32064"/>
    <cellStyle name="Data   - Opmaakprofiel2 2 18 6 8 5" xfId="54926"/>
    <cellStyle name="Data   - Opmaakprofiel2 2 18 6 9" xfId="12909"/>
    <cellStyle name="Data   - Opmaakprofiel2 2 18 7" xfId="1584"/>
    <cellStyle name="Data   - Opmaakprofiel2 2 18 7 2" xfId="8064"/>
    <cellStyle name="Data   - Opmaakprofiel2 2 18 7 2 2" xfId="20362"/>
    <cellStyle name="Data   - Opmaakprofiel2 2 18 7 2 3" xfId="32414"/>
    <cellStyle name="Data   - Opmaakprofiel2 2 18 7 2 4" xfId="43248"/>
    <cellStyle name="Data   - Opmaakprofiel2 2 18 7 2 5" xfId="53029"/>
    <cellStyle name="Data   - Opmaakprofiel2 2 18 7 3" xfId="12916"/>
    <cellStyle name="Data   - Opmaakprofiel2 2 18 7 4" xfId="24968"/>
    <cellStyle name="Data   - Opmaakprofiel2 2 18 7 5" xfId="40840"/>
    <cellStyle name="Data   - Opmaakprofiel2 2 18 7 6" xfId="44922"/>
    <cellStyle name="Data   - Opmaakprofiel2 2 18 8" xfId="2822"/>
    <cellStyle name="Data   - Opmaakprofiel2 2 18 8 2" xfId="8065"/>
    <cellStyle name="Data   - Opmaakprofiel2 2 18 8 2 2" xfId="20363"/>
    <cellStyle name="Data   - Opmaakprofiel2 2 18 8 2 3" xfId="32415"/>
    <cellStyle name="Data   - Opmaakprofiel2 2 18 8 2 4" xfId="31409"/>
    <cellStyle name="Data   - Opmaakprofiel2 2 18 8 2 5" xfId="53030"/>
    <cellStyle name="Data   - Opmaakprofiel2 2 18 8 3" xfId="12917"/>
    <cellStyle name="Data   - Opmaakprofiel2 2 18 8 4" xfId="24969"/>
    <cellStyle name="Data   - Opmaakprofiel2 2 18 8 5" xfId="46303"/>
    <cellStyle name="Data   - Opmaakprofiel2 2 18 8 6" xfId="38891"/>
    <cellStyle name="Data   - Opmaakprofiel2 2 18 9" xfId="3681"/>
    <cellStyle name="Data   - Opmaakprofiel2 2 18 9 2" xfId="8066"/>
    <cellStyle name="Data   - Opmaakprofiel2 2 18 9 2 2" xfId="20364"/>
    <cellStyle name="Data   - Opmaakprofiel2 2 18 9 2 3" xfId="32416"/>
    <cellStyle name="Data   - Opmaakprofiel2 2 18 9 2 4" xfId="43247"/>
    <cellStyle name="Data   - Opmaakprofiel2 2 18 9 2 5" xfId="53031"/>
    <cellStyle name="Data   - Opmaakprofiel2 2 18 9 3" xfId="12918"/>
    <cellStyle name="Data   - Opmaakprofiel2 2 18 9 4" xfId="24970"/>
    <cellStyle name="Data   - Opmaakprofiel2 2 18 9 5" xfId="40839"/>
    <cellStyle name="Data   - Opmaakprofiel2 2 18 9 6" xfId="44927"/>
    <cellStyle name="Data   - Opmaakprofiel2 2 19" xfId="810"/>
    <cellStyle name="Data   - Opmaakprofiel2 2 19 10" xfId="4332"/>
    <cellStyle name="Data   - Opmaakprofiel2 2 19 10 2" xfId="8067"/>
    <cellStyle name="Data   - Opmaakprofiel2 2 19 10 2 2" xfId="20365"/>
    <cellStyle name="Data   - Opmaakprofiel2 2 19 10 2 3" xfId="32417"/>
    <cellStyle name="Data   - Opmaakprofiel2 2 19 10 2 4" xfId="25851"/>
    <cellStyle name="Data   - Opmaakprofiel2 2 19 10 2 5" xfId="53032"/>
    <cellStyle name="Data   - Opmaakprofiel2 2 19 10 3" xfId="12920"/>
    <cellStyle name="Data   - Opmaakprofiel2 2 19 10 4" xfId="24972"/>
    <cellStyle name="Data   - Opmaakprofiel2 2 19 10 5" xfId="40838"/>
    <cellStyle name="Data   - Opmaakprofiel2 2 19 10 6" xfId="44929"/>
    <cellStyle name="Data   - Opmaakprofiel2 2 19 11" xfId="4333"/>
    <cellStyle name="Data   - Opmaakprofiel2 2 19 11 2" xfId="8068"/>
    <cellStyle name="Data   - Opmaakprofiel2 2 19 11 2 2" xfId="20366"/>
    <cellStyle name="Data   - Opmaakprofiel2 2 19 11 2 3" xfId="32418"/>
    <cellStyle name="Data   - Opmaakprofiel2 2 19 11 2 4" xfId="43246"/>
    <cellStyle name="Data   - Opmaakprofiel2 2 19 11 2 5" xfId="53033"/>
    <cellStyle name="Data   - Opmaakprofiel2 2 19 11 3" xfId="12921"/>
    <cellStyle name="Data   - Opmaakprofiel2 2 19 11 4" xfId="24973"/>
    <cellStyle name="Data   - Opmaakprofiel2 2 19 11 5" xfId="46301"/>
    <cellStyle name="Data   - Opmaakprofiel2 2 19 11 6" xfId="38897"/>
    <cellStyle name="Data   - Opmaakprofiel2 2 19 12" xfId="4334"/>
    <cellStyle name="Data   - Opmaakprofiel2 2 19 12 2" xfId="12922"/>
    <cellStyle name="Data   - Opmaakprofiel2 2 19 12 3" xfId="24974"/>
    <cellStyle name="Data   - Opmaakprofiel2 2 19 12 4" xfId="40837"/>
    <cellStyle name="Data   - Opmaakprofiel2 2 19 12 5" xfId="44932"/>
    <cellStyle name="Data   - Opmaakprofiel2 2 19 13" xfId="7440"/>
    <cellStyle name="Data   - Opmaakprofiel2 2 19 13 2" xfId="19738"/>
    <cellStyle name="Data   - Opmaakprofiel2 2 19 13 3" xfId="41541"/>
    <cellStyle name="Data   - Opmaakprofiel2 2 19 13 4" xfId="43508"/>
    <cellStyle name="Data   - Opmaakprofiel2 2 19 13 5" xfId="52410"/>
    <cellStyle name="Data   - Opmaakprofiel2 2 19 14" xfId="12919"/>
    <cellStyle name="Data   - Opmaakprofiel2 2 19 2" xfId="969"/>
    <cellStyle name="Data   - Opmaakprofiel2 2 19 2 2" xfId="1749"/>
    <cellStyle name="Data   - Opmaakprofiel2 2 19 2 2 2" xfId="8069"/>
    <cellStyle name="Data   - Opmaakprofiel2 2 19 2 2 2 2" xfId="20367"/>
    <cellStyle name="Data   - Opmaakprofiel2 2 19 2 2 2 3" xfId="32419"/>
    <cellStyle name="Data   - Opmaakprofiel2 2 19 2 2 2 4" xfId="31362"/>
    <cellStyle name="Data   - Opmaakprofiel2 2 19 2 2 2 5" xfId="53034"/>
    <cellStyle name="Data   - Opmaakprofiel2 2 19 2 2 3" xfId="12924"/>
    <cellStyle name="Data   - Opmaakprofiel2 2 19 2 2 4" xfId="24976"/>
    <cellStyle name="Data   - Opmaakprofiel2 2 19 2 2 5" xfId="40835"/>
    <cellStyle name="Data   - Opmaakprofiel2 2 19 2 2 6" xfId="44934"/>
    <cellStyle name="Data   - Opmaakprofiel2 2 19 2 3" xfId="2980"/>
    <cellStyle name="Data   - Opmaakprofiel2 2 19 2 3 2" xfId="8070"/>
    <cellStyle name="Data   - Opmaakprofiel2 2 19 2 3 2 2" xfId="20368"/>
    <cellStyle name="Data   - Opmaakprofiel2 2 19 2 3 2 3" xfId="32420"/>
    <cellStyle name="Data   - Opmaakprofiel2 2 19 2 3 2 4" xfId="43245"/>
    <cellStyle name="Data   - Opmaakprofiel2 2 19 2 3 2 5" xfId="53035"/>
    <cellStyle name="Data   - Opmaakprofiel2 2 19 2 3 3" xfId="12925"/>
    <cellStyle name="Data   - Opmaakprofiel2 2 19 2 3 4" xfId="24977"/>
    <cellStyle name="Data   - Opmaakprofiel2 2 19 2 3 5" xfId="46300"/>
    <cellStyle name="Data   - Opmaakprofiel2 2 19 2 3 6" xfId="38903"/>
    <cellStyle name="Data   - Opmaakprofiel2 2 19 2 4" xfId="3826"/>
    <cellStyle name="Data   - Opmaakprofiel2 2 19 2 4 2" xfId="8071"/>
    <cellStyle name="Data   - Opmaakprofiel2 2 19 2 4 2 2" xfId="20369"/>
    <cellStyle name="Data   - Opmaakprofiel2 2 19 2 4 2 3" xfId="32421"/>
    <cellStyle name="Data   - Opmaakprofiel2 2 19 2 4 2 4" xfId="32130"/>
    <cellStyle name="Data   - Opmaakprofiel2 2 19 2 4 2 5" xfId="53036"/>
    <cellStyle name="Data   - Opmaakprofiel2 2 19 2 4 3" xfId="12926"/>
    <cellStyle name="Data   - Opmaakprofiel2 2 19 2 4 4" xfId="24978"/>
    <cellStyle name="Data   - Opmaakprofiel2 2 19 2 4 5" xfId="40834"/>
    <cellStyle name="Data   - Opmaakprofiel2 2 19 2 4 6" xfId="44935"/>
    <cellStyle name="Data   - Opmaakprofiel2 2 19 2 5" xfId="4335"/>
    <cellStyle name="Data   - Opmaakprofiel2 2 19 2 5 2" xfId="8072"/>
    <cellStyle name="Data   - Opmaakprofiel2 2 19 2 5 2 2" xfId="20370"/>
    <cellStyle name="Data   - Opmaakprofiel2 2 19 2 5 2 3" xfId="32422"/>
    <cellStyle name="Data   - Opmaakprofiel2 2 19 2 5 2 4" xfId="43244"/>
    <cellStyle name="Data   - Opmaakprofiel2 2 19 2 5 2 5" xfId="53037"/>
    <cellStyle name="Data   - Opmaakprofiel2 2 19 2 5 3" xfId="12927"/>
    <cellStyle name="Data   - Opmaakprofiel2 2 19 2 5 4" xfId="24979"/>
    <cellStyle name="Data   - Opmaakprofiel2 2 19 2 5 5" xfId="46299"/>
    <cellStyle name="Data   - Opmaakprofiel2 2 19 2 5 6" xfId="38907"/>
    <cellStyle name="Data   - Opmaakprofiel2 2 19 2 6" xfId="4336"/>
    <cellStyle name="Data   - Opmaakprofiel2 2 19 2 6 2" xfId="8073"/>
    <cellStyle name="Data   - Opmaakprofiel2 2 19 2 6 2 2" xfId="20371"/>
    <cellStyle name="Data   - Opmaakprofiel2 2 19 2 6 2 3" xfId="32423"/>
    <cellStyle name="Data   - Opmaakprofiel2 2 19 2 6 2 4" xfId="25860"/>
    <cellStyle name="Data   - Opmaakprofiel2 2 19 2 6 2 5" xfId="53038"/>
    <cellStyle name="Data   - Opmaakprofiel2 2 19 2 6 3" xfId="12928"/>
    <cellStyle name="Data   - Opmaakprofiel2 2 19 2 6 4" xfId="24980"/>
    <cellStyle name="Data   - Opmaakprofiel2 2 19 2 6 5" xfId="40833"/>
    <cellStyle name="Data   - Opmaakprofiel2 2 19 2 6 6" xfId="44937"/>
    <cellStyle name="Data   - Opmaakprofiel2 2 19 2 7" xfId="4337"/>
    <cellStyle name="Data   - Opmaakprofiel2 2 19 2 7 2" xfId="12929"/>
    <cellStyle name="Data   - Opmaakprofiel2 2 19 2 7 3" xfId="24981"/>
    <cellStyle name="Data   - Opmaakprofiel2 2 19 2 7 4" xfId="46298"/>
    <cellStyle name="Data   - Opmaakprofiel2 2 19 2 7 5" xfId="38910"/>
    <cellStyle name="Data   - Opmaakprofiel2 2 19 2 8" xfId="7332"/>
    <cellStyle name="Data   - Opmaakprofiel2 2 19 2 8 2" xfId="19630"/>
    <cellStyle name="Data   - Opmaakprofiel2 2 19 2 8 3" xfId="41433"/>
    <cellStyle name="Data   - Opmaakprofiel2 2 19 2 8 4" xfId="43553"/>
    <cellStyle name="Data   - Opmaakprofiel2 2 19 2 8 5" xfId="52302"/>
    <cellStyle name="Data   - Opmaakprofiel2 2 19 2 9" xfId="12923"/>
    <cellStyle name="Data   - Opmaakprofiel2 2 19 3" xfId="1065"/>
    <cellStyle name="Data   - Opmaakprofiel2 2 19 3 2" xfId="1960"/>
    <cellStyle name="Data   - Opmaakprofiel2 2 19 3 2 2" xfId="8074"/>
    <cellStyle name="Data   - Opmaakprofiel2 2 19 3 2 2 2" xfId="20372"/>
    <cellStyle name="Data   - Opmaakprofiel2 2 19 3 2 2 3" xfId="32424"/>
    <cellStyle name="Data   - Opmaakprofiel2 2 19 3 2 2 4" xfId="32076"/>
    <cellStyle name="Data   - Opmaakprofiel2 2 19 3 2 2 5" xfId="53039"/>
    <cellStyle name="Data   - Opmaakprofiel2 2 19 3 2 3" xfId="12931"/>
    <cellStyle name="Data   - Opmaakprofiel2 2 19 3 2 4" xfId="24983"/>
    <cellStyle name="Data   - Opmaakprofiel2 2 19 3 2 5" xfId="46297"/>
    <cellStyle name="Data   - Opmaakprofiel2 2 19 3 2 6" xfId="38914"/>
    <cellStyle name="Data   - Opmaakprofiel2 2 19 3 3" xfId="3076"/>
    <cellStyle name="Data   - Opmaakprofiel2 2 19 3 3 2" xfId="8075"/>
    <cellStyle name="Data   - Opmaakprofiel2 2 19 3 3 2 2" xfId="20373"/>
    <cellStyle name="Data   - Opmaakprofiel2 2 19 3 3 2 3" xfId="32425"/>
    <cellStyle name="Data   - Opmaakprofiel2 2 19 3 3 2 4" xfId="25867"/>
    <cellStyle name="Data   - Opmaakprofiel2 2 19 3 3 2 5" xfId="53040"/>
    <cellStyle name="Data   - Opmaakprofiel2 2 19 3 3 3" xfId="12932"/>
    <cellStyle name="Data   - Opmaakprofiel2 2 19 3 3 4" xfId="24984"/>
    <cellStyle name="Data   - Opmaakprofiel2 2 19 3 3 5" xfId="40831"/>
    <cellStyle name="Data   - Opmaakprofiel2 2 19 3 3 6" xfId="44941"/>
    <cellStyle name="Data   - Opmaakprofiel2 2 19 3 4" xfId="3915"/>
    <cellStyle name="Data   - Opmaakprofiel2 2 19 3 4 2" xfId="8076"/>
    <cellStyle name="Data   - Opmaakprofiel2 2 19 3 4 2 2" xfId="20374"/>
    <cellStyle name="Data   - Opmaakprofiel2 2 19 3 4 2 3" xfId="32426"/>
    <cellStyle name="Data   - Opmaakprofiel2 2 19 3 4 2 4" xfId="43243"/>
    <cellStyle name="Data   - Opmaakprofiel2 2 19 3 4 2 5" xfId="53041"/>
    <cellStyle name="Data   - Opmaakprofiel2 2 19 3 4 3" xfId="12933"/>
    <cellStyle name="Data   - Opmaakprofiel2 2 19 3 4 4" xfId="24985"/>
    <cellStyle name="Data   - Opmaakprofiel2 2 19 3 4 5" xfId="46296"/>
    <cellStyle name="Data   - Opmaakprofiel2 2 19 3 4 6" xfId="38917"/>
    <cellStyle name="Data   - Opmaakprofiel2 2 19 3 5" xfId="4338"/>
    <cellStyle name="Data   - Opmaakprofiel2 2 19 3 5 2" xfId="8077"/>
    <cellStyle name="Data   - Opmaakprofiel2 2 19 3 5 2 2" xfId="20375"/>
    <cellStyle name="Data   - Opmaakprofiel2 2 19 3 5 2 3" xfId="32427"/>
    <cellStyle name="Data   - Opmaakprofiel2 2 19 3 5 2 4" xfId="31895"/>
    <cellStyle name="Data   - Opmaakprofiel2 2 19 3 5 2 5" xfId="53042"/>
    <cellStyle name="Data   - Opmaakprofiel2 2 19 3 5 3" xfId="12934"/>
    <cellStyle name="Data   - Opmaakprofiel2 2 19 3 5 4" xfId="24986"/>
    <cellStyle name="Data   - Opmaakprofiel2 2 19 3 5 5" xfId="40830"/>
    <cellStyle name="Data   - Opmaakprofiel2 2 19 3 5 6" xfId="44944"/>
    <cellStyle name="Data   - Opmaakprofiel2 2 19 3 6" xfId="4339"/>
    <cellStyle name="Data   - Opmaakprofiel2 2 19 3 6 2" xfId="8078"/>
    <cellStyle name="Data   - Opmaakprofiel2 2 19 3 6 2 2" xfId="20376"/>
    <cellStyle name="Data   - Opmaakprofiel2 2 19 3 6 2 3" xfId="32428"/>
    <cellStyle name="Data   - Opmaakprofiel2 2 19 3 6 2 4" xfId="43242"/>
    <cellStyle name="Data   - Opmaakprofiel2 2 19 3 6 2 5" xfId="53043"/>
    <cellStyle name="Data   - Opmaakprofiel2 2 19 3 6 3" xfId="12935"/>
    <cellStyle name="Data   - Opmaakprofiel2 2 19 3 6 4" xfId="24987"/>
    <cellStyle name="Data   - Opmaakprofiel2 2 19 3 6 5" xfId="40829"/>
    <cellStyle name="Data   - Opmaakprofiel2 2 19 3 6 6" xfId="44946"/>
    <cellStyle name="Data   - Opmaakprofiel2 2 19 3 7" xfId="4340"/>
    <cellStyle name="Data   - Opmaakprofiel2 2 19 3 7 2" xfId="12936"/>
    <cellStyle name="Data   - Opmaakprofiel2 2 19 3 7 3" xfId="24988"/>
    <cellStyle name="Data   - Opmaakprofiel2 2 19 3 7 4" xfId="40828"/>
    <cellStyle name="Data   - Opmaakprofiel2 2 19 3 7 5" xfId="38921"/>
    <cellStyle name="Data   - Opmaakprofiel2 2 19 3 8" xfId="7266"/>
    <cellStyle name="Data   - Opmaakprofiel2 2 19 3 8 2" xfId="19564"/>
    <cellStyle name="Data   - Opmaakprofiel2 2 19 3 8 3" xfId="41367"/>
    <cellStyle name="Data   - Opmaakprofiel2 2 19 3 8 4" xfId="43581"/>
    <cellStyle name="Data   - Opmaakprofiel2 2 19 3 8 5" xfId="52236"/>
    <cellStyle name="Data   - Opmaakprofiel2 2 19 3 9" xfId="12930"/>
    <cellStyle name="Data   - Opmaakprofiel2 2 19 4" xfId="1050"/>
    <cellStyle name="Data   - Opmaakprofiel2 2 19 4 2" xfId="1704"/>
    <cellStyle name="Data   - Opmaakprofiel2 2 19 4 2 2" xfId="8079"/>
    <cellStyle name="Data   - Opmaakprofiel2 2 19 4 2 2 2" xfId="20377"/>
    <cellStyle name="Data   - Opmaakprofiel2 2 19 4 2 2 3" xfId="32429"/>
    <cellStyle name="Data   - Opmaakprofiel2 2 19 4 2 2 4" xfId="25874"/>
    <cellStyle name="Data   - Opmaakprofiel2 2 19 4 2 2 5" xfId="53044"/>
    <cellStyle name="Data   - Opmaakprofiel2 2 19 4 2 3" xfId="12938"/>
    <cellStyle name="Data   - Opmaakprofiel2 2 19 4 2 4" xfId="24990"/>
    <cellStyle name="Data   - Opmaakprofiel2 2 19 4 2 5" xfId="40827"/>
    <cellStyle name="Data   - Opmaakprofiel2 2 19 4 2 6" xfId="44949"/>
    <cellStyle name="Data   - Opmaakprofiel2 2 19 4 3" xfId="3061"/>
    <cellStyle name="Data   - Opmaakprofiel2 2 19 4 3 2" xfId="8080"/>
    <cellStyle name="Data   - Opmaakprofiel2 2 19 4 3 2 2" xfId="20378"/>
    <cellStyle name="Data   - Opmaakprofiel2 2 19 4 3 2 3" xfId="32430"/>
    <cellStyle name="Data   - Opmaakprofiel2 2 19 4 3 2 4" xfId="43241"/>
    <cellStyle name="Data   - Opmaakprofiel2 2 19 4 3 2 5" xfId="53045"/>
    <cellStyle name="Data   - Opmaakprofiel2 2 19 4 3 3" xfId="12939"/>
    <cellStyle name="Data   - Opmaakprofiel2 2 19 4 3 4" xfId="24991"/>
    <cellStyle name="Data   - Opmaakprofiel2 2 19 4 3 5" xfId="46295"/>
    <cellStyle name="Data   - Opmaakprofiel2 2 19 4 3 6" xfId="38928"/>
    <cellStyle name="Data   - Opmaakprofiel2 2 19 4 4" xfId="3902"/>
    <cellStyle name="Data   - Opmaakprofiel2 2 19 4 4 2" xfId="8081"/>
    <cellStyle name="Data   - Opmaakprofiel2 2 19 4 4 2 2" xfId="20379"/>
    <cellStyle name="Data   - Opmaakprofiel2 2 19 4 4 2 3" xfId="32431"/>
    <cellStyle name="Data   - Opmaakprofiel2 2 19 4 4 2 4" xfId="31776"/>
    <cellStyle name="Data   - Opmaakprofiel2 2 19 4 4 2 5" xfId="53046"/>
    <cellStyle name="Data   - Opmaakprofiel2 2 19 4 4 3" xfId="12940"/>
    <cellStyle name="Data   - Opmaakprofiel2 2 19 4 4 4" xfId="24992"/>
    <cellStyle name="Data   - Opmaakprofiel2 2 19 4 4 5" xfId="40826"/>
    <cellStyle name="Data   - Opmaakprofiel2 2 19 4 4 6" xfId="44953"/>
    <cellStyle name="Data   - Opmaakprofiel2 2 19 4 5" xfId="4341"/>
    <cellStyle name="Data   - Opmaakprofiel2 2 19 4 5 2" xfId="8082"/>
    <cellStyle name="Data   - Opmaakprofiel2 2 19 4 5 2 2" xfId="20380"/>
    <cellStyle name="Data   - Opmaakprofiel2 2 19 4 5 2 3" xfId="32432"/>
    <cellStyle name="Data   - Opmaakprofiel2 2 19 4 5 2 4" xfId="43240"/>
    <cellStyle name="Data   - Opmaakprofiel2 2 19 4 5 2 5" xfId="53047"/>
    <cellStyle name="Data   - Opmaakprofiel2 2 19 4 5 3" xfId="12941"/>
    <cellStyle name="Data   - Opmaakprofiel2 2 19 4 5 4" xfId="24993"/>
    <cellStyle name="Data   - Opmaakprofiel2 2 19 4 5 5" xfId="46294"/>
    <cellStyle name="Data   - Opmaakprofiel2 2 19 4 5 6" xfId="38930"/>
    <cellStyle name="Data   - Opmaakprofiel2 2 19 4 6" xfId="4342"/>
    <cellStyle name="Data   - Opmaakprofiel2 2 19 4 6 2" xfId="8083"/>
    <cellStyle name="Data   - Opmaakprofiel2 2 19 4 6 2 2" xfId="20381"/>
    <cellStyle name="Data   - Opmaakprofiel2 2 19 4 6 2 3" xfId="32433"/>
    <cellStyle name="Data   - Opmaakprofiel2 2 19 4 6 2 4" xfId="25881"/>
    <cellStyle name="Data   - Opmaakprofiel2 2 19 4 6 2 5" xfId="53048"/>
    <cellStyle name="Data   - Opmaakprofiel2 2 19 4 6 3" xfId="12942"/>
    <cellStyle name="Data   - Opmaakprofiel2 2 19 4 6 4" xfId="24994"/>
    <cellStyle name="Data   - Opmaakprofiel2 2 19 4 6 5" xfId="40825"/>
    <cellStyle name="Data   - Opmaakprofiel2 2 19 4 6 6" xfId="44954"/>
    <cellStyle name="Data   - Opmaakprofiel2 2 19 4 7" xfId="4343"/>
    <cellStyle name="Data   - Opmaakprofiel2 2 19 4 7 2" xfId="12943"/>
    <cellStyle name="Data   - Opmaakprofiel2 2 19 4 7 3" xfId="24995"/>
    <cellStyle name="Data   - Opmaakprofiel2 2 19 4 7 4" xfId="46293"/>
    <cellStyle name="Data   - Opmaakprofiel2 2 19 4 7 5" xfId="38934"/>
    <cellStyle name="Data   - Opmaakprofiel2 2 19 4 8" xfId="9964"/>
    <cellStyle name="Data   - Opmaakprofiel2 2 19 4 8 2" xfId="22262"/>
    <cellStyle name="Data   - Opmaakprofiel2 2 19 4 8 3" xfId="44027"/>
    <cellStyle name="Data   - Opmaakprofiel2 2 19 4 8 4" xfId="28391"/>
    <cellStyle name="Data   - Opmaakprofiel2 2 19 4 8 5" xfId="54929"/>
    <cellStyle name="Data   - Opmaakprofiel2 2 19 4 9" xfId="12937"/>
    <cellStyle name="Data   - Opmaakprofiel2 2 19 5" xfId="1234"/>
    <cellStyle name="Data   - Opmaakprofiel2 2 19 5 2" xfId="2094"/>
    <cellStyle name="Data   - Opmaakprofiel2 2 19 5 2 2" xfId="8084"/>
    <cellStyle name="Data   - Opmaakprofiel2 2 19 5 2 2 2" xfId="20382"/>
    <cellStyle name="Data   - Opmaakprofiel2 2 19 5 2 2 3" xfId="32434"/>
    <cellStyle name="Data   - Opmaakprofiel2 2 19 5 2 2 4" xfId="43239"/>
    <cellStyle name="Data   - Opmaakprofiel2 2 19 5 2 2 5" xfId="53049"/>
    <cellStyle name="Data   - Opmaakprofiel2 2 19 5 2 3" xfId="12945"/>
    <cellStyle name="Data   - Opmaakprofiel2 2 19 5 2 4" xfId="24997"/>
    <cellStyle name="Data   - Opmaakprofiel2 2 19 5 2 5" xfId="46292"/>
    <cellStyle name="Data   - Opmaakprofiel2 2 19 5 2 6" xfId="38938"/>
    <cellStyle name="Data   - Opmaakprofiel2 2 19 5 3" xfId="3245"/>
    <cellStyle name="Data   - Opmaakprofiel2 2 19 5 3 2" xfId="8085"/>
    <cellStyle name="Data   - Opmaakprofiel2 2 19 5 3 2 2" xfId="20383"/>
    <cellStyle name="Data   - Opmaakprofiel2 2 19 5 3 2 3" xfId="32435"/>
    <cellStyle name="Data   - Opmaakprofiel2 2 19 5 3 2 4" xfId="31984"/>
    <cellStyle name="Data   - Opmaakprofiel2 2 19 5 3 2 5" xfId="53050"/>
    <cellStyle name="Data   - Opmaakprofiel2 2 19 5 3 3" xfId="12946"/>
    <cellStyle name="Data   - Opmaakprofiel2 2 19 5 3 4" xfId="24998"/>
    <cellStyle name="Data   - Opmaakprofiel2 2 19 5 3 5" xfId="40823"/>
    <cellStyle name="Data   - Opmaakprofiel2 2 19 5 3 6" xfId="38939"/>
    <cellStyle name="Data   - Opmaakprofiel2 2 19 5 4" xfId="4059"/>
    <cellStyle name="Data   - Opmaakprofiel2 2 19 5 4 2" xfId="8086"/>
    <cellStyle name="Data   - Opmaakprofiel2 2 19 5 4 2 2" xfId="20384"/>
    <cellStyle name="Data   - Opmaakprofiel2 2 19 5 4 2 3" xfId="32436"/>
    <cellStyle name="Data   - Opmaakprofiel2 2 19 5 4 2 4" xfId="25888"/>
    <cellStyle name="Data   - Opmaakprofiel2 2 19 5 4 2 5" xfId="53051"/>
    <cellStyle name="Data   - Opmaakprofiel2 2 19 5 4 3" xfId="12947"/>
    <cellStyle name="Data   - Opmaakprofiel2 2 19 5 4 4" xfId="24999"/>
    <cellStyle name="Data   - Opmaakprofiel2 2 19 5 4 5" xfId="40822"/>
    <cellStyle name="Data   - Opmaakprofiel2 2 19 5 4 6" xfId="38942"/>
    <cellStyle name="Data   - Opmaakprofiel2 2 19 5 5" xfId="4344"/>
    <cellStyle name="Data   - Opmaakprofiel2 2 19 5 5 2" xfId="8087"/>
    <cellStyle name="Data   - Opmaakprofiel2 2 19 5 5 2 2" xfId="20385"/>
    <cellStyle name="Data   - Opmaakprofiel2 2 19 5 5 2 3" xfId="32437"/>
    <cellStyle name="Data   - Opmaakprofiel2 2 19 5 5 2 4" xfId="31607"/>
    <cellStyle name="Data   - Opmaakprofiel2 2 19 5 5 2 5" xfId="53052"/>
    <cellStyle name="Data   - Opmaakprofiel2 2 19 5 5 3" xfId="12948"/>
    <cellStyle name="Data   - Opmaakprofiel2 2 19 5 5 4" xfId="25000"/>
    <cellStyle name="Data   - Opmaakprofiel2 2 19 5 5 5" xfId="40821"/>
    <cellStyle name="Data   - Opmaakprofiel2 2 19 5 5 6" xfId="44962"/>
    <cellStyle name="Data   - Opmaakprofiel2 2 19 5 6" xfId="4345"/>
    <cellStyle name="Data   - Opmaakprofiel2 2 19 5 6 2" xfId="8088"/>
    <cellStyle name="Data   - Opmaakprofiel2 2 19 5 6 2 2" xfId="20386"/>
    <cellStyle name="Data   - Opmaakprofiel2 2 19 5 6 2 3" xfId="32438"/>
    <cellStyle name="Data   - Opmaakprofiel2 2 19 5 6 2 4" xfId="43238"/>
    <cellStyle name="Data   - Opmaakprofiel2 2 19 5 6 2 5" xfId="53053"/>
    <cellStyle name="Data   - Opmaakprofiel2 2 19 5 6 3" xfId="12949"/>
    <cellStyle name="Data   - Opmaakprofiel2 2 19 5 6 4" xfId="25001"/>
    <cellStyle name="Data   - Opmaakprofiel2 2 19 5 6 5" xfId="46291"/>
    <cellStyle name="Data   - Opmaakprofiel2 2 19 5 6 6" xfId="38944"/>
    <cellStyle name="Data   - Opmaakprofiel2 2 19 5 7" xfId="4346"/>
    <cellStyle name="Data   - Opmaakprofiel2 2 19 5 7 2" xfId="12950"/>
    <cellStyle name="Data   - Opmaakprofiel2 2 19 5 7 3" xfId="25002"/>
    <cellStyle name="Data   - Opmaakprofiel2 2 19 5 7 4" xfId="40820"/>
    <cellStyle name="Data   - Opmaakprofiel2 2 19 5 7 5" xfId="44964"/>
    <cellStyle name="Data   - Opmaakprofiel2 2 19 5 8" xfId="7140"/>
    <cellStyle name="Data   - Opmaakprofiel2 2 19 5 8 2" xfId="19438"/>
    <cellStyle name="Data   - Opmaakprofiel2 2 19 5 8 3" xfId="41241"/>
    <cellStyle name="Data   - Opmaakprofiel2 2 19 5 8 4" xfId="43633"/>
    <cellStyle name="Data   - Opmaakprofiel2 2 19 5 8 5" xfId="52110"/>
    <cellStyle name="Data   - Opmaakprofiel2 2 19 5 9" xfId="12944"/>
    <cellStyle name="Data   - Opmaakprofiel2 2 19 6" xfId="416"/>
    <cellStyle name="Data   - Opmaakprofiel2 2 19 6 2" xfId="1741"/>
    <cellStyle name="Data   - Opmaakprofiel2 2 19 6 2 2" xfId="8089"/>
    <cellStyle name="Data   - Opmaakprofiel2 2 19 6 2 2 2" xfId="20387"/>
    <cellStyle name="Data   - Opmaakprofiel2 2 19 6 2 2 3" xfId="32439"/>
    <cellStyle name="Data   - Opmaakprofiel2 2 19 6 2 2 4" xfId="25895"/>
    <cellStyle name="Data   - Opmaakprofiel2 2 19 6 2 2 5" xfId="53054"/>
    <cellStyle name="Data   - Opmaakprofiel2 2 19 6 2 3" xfId="12952"/>
    <cellStyle name="Data   - Opmaakprofiel2 2 19 6 2 4" xfId="25004"/>
    <cellStyle name="Data   - Opmaakprofiel2 2 19 6 2 5" xfId="40819"/>
    <cellStyle name="Data   - Opmaakprofiel2 2 19 6 2 6" xfId="44966"/>
    <cellStyle name="Data   - Opmaakprofiel2 2 19 6 3" xfId="2487"/>
    <cellStyle name="Data   - Opmaakprofiel2 2 19 6 3 2" xfId="8090"/>
    <cellStyle name="Data   - Opmaakprofiel2 2 19 6 3 2 2" xfId="20388"/>
    <cellStyle name="Data   - Opmaakprofiel2 2 19 6 3 2 3" xfId="32440"/>
    <cellStyle name="Data   - Opmaakprofiel2 2 19 6 3 2 4" xfId="43237"/>
    <cellStyle name="Data   - Opmaakprofiel2 2 19 6 3 2 5" xfId="53055"/>
    <cellStyle name="Data   - Opmaakprofiel2 2 19 6 3 3" xfId="12953"/>
    <cellStyle name="Data   - Opmaakprofiel2 2 19 6 3 4" xfId="25005"/>
    <cellStyle name="Data   - Opmaakprofiel2 2 19 6 3 5" xfId="46289"/>
    <cellStyle name="Data   - Opmaakprofiel2 2 19 6 3 6" xfId="38949"/>
    <cellStyle name="Data   - Opmaakprofiel2 2 19 6 4" xfId="2070"/>
    <cellStyle name="Data   - Opmaakprofiel2 2 19 6 4 2" xfId="8091"/>
    <cellStyle name="Data   - Opmaakprofiel2 2 19 6 4 2 2" xfId="20389"/>
    <cellStyle name="Data   - Opmaakprofiel2 2 19 6 4 2 3" xfId="32441"/>
    <cellStyle name="Data   - Opmaakprofiel2 2 19 6 4 2 4" xfId="31771"/>
    <cellStyle name="Data   - Opmaakprofiel2 2 19 6 4 2 5" xfId="53056"/>
    <cellStyle name="Data   - Opmaakprofiel2 2 19 6 4 3" xfId="12954"/>
    <cellStyle name="Data   - Opmaakprofiel2 2 19 6 4 4" xfId="25006"/>
    <cellStyle name="Data   - Opmaakprofiel2 2 19 6 4 5" xfId="40818"/>
    <cellStyle name="Data   - Opmaakprofiel2 2 19 6 4 6" xfId="38952"/>
    <cellStyle name="Data   - Opmaakprofiel2 2 19 6 5" xfId="4347"/>
    <cellStyle name="Data   - Opmaakprofiel2 2 19 6 5 2" xfId="8092"/>
    <cellStyle name="Data   - Opmaakprofiel2 2 19 6 5 2 2" xfId="20390"/>
    <cellStyle name="Data   - Opmaakprofiel2 2 19 6 5 2 3" xfId="32442"/>
    <cellStyle name="Data   - Opmaakprofiel2 2 19 6 5 2 4" xfId="25902"/>
    <cellStyle name="Data   - Opmaakprofiel2 2 19 6 5 2 5" xfId="53057"/>
    <cellStyle name="Data   - Opmaakprofiel2 2 19 6 5 3" xfId="12955"/>
    <cellStyle name="Data   - Opmaakprofiel2 2 19 6 5 4" xfId="25007"/>
    <cellStyle name="Data   - Opmaakprofiel2 2 19 6 5 5" xfId="46288"/>
    <cellStyle name="Data   - Opmaakprofiel2 2 19 6 5 6" xfId="38955"/>
    <cellStyle name="Data   - Opmaakprofiel2 2 19 6 6" xfId="4348"/>
    <cellStyle name="Data   - Opmaakprofiel2 2 19 6 6 2" xfId="8093"/>
    <cellStyle name="Data   - Opmaakprofiel2 2 19 6 6 2 2" xfId="20391"/>
    <cellStyle name="Data   - Opmaakprofiel2 2 19 6 6 2 3" xfId="32443"/>
    <cellStyle name="Data   - Opmaakprofiel2 2 19 6 6 2 4" xfId="43236"/>
    <cellStyle name="Data   - Opmaakprofiel2 2 19 6 6 2 5" xfId="53058"/>
    <cellStyle name="Data   - Opmaakprofiel2 2 19 6 6 3" xfId="12956"/>
    <cellStyle name="Data   - Opmaakprofiel2 2 19 6 6 4" xfId="25008"/>
    <cellStyle name="Data   - Opmaakprofiel2 2 19 6 6 5" xfId="40817"/>
    <cellStyle name="Data   - Opmaakprofiel2 2 19 6 6 6" xfId="44971"/>
    <cellStyle name="Data   - Opmaakprofiel2 2 19 6 7" xfId="4349"/>
    <cellStyle name="Data   - Opmaakprofiel2 2 19 6 7 2" xfId="12957"/>
    <cellStyle name="Data   - Opmaakprofiel2 2 19 6 7 3" xfId="25009"/>
    <cellStyle name="Data   - Opmaakprofiel2 2 19 6 7 4" xfId="46287"/>
    <cellStyle name="Data   - Opmaakprofiel2 2 19 6 7 5" xfId="38958"/>
    <cellStyle name="Data   - Opmaakprofiel2 2 19 6 8" xfId="7705"/>
    <cellStyle name="Data   - Opmaakprofiel2 2 19 6 8 2" xfId="20003"/>
    <cellStyle name="Data   - Opmaakprofiel2 2 19 6 8 3" xfId="41806"/>
    <cellStyle name="Data   - Opmaakprofiel2 2 19 6 8 4" xfId="34631"/>
    <cellStyle name="Data   - Opmaakprofiel2 2 19 6 8 5" xfId="52675"/>
    <cellStyle name="Data   - Opmaakprofiel2 2 19 6 9" xfId="12951"/>
    <cellStyle name="Data   - Opmaakprofiel2 2 19 7" xfId="1463"/>
    <cellStyle name="Data   - Opmaakprofiel2 2 19 7 2" xfId="8094"/>
    <cellStyle name="Data   - Opmaakprofiel2 2 19 7 2 2" xfId="20392"/>
    <cellStyle name="Data   - Opmaakprofiel2 2 19 7 2 3" xfId="32444"/>
    <cellStyle name="Data   - Opmaakprofiel2 2 19 7 2 4" xfId="31498"/>
    <cellStyle name="Data   - Opmaakprofiel2 2 19 7 2 5" xfId="53059"/>
    <cellStyle name="Data   - Opmaakprofiel2 2 19 7 3" xfId="12958"/>
    <cellStyle name="Data   - Opmaakprofiel2 2 19 7 4" xfId="25010"/>
    <cellStyle name="Data   - Opmaakprofiel2 2 19 7 5" xfId="40816"/>
    <cellStyle name="Data   - Opmaakprofiel2 2 19 7 6" xfId="38959"/>
    <cellStyle name="Data   - Opmaakprofiel2 2 19 8" xfId="2827"/>
    <cellStyle name="Data   - Opmaakprofiel2 2 19 8 2" xfId="8095"/>
    <cellStyle name="Data   - Opmaakprofiel2 2 19 8 2 2" xfId="20393"/>
    <cellStyle name="Data   - Opmaakprofiel2 2 19 8 2 3" xfId="32445"/>
    <cellStyle name="Data   - Opmaakprofiel2 2 19 8 2 4" xfId="43235"/>
    <cellStyle name="Data   - Opmaakprofiel2 2 19 8 2 5" xfId="53060"/>
    <cellStyle name="Data   - Opmaakprofiel2 2 19 8 3" xfId="12959"/>
    <cellStyle name="Data   - Opmaakprofiel2 2 19 8 4" xfId="25011"/>
    <cellStyle name="Data   - Opmaakprofiel2 2 19 8 5" xfId="40815"/>
    <cellStyle name="Data   - Opmaakprofiel2 2 19 8 6" xfId="44976"/>
    <cellStyle name="Data   - Opmaakprofiel2 2 19 9" xfId="3685"/>
    <cellStyle name="Data   - Opmaakprofiel2 2 19 9 2" xfId="8096"/>
    <cellStyle name="Data   - Opmaakprofiel2 2 19 9 2 2" xfId="20394"/>
    <cellStyle name="Data   - Opmaakprofiel2 2 19 9 2 3" xfId="32446"/>
    <cellStyle name="Data   - Opmaakprofiel2 2 19 9 2 4" xfId="25909"/>
    <cellStyle name="Data   - Opmaakprofiel2 2 19 9 2 5" xfId="53061"/>
    <cellStyle name="Data   - Opmaakprofiel2 2 19 9 3" xfId="12960"/>
    <cellStyle name="Data   - Opmaakprofiel2 2 19 9 4" xfId="25012"/>
    <cellStyle name="Data   - Opmaakprofiel2 2 19 9 5" xfId="40814"/>
    <cellStyle name="Data   - Opmaakprofiel2 2 19 9 6" xfId="38962"/>
    <cellStyle name="Data   - Opmaakprofiel2 2 2" xfId="140"/>
    <cellStyle name="Data   - Opmaakprofiel2 2 2 10" xfId="1359"/>
    <cellStyle name="Data   - Opmaakprofiel2 2 2 10 2" xfId="1410"/>
    <cellStyle name="Data   - Opmaakprofiel2 2 2 10 2 2" xfId="8097"/>
    <cellStyle name="Data   - Opmaakprofiel2 2 2 10 2 2 2" xfId="20395"/>
    <cellStyle name="Data   - Opmaakprofiel2 2 2 10 2 2 3" xfId="32447"/>
    <cellStyle name="Data   - Opmaakprofiel2 2 2 10 2 2 4" xfId="43234"/>
    <cellStyle name="Data   - Opmaakprofiel2 2 2 10 2 2 5" xfId="53062"/>
    <cellStyle name="Data   - Opmaakprofiel2 2 2 10 2 3" xfId="12963"/>
    <cellStyle name="Data   - Opmaakprofiel2 2 2 10 2 4" xfId="25015"/>
    <cellStyle name="Data   - Opmaakprofiel2 2 2 10 2 5" xfId="46285"/>
    <cellStyle name="Data   - Opmaakprofiel2 2 2 10 2 6" xfId="38967"/>
    <cellStyle name="Data   - Opmaakprofiel2 2 2 10 3" xfId="3370"/>
    <cellStyle name="Data   - Opmaakprofiel2 2 2 10 3 2" xfId="8098"/>
    <cellStyle name="Data   - Opmaakprofiel2 2 2 10 3 2 2" xfId="20396"/>
    <cellStyle name="Data   - Opmaakprofiel2 2 2 10 3 2 3" xfId="32448"/>
    <cellStyle name="Data   - Opmaakprofiel2 2 2 10 3 2 4" xfId="34205"/>
    <cellStyle name="Data   - Opmaakprofiel2 2 2 10 3 2 5" xfId="53063"/>
    <cellStyle name="Data   - Opmaakprofiel2 2 2 10 3 3" xfId="12964"/>
    <cellStyle name="Data   - Opmaakprofiel2 2 2 10 3 4" xfId="25016"/>
    <cellStyle name="Data   - Opmaakprofiel2 2 2 10 3 5" xfId="40812"/>
    <cellStyle name="Data   - Opmaakprofiel2 2 2 10 3 6" xfId="44981"/>
    <cellStyle name="Data   - Opmaakprofiel2 2 2 10 4" xfId="4131"/>
    <cellStyle name="Data   - Opmaakprofiel2 2 2 10 4 2" xfId="8099"/>
    <cellStyle name="Data   - Opmaakprofiel2 2 2 10 4 2 2" xfId="20397"/>
    <cellStyle name="Data   - Opmaakprofiel2 2 2 10 4 2 3" xfId="32449"/>
    <cellStyle name="Data   - Opmaakprofiel2 2 2 10 4 2 4" xfId="25916"/>
    <cellStyle name="Data   - Opmaakprofiel2 2 2 10 4 2 5" xfId="53064"/>
    <cellStyle name="Data   - Opmaakprofiel2 2 2 10 4 3" xfId="12965"/>
    <cellStyle name="Data   - Opmaakprofiel2 2 2 10 4 4" xfId="25017"/>
    <cellStyle name="Data   - Opmaakprofiel2 2 2 10 4 5" xfId="40811"/>
    <cellStyle name="Data   - Opmaakprofiel2 2 2 10 4 6" xfId="38970"/>
    <cellStyle name="Data   - Opmaakprofiel2 2 2 10 5" xfId="4350"/>
    <cellStyle name="Data   - Opmaakprofiel2 2 2 10 5 2" xfId="8100"/>
    <cellStyle name="Data   - Opmaakprofiel2 2 2 10 5 2 2" xfId="20398"/>
    <cellStyle name="Data   - Opmaakprofiel2 2 2 10 5 2 3" xfId="32450"/>
    <cellStyle name="Data   - Opmaakprofiel2 2 2 10 5 2 4" xfId="43233"/>
    <cellStyle name="Data   - Opmaakprofiel2 2 2 10 5 2 5" xfId="53065"/>
    <cellStyle name="Data   - Opmaakprofiel2 2 2 10 5 3" xfId="12966"/>
    <cellStyle name="Data   - Opmaakprofiel2 2 2 10 5 4" xfId="25018"/>
    <cellStyle name="Data   - Opmaakprofiel2 2 2 10 5 5" xfId="46284"/>
    <cellStyle name="Data   - Opmaakprofiel2 2 2 10 5 6" xfId="38971"/>
    <cellStyle name="Data   - Opmaakprofiel2 2 2 10 6" xfId="4351"/>
    <cellStyle name="Data   - Opmaakprofiel2 2 2 10 6 2" xfId="8101"/>
    <cellStyle name="Data   - Opmaakprofiel2 2 2 10 6 2 2" xfId="20399"/>
    <cellStyle name="Data   - Opmaakprofiel2 2 2 10 6 2 3" xfId="32451"/>
    <cellStyle name="Data   - Opmaakprofiel2 2 2 10 6 2 4" xfId="34157"/>
    <cellStyle name="Data   - Opmaakprofiel2 2 2 10 6 2 5" xfId="53066"/>
    <cellStyle name="Data   - Opmaakprofiel2 2 2 10 6 3" xfId="12967"/>
    <cellStyle name="Data   - Opmaakprofiel2 2 2 10 6 4" xfId="25019"/>
    <cellStyle name="Data   - Opmaakprofiel2 2 2 10 6 5" xfId="40810"/>
    <cellStyle name="Data   - Opmaakprofiel2 2 2 10 6 6" xfId="38974"/>
    <cellStyle name="Data   - Opmaakprofiel2 2 2 10 7" xfId="4352"/>
    <cellStyle name="Data   - Opmaakprofiel2 2 2 10 7 2" xfId="12968"/>
    <cellStyle name="Data   - Opmaakprofiel2 2 2 10 7 3" xfId="25020"/>
    <cellStyle name="Data   - Opmaakprofiel2 2 2 10 7 4" xfId="46283"/>
    <cellStyle name="Data   - Opmaakprofiel2 2 2 10 7 5" xfId="38978"/>
    <cellStyle name="Data   - Opmaakprofiel2 2 2 10 8" xfId="7025"/>
    <cellStyle name="Data   - Opmaakprofiel2 2 2 10 8 2" xfId="19323"/>
    <cellStyle name="Data   - Opmaakprofiel2 2 2 10 8 3" xfId="41126"/>
    <cellStyle name="Data   - Opmaakprofiel2 2 2 10 8 4" xfId="43681"/>
    <cellStyle name="Data   - Opmaakprofiel2 2 2 10 8 5" xfId="51996"/>
    <cellStyle name="Data   - Opmaakprofiel2 2 2 10 9" xfId="12962"/>
    <cellStyle name="Data   - Opmaakprofiel2 2 2 11" xfId="2153"/>
    <cellStyle name="Data   - Opmaakprofiel2 2 2 11 2" xfId="8102"/>
    <cellStyle name="Data   - Opmaakprofiel2 2 2 11 2 2" xfId="20400"/>
    <cellStyle name="Data   - Opmaakprofiel2 2 2 11 2 3" xfId="32452"/>
    <cellStyle name="Data   - Opmaakprofiel2 2 2 11 2 4" xfId="43232"/>
    <cellStyle name="Data   - Opmaakprofiel2 2 2 11 2 5" xfId="53067"/>
    <cellStyle name="Data   - Opmaakprofiel2 2 2 11 3" xfId="12969"/>
    <cellStyle name="Data   - Opmaakprofiel2 2 2 11 4" xfId="25021"/>
    <cellStyle name="Data   - Opmaakprofiel2 2 2 11 5" xfId="40809"/>
    <cellStyle name="Data   - Opmaakprofiel2 2 2 11 6" xfId="38980"/>
    <cellStyle name="Data   - Opmaakprofiel2 2 2 12" xfId="2386"/>
    <cellStyle name="Data   - Opmaakprofiel2 2 2 12 2" xfId="8103"/>
    <cellStyle name="Data   - Opmaakprofiel2 2 2 12 2 2" xfId="20401"/>
    <cellStyle name="Data   - Opmaakprofiel2 2 2 12 2 3" xfId="32453"/>
    <cellStyle name="Data   - Opmaakprofiel2 2 2 12 2 4" xfId="25923"/>
    <cellStyle name="Data   - Opmaakprofiel2 2 2 12 2 5" xfId="53068"/>
    <cellStyle name="Data   - Opmaakprofiel2 2 2 12 3" xfId="12970"/>
    <cellStyle name="Data   - Opmaakprofiel2 2 2 12 4" xfId="25022"/>
    <cellStyle name="Data   - Opmaakprofiel2 2 2 12 5" xfId="46282"/>
    <cellStyle name="Data   - Opmaakprofiel2 2 2 12 6" xfId="44990"/>
    <cellStyle name="Data   - Opmaakprofiel2 2 2 13" xfId="2061"/>
    <cellStyle name="Data   - Opmaakprofiel2 2 2 13 2" xfId="8104"/>
    <cellStyle name="Data   - Opmaakprofiel2 2 2 13 2 2" xfId="20402"/>
    <cellStyle name="Data   - Opmaakprofiel2 2 2 13 2 3" xfId="32454"/>
    <cellStyle name="Data   - Opmaakprofiel2 2 2 13 2 4" xfId="43231"/>
    <cellStyle name="Data   - Opmaakprofiel2 2 2 13 2 5" xfId="53069"/>
    <cellStyle name="Data   - Opmaakprofiel2 2 2 13 3" xfId="12971"/>
    <cellStyle name="Data   - Opmaakprofiel2 2 2 13 4" xfId="25023"/>
    <cellStyle name="Data   - Opmaakprofiel2 2 2 13 5" xfId="40808"/>
    <cellStyle name="Data   - Opmaakprofiel2 2 2 13 6" xfId="38981"/>
    <cellStyle name="Data   - Opmaakprofiel2 2 2 14" xfId="4353"/>
    <cellStyle name="Data   - Opmaakprofiel2 2 2 14 2" xfId="8105"/>
    <cellStyle name="Data   - Opmaakprofiel2 2 2 14 2 2" xfId="20403"/>
    <cellStyle name="Data   - Opmaakprofiel2 2 2 14 2 3" xfId="32455"/>
    <cellStyle name="Data   - Opmaakprofiel2 2 2 14 2 4" xfId="32082"/>
    <cellStyle name="Data   - Opmaakprofiel2 2 2 14 2 5" xfId="53070"/>
    <cellStyle name="Data   - Opmaakprofiel2 2 2 14 3" xfId="12972"/>
    <cellStyle name="Data   - Opmaakprofiel2 2 2 14 4" xfId="25024"/>
    <cellStyle name="Data   - Opmaakprofiel2 2 2 14 5" xfId="40807"/>
    <cellStyle name="Data   - Opmaakprofiel2 2 2 14 6" xfId="38985"/>
    <cellStyle name="Data   - Opmaakprofiel2 2 2 15" xfId="4354"/>
    <cellStyle name="Data   - Opmaakprofiel2 2 2 15 2" xfId="8106"/>
    <cellStyle name="Data   - Opmaakprofiel2 2 2 15 2 2" xfId="20404"/>
    <cellStyle name="Data   - Opmaakprofiel2 2 2 15 2 3" xfId="32456"/>
    <cellStyle name="Data   - Opmaakprofiel2 2 2 15 2 4" xfId="43230"/>
    <cellStyle name="Data   - Opmaakprofiel2 2 2 15 2 5" xfId="53071"/>
    <cellStyle name="Data   - Opmaakprofiel2 2 2 15 3" xfId="12973"/>
    <cellStyle name="Data   - Opmaakprofiel2 2 2 15 4" xfId="25025"/>
    <cellStyle name="Data   - Opmaakprofiel2 2 2 15 5" xfId="46281"/>
    <cellStyle name="Data   - Opmaakprofiel2 2 2 15 6" xfId="38987"/>
    <cellStyle name="Data   - Opmaakprofiel2 2 2 16" xfId="4355"/>
    <cellStyle name="Data   - Opmaakprofiel2 2 2 16 2" xfId="12974"/>
    <cellStyle name="Data   - Opmaakprofiel2 2 2 16 3" xfId="25026"/>
    <cellStyle name="Data   - Opmaakprofiel2 2 2 16 4" xfId="40806"/>
    <cellStyle name="Data   - Opmaakprofiel2 2 2 16 5" xfId="44995"/>
    <cellStyle name="Data   - Opmaakprofiel2 2 2 17" xfId="10520"/>
    <cellStyle name="Data   - Opmaakprofiel2 2 2 17 2" xfId="22818"/>
    <cellStyle name="Data   - Opmaakprofiel2 2 2 17 3" xfId="44577"/>
    <cellStyle name="Data   - Opmaakprofiel2 2 2 17 4" xfId="42241"/>
    <cellStyle name="Data   - Opmaakprofiel2 2 2 17 5" xfId="55485"/>
    <cellStyle name="Data   - Opmaakprofiel2 2 2 18" xfId="12961"/>
    <cellStyle name="Data   - Opmaakprofiel2 2 2 2" xfId="341"/>
    <cellStyle name="Data   - Opmaakprofiel2 2 2 2 10" xfId="2179"/>
    <cellStyle name="Data   - Opmaakprofiel2 2 2 2 10 2" xfId="8107"/>
    <cellStyle name="Data   - Opmaakprofiel2 2 2 2 10 2 2" xfId="20405"/>
    <cellStyle name="Data   - Opmaakprofiel2 2 2 2 10 2 3" xfId="32457"/>
    <cellStyle name="Data   - Opmaakprofiel2 2 2 2 10 2 4" xfId="25930"/>
    <cellStyle name="Data   - Opmaakprofiel2 2 2 2 10 2 5" xfId="53072"/>
    <cellStyle name="Data   - Opmaakprofiel2 2 2 2 10 3" xfId="12976"/>
    <cellStyle name="Data   - Opmaakprofiel2 2 2 2 10 4" xfId="25028"/>
    <cellStyle name="Data   - Opmaakprofiel2 2 2 2 10 5" xfId="40805"/>
    <cellStyle name="Data   - Opmaakprofiel2 2 2 2 10 6" xfId="44996"/>
    <cellStyle name="Data   - Opmaakprofiel2 2 2 2 11" xfId="1773"/>
    <cellStyle name="Data   - Opmaakprofiel2 2 2 2 11 2" xfId="8108"/>
    <cellStyle name="Data   - Opmaakprofiel2 2 2 2 11 2 2" xfId="20406"/>
    <cellStyle name="Data   - Opmaakprofiel2 2 2 2 11 2 3" xfId="32458"/>
    <cellStyle name="Data   - Opmaakprofiel2 2 2 2 11 2 4" xfId="43229"/>
    <cellStyle name="Data   - Opmaakprofiel2 2 2 2 11 2 5" xfId="53073"/>
    <cellStyle name="Data   - Opmaakprofiel2 2 2 2 11 3" xfId="12977"/>
    <cellStyle name="Data   - Opmaakprofiel2 2 2 2 11 4" xfId="25029"/>
    <cellStyle name="Data   - Opmaakprofiel2 2 2 2 11 5" xfId="46279"/>
    <cellStyle name="Data   - Opmaakprofiel2 2 2 2 11 6" xfId="38990"/>
    <cellStyle name="Data   - Opmaakprofiel2 2 2 2 12" xfId="1812"/>
    <cellStyle name="Data   - Opmaakprofiel2 2 2 2 12 2" xfId="8109"/>
    <cellStyle name="Data   - Opmaakprofiel2 2 2 2 12 2 2" xfId="20407"/>
    <cellStyle name="Data   - Opmaakprofiel2 2 2 2 12 2 3" xfId="32459"/>
    <cellStyle name="Data   - Opmaakprofiel2 2 2 2 12 2 4" xfId="34592"/>
    <cellStyle name="Data   - Opmaakprofiel2 2 2 2 12 2 5" xfId="53074"/>
    <cellStyle name="Data   - Opmaakprofiel2 2 2 2 12 3" xfId="12978"/>
    <cellStyle name="Data   - Opmaakprofiel2 2 2 2 12 4" xfId="25030"/>
    <cellStyle name="Data   - Opmaakprofiel2 2 2 2 12 5" xfId="40804"/>
    <cellStyle name="Data   - Opmaakprofiel2 2 2 2 12 6" xfId="38991"/>
    <cellStyle name="Data   - Opmaakprofiel2 2 2 2 13" xfId="4356"/>
    <cellStyle name="Data   - Opmaakprofiel2 2 2 2 13 2" xfId="8110"/>
    <cellStyle name="Data   - Opmaakprofiel2 2 2 2 13 2 2" xfId="20408"/>
    <cellStyle name="Data   - Opmaakprofiel2 2 2 2 13 2 3" xfId="32460"/>
    <cellStyle name="Data   - Opmaakprofiel2 2 2 2 13 2 4" xfId="25937"/>
    <cellStyle name="Data   - Opmaakprofiel2 2 2 2 13 2 5" xfId="53075"/>
    <cellStyle name="Data   - Opmaakprofiel2 2 2 2 13 3" xfId="12979"/>
    <cellStyle name="Data   - Opmaakprofiel2 2 2 2 13 4" xfId="25031"/>
    <cellStyle name="Data   - Opmaakprofiel2 2 2 2 13 5" xfId="46278"/>
    <cellStyle name="Data   - Opmaakprofiel2 2 2 2 13 6" xfId="38994"/>
    <cellStyle name="Data   - Opmaakprofiel2 2 2 2 14" xfId="4357"/>
    <cellStyle name="Data   - Opmaakprofiel2 2 2 2 14 2" xfId="8111"/>
    <cellStyle name="Data   - Opmaakprofiel2 2 2 2 14 2 2" xfId="20409"/>
    <cellStyle name="Data   - Opmaakprofiel2 2 2 2 14 2 3" xfId="32461"/>
    <cellStyle name="Data   - Opmaakprofiel2 2 2 2 14 2 4" xfId="32052"/>
    <cellStyle name="Data   - Opmaakprofiel2 2 2 2 14 2 5" xfId="53076"/>
    <cellStyle name="Data   - Opmaakprofiel2 2 2 2 14 3" xfId="12980"/>
    <cellStyle name="Data   - Opmaakprofiel2 2 2 2 14 4" xfId="25032"/>
    <cellStyle name="Data   - Opmaakprofiel2 2 2 2 14 5" xfId="40803"/>
    <cellStyle name="Data   - Opmaakprofiel2 2 2 2 14 6" xfId="45001"/>
    <cellStyle name="Data   - Opmaakprofiel2 2 2 2 15" xfId="4358"/>
    <cellStyle name="Data   - Opmaakprofiel2 2 2 2 15 2" xfId="12981"/>
    <cellStyle name="Data   - Opmaakprofiel2 2 2 2 15 3" xfId="25033"/>
    <cellStyle name="Data   - Opmaakprofiel2 2 2 2 15 4" xfId="46277"/>
    <cellStyle name="Data   - Opmaakprofiel2 2 2 2 15 5" xfId="38997"/>
    <cellStyle name="Data   - Opmaakprofiel2 2 2 2 16" xfId="7757"/>
    <cellStyle name="Data   - Opmaakprofiel2 2 2 2 16 2" xfId="20055"/>
    <cellStyle name="Data   - Opmaakprofiel2 2 2 2 16 3" xfId="41858"/>
    <cellStyle name="Data   - Opmaakprofiel2 2 2 2 16 4" xfId="25213"/>
    <cellStyle name="Data   - Opmaakprofiel2 2 2 2 16 5" xfId="52727"/>
    <cellStyle name="Data   - Opmaakprofiel2 2 2 2 17" xfId="12975"/>
    <cellStyle name="Data   - Opmaakprofiel2 2 2 2 2" xfId="619"/>
    <cellStyle name="Data   - Opmaakprofiel2 2 2 2 2 2" xfId="1918"/>
    <cellStyle name="Data   - Opmaakprofiel2 2 2 2 2 2 2" xfId="8112"/>
    <cellStyle name="Data   - Opmaakprofiel2 2 2 2 2 2 2 2" xfId="20410"/>
    <cellStyle name="Data   - Opmaakprofiel2 2 2 2 2 2 2 3" xfId="32462"/>
    <cellStyle name="Data   - Opmaakprofiel2 2 2 2 2 2 2 4" xfId="43228"/>
    <cellStyle name="Data   - Opmaakprofiel2 2 2 2 2 2 2 5" xfId="53077"/>
    <cellStyle name="Data   - Opmaakprofiel2 2 2 2 2 2 3" xfId="12983"/>
    <cellStyle name="Data   - Opmaakprofiel2 2 2 2 2 2 4" xfId="25035"/>
    <cellStyle name="Data   - Opmaakprofiel2 2 2 2 2 2 5" xfId="40801"/>
    <cellStyle name="Data   - Opmaakprofiel2 2 2 2 2 2 6" xfId="45006"/>
    <cellStyle name="Data   - Opmaakprofiel2 2 2 2 2 3" xfId="2690"/>
    <cellStyle name="Data   - Opmaakprofiel2 2 2 2 2 3 2" xfId="8113"/>
    <cellStyle name="Data   - Opmaakprofiel2 2 2 2 2 3 2 2" xfId="20411"/>
    <cellStyle name="Data   - Opmaakprofiel2 2 2 2 2 3 2 3" xfId="32463"/>
    <cellStyle name="Data   - Opmaakprofiel2 2 2 2 2 3 2 4" xfId="25944"/>
    <cellStyle name="Data   - Opmaakprofiel2 2 2 2 2 3 2 5" xfId="53078"/>
    <cellStyle name="Data   - Opmaakprofiel2 2 2 2 2 3 3" xfId="12984"/>
    <cellStyle name="Data   - Opmaakprofiel2 2 2 2 2 3 4" xfId="25036"/>
    <cellStyle name="Data   - Opmaakprofiel2 2 2 2 2 3 5" xfId="40800"/>
    <cellStyle name="Data   - Opmaakprofiel2 2 2 2 2 3 6" xfId="39000"/>
    <cellStyle name="Data   - Opmaakprofiel2 2 2 2 2 4" xfId="3562"/>
    <cellStyle name="Data   - Opmaakprofiel2 2 2 2 2 4 2" xfId="8114"/>
    <cellStyle name="Data   - Opmaakprofiel2 2 2 2 2 4 2 2" xfId="20412"/>
    <cellStyle name="Data   - Opmaakprofiel2 2 2 2 2 4 2 3" xfId="32464"/>
    <cellStyle name="Data   - Opmaakprofiel2 2 2 2 2 4 2 4" xfId="43227"/>
    <cellStyle name="Data   - Opmaakprofiel2 2 2 2 2 4 2 5" xfId="53079"/>
    <cellStyle name="Data   - Opmaakprofiel2 2 2 2 2 4 3" xfId="12985"/>
    <cellStyle name="Data   - Opmaakprofiel2 2 2 2 2 4 4" xfId="25037"/>
    <cellStyle name="Data   - Opmaakprofiel2 2 2 2 2 4 5" xfId="46276"/>
    <cellStyle name="Data   - Opmaakprofiel2 2 2 2 2 4 6" xfId="39003"/>
    <cellStyle name="Data   - Opmaakprofiel2 2 2 2 2 5" xfId="4359"/>
    <cellStyle name="Data   - Opmaakprofiel2 2 2 2 2 5 2" xfId="8115"/>
    <cellStyle name="Data   - Opmaakprofiel2 2 2 2 2 5 2 2" xfId="20413"/>
    <cellStyle name="Data   - Opmaakprofiel2 2 2 2 2 5 2 3" xfId="32465"/>
    <cellStyle name="Data   - Opmaakprofiel2 2 2 2 2 5 2 4" xfId="34664"/>
    <cellStyle name="Data   - Opmaakprofiel2 2 2 2 2 5 2 5" xfId="53080"/>
    <cellStyle name="Data   - Opmaakprofiel2 2 2 2 2 5 3" xfId="12986"/>
    <cellStyle name="Data   - Opmaakprofiel2 2 2 2 2 5 4" xfId="25038"/>
    <cellStyle name="Data   - Opmaakprofiel2 2 2 2 2 5 5" xfId="40799"/>
    <cellStyle name="Data   - Opmaakprofiel2 2 2 2 2 5 6" xfId="45009"/>
    <cellStyle name="Data   - Opmaakprofiel2 2 2 2 2 6" xfId="4360"/>
    <cellStyle name="Data   - Opmaakprofiel2 2 2 2 2 6 2" xfId="8116"/>
    <cellStyle name="Data   - Opmaakprofiel2 2 2 2 2 6 2 2" xfId="20414"/>
    <cellStyle name="Data   - Opmaakprofiel2 2 2 2 2 6 2 3" xfId="32466"/>
    <cellStyle name="Data   - Opmaakprofiel2 2 2 2 2 6 2 4" xfId="43226"/>
    <cellStyle name="Data   - Opmaakprofiel2 2 2 2 2 6 2 5" xfId="53081"/>
    <cellStyle name="Data   - Opmaakprofiel2 2 2 2 2 6 3" xfId="12987"/>
    <cellStyle name="Data   - Opmaakprofiel2 2 2 2 2 6 4" xfId="25039"/>
    <cellStyle name="Data   - Opmaakprofiel2 2 2 2 2 6 5" xfId="46275"/>
    <cellStyle name="Data   - Opmaakprofiel2 2 2 2 2 6 6" xfId="39006"/>
    <cellStyle name="Data   - Opmaakprofiel2 2 2 2 2 7" xfId="4361"/>
    <cellStyle name="Data   - Opmaakprofiel2 2 2 2 2 7 2" xfId="12988"/>
    <cellStyle name="Data   - Opmaakprofiel2 2 2 2 2 7 3" xfId="25040"/>
    <cellStyle name="Data   - Opmaakprofiel2 2 2 2 2 7 4" xfId="40798"/>
    <cellStyle name="Data   - Opmaakprofiel2 2 2 2 2 7 5" xfId="39007"/>
    <cellStyle name="Data   - Opmaakprofiel2 2 2 2 2 8" xfId="7569"/>
    <cellStyle name="Data   - Opmaakprofiel2 2 2 2 2 8 2" xfId="19867"/>
    <cellStyle name="Data   - Opmaakprofiel2 2 2 2 2 8 3" xfId="41670"/>
    <cellStyle name="Data   - Opmaakprofiel2 2 2 2 2 8 4" xfId="31936"/>
    <cellStyle name="Data   - Opmaakprofiel2 2 2 2 2 8 5" xfId="52539"/>
    <cellStyle name="Data   - Opmaakprofiel2 2 2 2 2 9" xfId="12982"/>
    <cellStyle name="Data   - Opmaakprofiel2 2 2 2 3" xfId="444"/>
    <cellStyle name="Data   - Opmaakprofiel2 2 2 2 3 2" xfId="1701"/>
    <cellStyle name="Data   - Opmaakprofiel2 2 2 2 3 2 2" xfId="8117"/>
    <cellStyle name="Data   - Opmaakprofiel2 2 2 2 3 2 2 2" xfId="20415"/>
    <cellStyle name="Data   - Opmaakprofiel2 2 2 2 3 2 2 3" xfId="32467"/>
    <cellStyle name="Data   - Opmaakprofiel2 2 2 2 3 2 2 4" xfId="25951"/>
    <cellStyle name="Data   - Opmaakprofiel2 2 2 2 3 2 2 5" xfId="53082"/>
    <cellStyle name="Data   - Opmaakprofiel2 2 2 2 3 2 3" xfId="12990"/>
    <cellStyle name="Data   - Opmaakprofiel2 2 2 2 3 2 4" xfId="25042"/>
    <cellStyle name="Data   - Opmaakprofiel2 2 2 2 3 2 5" xfId="40797"/>
    <cellStyle name="Data   - Opmaakprofiel2 2 2 2 3 2 6" xfId="45016"/>
    <cellStyle name="Data   - Opmaakprofiel2 2 2 2 3 3" xfId="2515"/>
    <cellStyle name="Data   - Opmaakprofiel2 2 2 2 3 3 2" xfId="8118"/>
    <cellStyle name="Data   - Opmaakprofiel2 2 2 2 3 3 2 2" xfId="20416"/>
    <cellStyle name="Data   - Opmaakprofiel2 2 2 2 3 3 2 3" xfId="32468"/>
    <cellStyle name="Data   - Opmaakprofiel2 2 2 2 3 3 2 4" xfId="43225"/>
    <cellStyle name="Data   - Opmaakprofiel2 2 2 2 3 3 2 5" xfId="53083"/>
    <cellStyle name="Data   - Opmaakprofiel2 2 2 2 3 3 3" xfId="12991"/>
    <cellStyle name="Data   - Opmaakprofiel2 2 2 2 3 3 4" xfId="25043"/>
    <cellStyle name="Data   - Opmaakprofiel2 2 2 2 3 3 5" xfId="46274"/>
    <cellStyle name="Data   - Opmaakprofiel2 2 2 2 3 3 6" xfId="39012"/>
    <cellStyle name="Data   - Opmaakprofiel2 2 2 2 3 4" xfId="3403"/>
    <cellStyle name="Data   - Opmaakprofiel2 2 2 2 3 4 2" xfId="8119"/>
    <cellStyle name="Data   - Opmaakprofiel2 2 2 2 3 4 2 2" xfId="20417"/>
    <cellStyle name="Data   - Opmaakprofiel2 2 2 2 3 4 2 3" xfId="32469"/>
    <cellStyle name="Data   - Opmaakprofiel2 2 2 2 3 4 2 4" xfId="32031"/>
    <cellStyle name="Data   - Opmaakprofiel2 2 2 2 3 4 2 5" xfId="53084"/>
    <cellStyle name="Data   - Opmaakprofiel2 2 2 2 3 4 3" xfId="12992"/>
    <cellStyle name="Data   - Opmaakprofiel2 2 2 2 3 4 4" xfId="25044"/>
    <cellStyle name="Data   - Opmaakprofiel2 2 2 2 3 4 5" xfId="40796"/>
    <cellStyle name="Data   - Opmaakprofiel2 2 2 2 3 4 6" xfId="39013"/>
    <cellStyle name="Data   - Opmaakprofiel2 2 2 2 3 5" xfId="4362"/>
    <cellStyle name="Data   - Opmaakprofiel2 2 2 2 3 5 2" xfId="8120"/>
    <cellStyle name="Data   - Opmaakprofiel2 2 2 2 3 5 2 2" xfId="20418"/>
    <cellStyle name="Data   - Opmaakprofiel2 2 2 2 3 5 2 3" xfId="32470"/>
    <cellStyle name="Data   - Opmaakprofiel2 2 2 2 3 5 2 4" xfId="43224"/>
    <cellStyle name="Data   - Opmaakprofiel2 2 2 2 3 5 2 5" xfId="53085"/>
    <cellStyle name="Data   - Opmaakprofiel2 2 2 2 3 5 3" xfId="12993"/>
    <cellStyle name="Data   - Opmaakprofiel2 2 2 2 3 5 4" xfId="25045"/>
    <cellStyle name="Data   - Opmaakprofiel2 2 2 2 3 5 5" xfId="46273"/>
    <cellStyle name="Data   - Opmaakprofiel2 2 2 2 3 5 6" xfId="39016"/>
    <cellStyle name="Data   - Opmaakprofiel2 2 2 2 3 6" xfId="4363"/>
    <cellStyle name="Data   - Opmaakprofiel2 2 2 2 3 6 2" xfId="8121"/>
    <cellStyle name="Data   - Opmaakprofiel2 2 2 2 3 6 2 2" xfId="20419"/>
    <cellStyle name="Data   - Opmaakprofiel2 2 2 2 3 6 2 3" xfId="32471"/>
    <cellStyle name="Data   - Opmaakprofiel2 2 2 2 3 6 2 4" xfId="25958"/>
    <cellStyle name="Data   - Opmaakprofiel2 2 2 2 3 6 2 5" xfId="53086"/>
    <cellStyle name="Data   - Opmaakprofiel2 2 2 2 3 6 3" xfId="12994"/>
    <cellStyle name="Data   - Opmaakprofiel2 2 2 2 3 6 4" xfId="25046"/>
    <cellStyle name="Data   - Opmaakprofiel2 2 2 2 3 6 5" xfId="40795"/>
    <cellStyle name="Data   - Opmaakprofiel2 2 2 2 3 6 6" xfId="45021"/>
    <cellStyle name="Data   - Opmaakprofiel2 2 2 2 3 7" xfId="4364"/>
    <cellStyle name="Data   - Opmaakprofiel2 2 2 2 3 7 2" xfId="12995"/>
    <cellStyle name="Data   - Opmaakprofiel2 2 2 2 3 7 3" xfId="25047"/>
    <cellStyle name="Data   - Opmaakprofiel2 2 2 2 3 7 4" xfId="40794"/>
    <cellStyle name="Data   - Opmaakprofiel2 2 2 2 3 7 5" xfId="39021"/>
    <cellStyle name="Data   - Opmaakprofiel2 2 2 2 3 8" xfId="7687"/>
    <cellStyle name="Data   - Opmaakprofiel2 2 2 2 3 8 2" xfId="19985"/>
    <cellStyle name="Data   - Opmaakprofiel2 2 2 2 3 8 3" xfId="41788"/>
    <cellStyle name="Data   - Opmaakprofiel2 2 2 2 3 8 4" xfId="25069"/>
    <cellStyle name="Data   - Opmaakprofiel2 2 2 2 3 8 5" xfId="52657"/>
    <cellStyle name="Data   - Opmaakprofiel2 2 2 2 3 9" xfId="12989"/>
    <cellStyle name="Data   - Opmaakprofiel2 2 2 2 4" xfId="544"/>
    <cellStyle name="Data   - Opmaakprofiel2 2 2 2 4 2" xfId="1621"/>
    <cellStyle name="Data   - Opmaakprofiel2 2 2 2 4 2 2" xfId="8122"/>
    <cellStyle name="Data   - Opmaakprofiel2 2 2 2 4 2 2 2" xfId="20420"/>
    <cellStyle name="Data   - Opmaakprofiel2 2 2 2 4 2 2 3" xfId="32472"/>
    <cellStyle name="Data   - Opmaakprofiel2 2 2 2 4 2 2 4" xfId="31891"/>
    <cellStyle name="Data   - Opmaakprofiel2 2 2 2 4 2 2 5" xfId="53087"/>
    <cellStyle name="Data   - Opmaakprofiel2 2 2 2 4 2 3" xfId="12997"/>
    <cellStyle name="Data   - Opmaakprofiel2 2 2 2 4 2 4" xfId="25049"/>
    <cellStyle name="Data   - Opmaakprofiel2 2 2 2 4 2 5" xfId="46272"/>
    <cellStyle name="Data   - Opmaakprofiel2 2 2 2 4 2 6" xfId="39024"/>
    <cellStyle name="Data   - Opmaakprofiel2 2 2 2 4 3" xfId="2615"/>
    <cellStyle name="Data   - Opmaakprofiel2 2 2 2 4 3 2" xfId="8123"/>
    <cellStyle name="Data   - Opmaakprofiel2 2 2 2 4 3 2 2" xfId="20421"/>
    <cellStyle name="Data   - Opmaakprofiel2 2 2 2 4 3 2 3" xfId="32473"/>
    <cellStyle name="Data   - Opmaakprofiel2 2 2 2 4 3 2 4" xfId="25965"/>
    <cellStyle name="Data   - Opmaakprofiel2 2 2 2 4 3 2 5" xfId="53088"/>
    <cellStyle name="Data   - Opmaakprofiel2 2 2 2 4 3 3" xfId="12998"/>
    <cellStyle name="Data   - Opmaakprofiel2 2 2 2 4 3 4" xfId="25050"/>
    <cellStyle name="Data   - Opmaakprofiel2 2 2 2 4 3 5" xfId="40792"/>
    <cellStyle name="Data   - Opmaakprofiel2 2 2 2 4 3 6" xfId="45025"/>
    <cellStyle name="Data   - Opmaakprofiel2 2 2 2 4 4" xfId="3494"/>
    <cellStyle name="Data   - Opmaakprofiel2 2 2 2 4 4 2" xfId="8124"/>
    <cellStyle name="Data   - Opmaakprofiel2 2 2 2 4 4 2 2" xfId="20422"/>
    <cellStyle name="Data   - Opmaakprofiel2 2 2 2 4 4 2 3" xfId="32474"/>
    <cellStyle name="Data   - Opmaakprofiel2 2 2 2 4 4 2 4" xfId="43223"/>
    <cellStyle name="Data   - Opmaakprofiel2 2 2 2 4 4 2 5" xfId="53089"/>
    <cellStyle name="Data   - Opmaakprofiel2 2 2 2 4 4 3" xfId="12999"/>
    <cellStyle name="Data   - Opmaakprofiel2 2 2 2 4 4 4" xfId="25051"/>
    <cellStyle name="Data   - Opmaakprofiel2 2 2 2 4 4 5" xfId="46271"/>
    <cellStyle name="Data   - Opmaakprofiel2 2 2 2 4 4 6" xfId="39026"/>
    <cellStyle name="Data   - Opmaakprofiel2 2 2 2 4 5" xfId="4365"/>
    <cellStyle name="Data   - Opmaakprofiel2 2 2 2 4 5 2" xfId="8125"/>
    <cellStyle name="Data   - Opmaakprofiel2 2 2 2 4 5 2 2" xfId="20423"/>
    <cellStyle name="Data   - Opmaakprofiel2 2 2 2 4 5 2 3" xfId="32475"/>
    <cellStyle name="Data   - Opmaakprofiel2 2 2 2 4 5 2 4" xfId="34706"/>
    <cellStyle name="Data   - Opmaakprofiel2 2 2 2 4 5 2 5" xfId="53090"/>
    <cellStyle name="Data   - Opmaakprofiel2 2 2 2 4 5 3" xfId="13000"/>
    <cellStyle name="Data   - Opmaakprofiel2 2 2 2 4 5 4" xfId="25052"/>
    <cellStyle name="Data   - Opmaakprofiel2 2 2 2 4 5 5" xfId="40791"/>
    <cellStyle name="Data   - Opmaakprofiel2 2 2 2 4 5 6" xfId="45027"/>
    <cellStyle name="Data   - Opmaakprofiel2 2 2 2 4 6" xfId="4366"/>
    <cellStyle name="Data   - Opmaakprofiel2 2 2 2 4 6 2" xfId="8126"/>
    <cellStyle name="Data   - Opmaakprofiel2 2 2 2 4 6 2 2" xfId="20424"/>
    <cellStyle name="Data   - Opmaakprofiel2 2 2 2 4 6 2 3" xfId="32476"/>
    <cellStyle name="Data   - Opmaakprofiel2 2 2 2 4 6 2 4" xfId="43222"/>
    <cellStyle name="Data   - Opmaakprofiel2 2 2 2 4 6 2 5" xfId="53091"/>
    <cellStyle name="Data   - Opmaakprofiel2 2 2 2 4 6 3" xfId="13001"/>
    <cellStyle name="Data   - Opmaakprofiel2 2 2 2 4 6 4" xfId="25053"/>
    <cellStyle name="Data   - Opmaakprofiel2 2 2 2 4 6 5" xfId="46270"/>
    <cellStyle name="Data   - Opmaakprofiel2 2 2 2 4 6 6" xfId="39031"/>
    <cellStyle name="Data   - Opmaakprofiel2 2 2 2 4 7" xfId="4367"/>
    <cellStyle name="Data   - Opmaakprofiel2 2 2 2 4 7 2" xfId="13002"/>
    <cellStyle name="Data   - Opmaakprofiel2 2 2 2 4 7 3" xfId="25054"/>
    <cellStyle name="Data   - Opmaakprofiel2 2 2 2 4 7 4" xfId="40790"/>
    <cellStyle name="Data   - Opmaakprofiel2 2 2 2 4 7 5" xfId="45029"/>
    <cellStyle name="Data   - Opmaakprofiel2 2 2 2 4 8" xfId="7619"/>
    <cellStyle name="Data   - Opmaakprofiel2 2 2 2 4 8 2" xfId="19917"/>
    <cellStyle name="Data   - Opmaakprofiel2 2 2 2 4 8 3" xfId="41720"/>
    <cellStyle name="Data   - Opmaakprofiel2 2 2 2 4 8 4" xfId="34481"/>
    <cellStyle name="Data   - Opmaakprofiel2 2 2 2 4 8 5" xfId="52589"/>
    <cellStyle name="Data   - Opmaakprofiel2 2 2 2 4 9" xfId="12996"/>
    <cellStyle name="Data   - Opmaakprofiel2 2 2 2 5" xfId="424"/>
    <cellStyle name="Data   - Opmaakprofiel2 2 2 2 5 2" xfId="1910"/>
    <cellStyle name="Data   - Opmaakprofiel2 2 2 2 5 2 2" xfId="8127"/>
    <cellStyle name="Data   - Opmaakprofiel2 2 2 2 5 2 2 2" xfId="20425"/>
    <cellStyle name="Data   - Opmaakprofiel2 2 2 2 5 2 2 3" xfId="32477"/>
    <cellStyle name="Data   - Opmaakprofiel2 2 2 2 5 2 2 4" xfId="25972"/>
    <cellStyle name="Data   - Opmaakprofiel2 2 2 2 5 2 2 5" xfId="53092"/>
    <cellStyle name="Data   - Opmaakprofiel2 2 2 2 5 2 3" xfId="13004"/>
    <cellStyle name="Data   - Opmaakprofiel2 2 2 2 5 2 4" xfId="25056"/>
    <cellStyle name="Data   - Opmaakprofiel2 2 2 2 5 2 5" xfId="40789"/>
    <cellStyle name="Data   - Opmaakprofiel2 2 2 2 5 2 6" xfId="45031"/>
    <cellStyle name="Data   - Opmaakprofiel2 2 2 2 5 3" xfId="2495"/>
    <cellStyle name="Data   - Opmaakprofiel2 2 2 2 5 3 2" xfId="8128"/>
    <cellStyle name="Data   - Opmaakprofiel2 2 2 2 5 3 2 2" xfId="20426"/>
    <cellStyle name="Data   - Opmaakprofiel2 2 2 2 5 3 2 3" xfId="32478"/>
    <cellStyle name="Data   - Opmaakprofiel2 2 2 2 5 3 2 4" xfId="43221"/>
    <cellStyle name="Data   - Opmaakprofiel2 2 2 2 5 3 2 5" xfId="53093"/>
    <cellStyle name="Data   - Opmaakprofiel2 2 2 2 5 3 3" xfId="13005"/>
    <cellStyle name="Data   - Opmaakprofiel2 2 2 2 5 3 4" xfId="25057"/>
    <cellStyle name="Data   - Opmaakprofiel2 2 2 2 5 3 5" xfId="46268"/>
    <cellStyle name="Data   - Opmaakprofiel2 2 2 2 5 3 6" xfId="45034"/>
    <cellStyle name="Data   - Opmaakprofiel2 2 2 2 5 4" xfId="2211"/>
    <cellStyle name="Data   - Opmaakprofiel2 2 2 2 5 4 2" xfId="8129"/>
    <cellStyle name="Data   - Opmaakprofiel2 2 2 2 5 4 2 2" xfId="20427"/>
    <cellStyle name="Data   - Opmaakprofiel2 2 2 2 5 4 2 3" xfId="32479"/>
    <cellStyle name="Data   - Opmaakprofiel2 2 2 2 5 4 2 4" xfId="31402"/>
    <cellStyle name="Data   - Opmaakprofiel2 2 2 2 5 4 2 5" xfId="53094"/>
    <cellStyle name="Data   - Opmaakprofiel2 2 2 2 5 4 3" xfId="13006"/>
    <cellStyle name="Data   - Opmaakprofiel2 2 2 2 5 4 4" xfId="25058"/>
    <cellStyle name="Data   - Opmaakprofiel2 2 2 2 5 4 5" xfId="40788"/>
    <cellStyle name="Data   - Opmaakprofiel2 2 2 2 5 4 6" xfId="39041"/>
    <cellStyle name="Data   - Opmaakprofiel2 2 2 2 5 5" xfId="4368"/>
    <cellStyle name="Data   - Opmaakprofiel2 2 2 2 5 5 2" xfId="8130"/>
    <cellStyle name="Data   - Opmaakprofiel2 2 2 2 5 5 2 2" xfId="20428"/>
    <cellStyle name="Data   - Opmaakprofiel2 2 2 2 5 5 2 3" xfId="32480"/>
    <cellStyle name="Data   - Opmaakprofiel2 2 2 2 5 5 2 4" xfId="43220"/>
    <cellStyle name="Data   - Opmaakprofiel2 2 2 2 5 5 2 5" xfId="53095"/>
    <cellStyle name="Data   - Opmaakprofiel2 2 2 2 5 5 3" xfId="13007"/>
    <cellStyle name="Data   - Opmaakprofiel2 2 2 2 5 5 4" xfId="25059"/>
    <cellStyle name="Data   - Opmaakprofiel2 2 2 2 5 5 5" xfId="40787"/>
    <cellStyle name="Data   - Opmaakprofiel2 2 2 2 5 5 6" xfId="45036"/>
    <cellStyle name="Data   - Opmaakprofiel2 2 2 2 5 6" xfId="4369"/>
    <cellStyle name="Data   - Opmaakprofiel2 2 2 2 5 6 2" xfId="8131"/>
    <cellStyle name="Data   - Opmaakprofiel2 2 2 2 5 6 2 2" xfId="20429"/>
    <cellStyle name="Data   - Opmaakprofiel2 2 2 2 5 6 2 3" xfId="32481"/>
    <cellStyle name="Data   - Opmaakprofiel2 2 2 2 5 6 2 4" xfId="25979"/>
    <cellStyle name="Data   - Opmaakprofiel2 2 2 2 5 6 2 5" xfId="53096"/>
    <cellStyle name="Data   - Opmaakprofiel2 2 2 2 5 6 3" xfId="13008"/>
    <cellStyle name="Data   - Opmaakprofiel2 2 2 2 5 6 4" xfId="25060"/>
    <cellStyle name="Data   - Opmaakprofiel2 2 2 2 5 6 5" xfId="40786"/>
    <cellStyle name="Data   - Opmaakprofiel2 2 2 2 5 6 6" xfId="39044"/>
    <cellStyle name="Data   - Opmaakprofiel2 2 2 2 5 7" xfId="4370"/>
    <cellStyle name="Data   - Opmaakprofiel2 2 2 2 5 7 2" xfId="13009"/>
    <cellStyle name="Data   - Opmaakprofiel2 2 2 2 5 7 3" xfId="25061"/>
    <cellStyle name="Data   - Opmaakprofiel2 2 2 2 5 7 4" xfId="46267"/>
    <cellStyle name="Data   - Opmaakprofiel2 2 2 2 5 7 5" xfId="45039"/>
    <cellStyle name="Data   - Opmaakprofiel2 2 2 2 5 8" xfId="10372"/>
    <cellStyle name="Data   - Opmaakprofiel2 2 2 2 5 8 2" xfId="22670"/>
    <cellStyle name="Data   - Opmaakprofiel2 2 2 2 5 8 3" xfId="44430"/>
    <cellStyle name="Data   - Opmaakprofiel2 2 2 2 5 8 4" xfId="42302"/>
    <cellStyle name="Data   - Opmaakprofiel2 2 2 2 5 8 5" xfId="55337"/>
    <cellStyle name="Data   - Opmaakprofiel2 2 2 2 5 9" xfId="13003"/>
    <cellStyle name="Data   - Opmaakprofiel2 2 2 2 6" xfId="456"/>
    <cellStyle name="Data   - Opmaakprofiel2 2 2 2 6 2" xfId="2339"/>
    <cellStyle name="Data   - Opmaakprofiel2 2 2 2 6 2 2" xfId="8132"/>
    <cellStyle name="Data   - Opmaakprofiel2 2 2 2 6 2 2 2" xfId="20430"/>
    <cellStyle name="Data   - Opmaakprofiel2 2 2 2 6 2 2 3" xfId="32482"/>
    <cellStyle name="Data   - Opmaakprofiel2 2 2 2 6 2 2 4" xfId="43219"/>
    <cellStyle name="Data   - Opmaakprofiel2 2 2 2 6 2 2 5" xfId="53097"/>
    <cellStyle name="Data   - Opmaakprofiel2 2 2 2 6 2 3" xfId="13011"/>
    <cellStyle name="Data   - Opmaakprofiel2 2 2 2 6 2 4" xfId="25063"/>
    <cellStyle name="Data   - Opmaakprofiel2 2 2 2 6 2 5" xfId="46266"/>
    <cellStyle name="Data   - Opmaakprofiel2 2 2 2 6 2 6" xfId="45041"/>
    <cellStyle name="Data   - Opmaakprofiel2 2 2 2 6 3" xfId="2527"/>
    <cellStyle name="Data   - Opmaakprofiel2 2 2 2 6 3 2" xfId="8133"/>
    <cellStyle name="Data   - Opmaakprofiel2 2 2 2 6 3 2 2" xfId="20431"/>
    <cellStyle name="Data   - Opmaakprofiel2 2 2 2 6 3 2 3" xfId="32483"/>
    <cellStyle name="Data   - Opmaakprofiel2 2 2 2 6 3 2 4" xfId="31354"/>
    <cellStyle name="Data   - Opmaakprofiel2 2 2 2 6 3 2 5" xfId="53098"/>
    <cellStyle name="Data   - Opmaakprofiel2 2 2 2 6 3 3" xfId="13012"/>
    <cellStyle name="Data   - Opmaakprofiel2 2 2 2 6 3 4" xfId="25064"/>
    <cellStyle name="Data   - Opmaakprofiel2 2 2 2 6 3 5" xfId="40784"/>
    <cellStyle name="Data   - Opmaakprofiel2 2 2 2 6 3 6" xfId="39050"/>
    <cellStyle name="Data   - Opmaakprofiel2 2 2 2 6 4" xfId="3415"/>
    <cellStyle name="Data   - Opmaakprofiel2 2 2 2 6 4 2" xfId="8134"/>
    <cellStyle name="Data   - Opmaakprofiel2 2 2 2 6 4 2 2" xfId="20432"/>
    <cellStyle name="Data   - Opmaakprofiel2 2 2 2 6 4 2 3" xfId="32484"/>
    <cellStyle name="Data   - Opmaakprofiel2 2 2 2 6 4 2 4" xfId="25986"/>
    <cellStyle name="Data   - Opmaakprofiel2 2 2 2 6 4 2 5" xfId="53099"/>
    <cellStyle name="Data   - Opmaakprofiel2 2 2 2 6 4 3" xfId="13013"/>
    <cellStyle name="Data   - Opmaakprofiel2 2 2 2 6 4 4" xfId="25065"/>
    <cellStyle name="Data   - Opmaakprofiel2 2 2 2 6 4 5" xfId="46265"/>
    <cellStyle name="Data   - Opmaakprofiel2 2 2 2 6 4 6" xfId="45044"/>
    <cellStyle name="Data   - Opmaakprofiel2 2 2 2 6 5" xfId="4371"/>
    <cellStyle name="Data   - Opmaakprofiel2 2 2 2 6 5 2" xfId="8135"/>
    <cellStyle name="Data   - Opmaakprofiel2 2 2 2 6 5 2 2" xfId="20433"/>
    <cellStyle name="Data   - Opmaakprofiel2 2 2 2 6 5 2 3" xfId="32485"/>
    <cellStyle name="Data   - Opmaakprofiel2 2 2 2 6 5 2 4" xfId="32116"/>
    <cellStyle name="Data   - Opmaakprofiel2 2 2 2 6 5 2 5" xfId="53100"/>
    <cellStyle name="Data   - Opmaakprofiel2 2 2 2 6 5 3" xfId="13014"/>
    <cellStyle name="Data   - Opmaakprofiel2 2 2 2 6 5 4" xfId="25066"/>
    <cellStyle name="Data   - Opmaakprofiel2 2 2 2 6 5 5" xfId="40783"/>
    <cellStyle name="Data   - Opmaakprofiel2 2 2 2 6 5 6" xfId="39054"/>
    <cellStyle name="Data   - Opmaakprofiel2 2 2 2 6 6" xfId="4372"/>
    <cellStyle name="Data   - Opmaakprofiel2 2 2 2 6 6 2" xfId="8136"/>
    <cellStyle name="Data   - Opmaakprofiel2 2 2 2 6 6 2 2" xfId="20434"/>
    <cellStyle name="Data   - Opmaakprofiel2 2 2 2 6 6 2 3" xfId="32486"/>
    <cellStyle name="Data   - Opmaakprofiel2 2 2 2 6 6 2 4" xfId="43218"/>
    <cellStyle name="Data   - Opmaakprofiel2 2 2 2 6 6 2 5" xfId="53101"/>
    <cellStyle name="Data   - Opmaakprofiel2 2 2 2 6 6 3" xfId="13015"/>
    <cellStyle name="Data   - Opmaakprofiel2 2 2 2 6 6 4" xfId="25067"/>
    <cellStyle name="Data   - Opmaakprofiel2 2 2 2 6 6 5" xfId="46264"/>
    <cellStyle name="Data   - Opmaakprofiel2 2 2 2 6 6 6" xfId="45046"/>
    <cellStyle name="Data   - Opmaakprofiel2 2 2 2 6 7" xfId="4373"/>
    <cellStyle name="Data   - Opmaakprofiel2 2 2 2 6 7 2" xfId="13016"/>
    <cellStyle name="Data   - Opmaakprofiel2 2 2 2 6 7 3" xfId="25068"/>
    <cellStyle name="Data   - Opmaakprofiel2 2 2 2 6 7 4" xfId="40782"/>
    <cellStyle name="Data   - Opmaakprofiel2 2 2 2 6 7 5" xfId="39057"/>
    <cellStyle name="Data   - Opmaakprofiel2 2 2 2 6 8" xfId="10369"/>
    <cellStyle name="Data   - Opmaakprofiel2 2 2 2 6 8 2" xfId="22667"/>
    <cellStyle name="Data   - Opmaakprofiel2 2 2 2 6 8 3" xfId="44427"/>
    <cellStyle name="Data   - Opmaakprofiel2 2 2 2 6 8 4" xfId="31675"/>
    <cellStyle name="Data   - Opmaakprofiel2 2 2 2 6 8 5" xfId="55334"/>
    <cellStyle name="Data   - Opmaakprofiel2 2 2 2 6 9" xfId="13010"/>
    <cellStyle name="Data   - Opmaakprofiel2 2 2 2 7" xfId="1088"/>
    <cellStyle name="Data   - Opmaakprofiel2 2 2 2 7 2" xfId="1554"/>
    <cellStyle name="Data   - Opmaakprofiel2 2 2 2 7 2 2" xfId="8137"/>
    <cellStyle name="Data   - Opmaakprofiel2 2 2 2 7 2 2 2" xfId="20435"/>
    <cellStyle name="Data   - Opmaakprofiel2 2 2 2 7 2 2 3" xfId="32487"/>
    <cellStyle name="Data   - Opmaakprofiel2 2 2 2 7 2 2 4" xfId="25991"/>
    <cellStyle name="Data   - Opmaakprofiel2 2 2 2 7 2 2 5" xfId="53102"/>
    <cellStyle name="Data   - Opmaakprofiel2 2 2 2 7 2 3" xfId="13018"/>
    <cellStyle name="Data   - Opmaakprofiel2 2 2 2 7 2 4" xfId="25070"/>
    <cellStyle name="Data   - Opmaakprofiel2 2 2 2 7 2 5" xfId="40781"/>
    <cellStyle name="Data   - Opmaakprofiel2 2 2 2 7 2 6" xfId="39061"/>
    <cellStyle name="Data   - Opmaakprofiel2 2 2 2 7 3" xfId="3099"/>
    <cellStyle name="Data   - Opmaakprofiel2 2 2 2 7 3 2" xfId="8138"/>
    <cellStyle name="Data   - Opmaakprofiel2 2 2 2 7 3 2 2" xfId="20436"/>
    <cellStyle name="Data   - Opmaakprofiel2 2 2 2 7 3 2 3" xfId="32488"/>
    <cellStyle name="Data   - Opmaakprofiel2 2 2 2 7 3 2 4" xfId="43217"/>
    <cellStyle name="Data   - Opmaakprofiel2 2 2 2 7 3 2 5" xfId="53103"/>
    <cellStyle name="Data   - Opmaakprofiel2 2 2 2 7 3 3" xfId="13019"/>
    <cellStyle name="Data   - Opmaakprofiel2 2 2 2 7 3 4" xfId="25071"/>
    <cellStyle name="Data   - Opmaakprofiel2 2 2 2 7 3 5" xfId="40780"/>
    <cellStyle name="Data   - Opmaakprofiel2 2 2 2 7 3 6" xfId="45053"/>
    <cellStyle name="Data   - Opmaakprofiel2 2 2 2 7 4" xfId="3936"/>
    <cellStyle name="Data   - Opmaakprofiel2 2 2 2 7 4 2" xfId="8139"/>
    <cellStyle name="Data   - Opmaakprofiel2 2 2 2 7 4 2 2" xfId="20437"/>
    <cellStyle name="Data   - Opmaakprofiel2 2 2 2 7 4 2 3" xfId="32489"/>
    <cellStyle name="Data   - Opmaakprofiel2 2 2 2 7 4 2 4" xfId="31959"/>
    <cellStyle name="Data   - Opmaakprofiel2 2 2 2 7 4 2 5" xfId="53104"/>
    <cellStyle name="Data   - Opmaakprofiel2 2 2 2 7 4 3" xfId="13020"/>
    <cellStyle name="Data   - Opmaakprofiel2 2 2 2 7 4 4" xfId="25072"/>
    <cellStyle name="Data   - Opmaakprofiel2 2 2 2 7 4 5" xfId="40779"/>
    <cellStyle name="Data   - Opmaakprofiel2 2 2 2 7 4 6" xfId="39066"/>
    <cellStyle name="Data   - Opmaakprofiel2 2 2 2 7 5" xfId="4374"/>
    <cellStyle name="Data   - Opmaakprofiel2 2 2 2 7 5 2" xfId="8140"/>
    <cellStyle name="Data   - Opmaakprofiel2 2 2 2 7 5 2 2" xfId="20438"/>
    <cellStyle name="Data   - Opmaakprofiel2 2 2 2 7 5 2 3" xfId="32490"/>
    <cellStyle name="Data   - Opmaakprofiel2 2 2 2 7 5 2 4" xfId="43216"/>
    <cellStyle name="Data   - Opmaakprofiel2 2 2 2 7 5 2 5" xfId="53105"/>
    <cellStyle name="Data   - Opmaakprofiel2 2 2 2 7 5 3" xfId="13021"/>
    <cellStyle name="Data   - Opmaakprofiel2 2 2 2 7 5 4" xfId="25073"/>
    <cellStyle name="Data   - Opmaakprofiel2 2 2 2 7 5 5" xfId="46262"/>
    <cellStyle name="Data   - Opmaakprofiel2 2 2 2 7 5 6" xfId="39067"/>
    <cellStyle name="Data   - Opmaakprofiel2 2 2 2 7 6" xfId="4375"/>
    <cellStyle name="Data   - Opmaakprofiel2 2 2 2 7 6 2" xfId="8141"/>
    <cellStyle name="Data   - Opmaakprofiel2 2 2 2 7 6 2 2" xfId="20439"/>
    <cellStyle name="Data   - Opmaakprofiel2 2 2 2 7 6 2 3" xfId="32491"/>
    <cellStyle name="Data   - Opmaakprofiel2 2 2 2 7 6 2 4" xfId="25998"/>
    <cellStyle name="Data   - Opmaakprofiel2 2 2 2 7 6 2 5" xfId="53106"/>
    <cellStyle name="Data   - Opmaakprofiel2 2 2 2 7 6 3" xfId="13022"/>
    <cellStyle name="Data   - Opmaakprofiel2 2 2 2 7 6 4" xfId="25074"/>
    <cellStyle name="Data   - Opmaakprofiel2 2 2 2 7 6 5" xfId="40778"/>
    <cellStyle name="Data   - Opmaakprofiel2 2 2 2 7 6 6" xfId="39068"/>
    <cellStyle name="Data   - Opmaakprofiel2 2 2 2 7 7" xfId="4376"/>
    <cellStyle name="Data   - Opmaakprofiel2 2 2 2 7 7 2" xfId="13023"/>
    <cellStyle name="Data   - Opmaakprofiel2 2 2 2 7 7 3" xfId="25075"/>
    <cellStyle name="Data   - Opmaakprofiel2 2 2 2 7 7 4" xfId="46261"/>
    <cellStyle name="Data   - Opmaakprofiel2 2 2 2 7 7 5" xfId="45058"/>
    <cellStyle name="Data   - Opmaakprofiel2 2 2 2 7 8" xfId="7251"/>
    <cellStyle name="Data   - Opmaakprofiel2 2 2 2 7 8 2" xfId="19549"/>
    <cellStyle name="Data   - Opmaakprofiel2 2 2 2 7 8 3" xfId="41352"/>
    <cellStyle name="Data   - Opmaakprofiel2 2 2 2 7 8 4" xfId="36888"/>
    <cellStyle name="Data   - Opmaakprofiel2 2 2 2 7 8 5" xfId="52221"/>
    <cellStyle name="Data   - Opmaakprofiel2 2 2 2 7 9" xfId="13017"/>
    <cellStyle name="Data   - Opmaakprofiel2 2 2 2 8" xfId="1317"/>
    <cellStyle name="Data   - Opmaakprofiel2 2 2 2 8 2" xfId="2316"/>
    <cellStyle name="Data   - Opmaakprofiel2 2 2 2 8 2 2" xfId="8142"/>
    <cellStyle name="Data   - Opmaakprofiel2 2 2 2 8 2 2 2" xfId="20440"/>
    <cellStyle name="Data   - Opmaakprofiel2 2 2 2 8 2 2 3" xfId="32492"/>
    <cellStyle name="Data   - Opmaakprofiel2 2 2 2 8 2 2 4" xfId="43215"/>
    <cellStyle name="Data   - Opmaakprofiel2 2 2 2 8 2 2 5" xfId="53107"/>
    <cellStyle name="Data   - Opmaakprofiel2 2 2 2 8 2 3" xfId="13025"/>
    <cellStyle name="Data   - Opmaakprofiel2 2 2 2 8 2 4" xfId="25077"/>
    <cellStyle name="Data   - Opmaakprofiel2 2 2 2 8 2 5" xfId="46260"/>
    <cellStyle name="Data   - Opmaakprofiel2 2 2 2 8 2 6" xfId="39073"/>
    <cellStyle name="Data   - Opmaakprofiel2 2 2 2 8 3" xfId="3328"/>
    <cellStyle name="Data   - Opmaakprofiel2 2 2 2 8 3 2" xfId="8143"/>
    <cellStyle name="Data   - Opmaakprofiel2 2 2 2 8 3 2 2" xfId="20441"/>
    <cellStyle name="Data   - Opmaakprofiel2 2 2 2 8 3 2 3" xfId="32493"/>
    <cellStyle name="Data   - Opmaakprofiel2 2 2 2 8 3 2 4" xfId="32022"/>
    <cellStyle name="Data   - Opmaakprofiel2 2 2 2 8 3 2 5" xfId="53108"/>
    <cellStyle name="Data   - Opmaakprofiel2 2 2 2 8 3 3" xfId="13026"/>
    <cellStyle name="Data   - Opmaakprofiel2 2 2 2 8 3 4" xfId="25078"/>
    <cellStyle name="Data   - Opmaakprofiel2 2 2 2 8 3 5" xfId="40776"/>
    <cellStyle name="Data   - Opmaakprofiel2 2 2 2 8 3 6" xfId="39074"/>
    <cellStyle name="Data   - Opmaakprofiel2 2 2 2 8 4" xfId="4109"/>
    <cellStyle name="Data   - Opmaakprofiel2 2 2 2 8 4 2" xfId="8144"/>
    <cellStyle name="Data   - Opmaakprofiel2 2 2 2 8 4 2 2" xfId="20442"/>
    <cellStyle name="Data   - Opmaakprofiel2 2 2 2 8 4 2 3" xfId="32494"/>
    <cellStyle name="Data   - Opmaakprofiel2 2 2 2 8 4 2 4" xfId="43214"/>
    <cellStyle name="Data   - Opmaakprofiel2 2 2 2 8 4 2 5" xfId="53109"/>
    <cellStyle name="Data   - Opmaakprofiel2 2 2 2 8 4 3" xfId="13027"/>
    <cellStyle name="Data   - Opmaakprofiel2 2 2 2 8 4 4" xfId="25079"/>
    <cellStyle name="Data   - Opmaakprofiel2 2 2 2 8 4 5" xfId="46259"/>
    <cellStyle name="Data   - Opmaakprofiel2 2 2 2 8 4 6" xfId="45060"/>
    <cellStyle name="Data   - Opmaakprofiel2 2 2 2 8 5" xfId="4377"/>
    <cellStyle name="Data   - Opmaakprofiel2 2 2 2 8 5 2" xfId="8145"/>
    <cellStyle name="Data   - Opmaakprofiel2 2 2 2 8 5 2 2" xfId="20443"/>
    <cellStyle name="Data   - Opmaakprofiel2 2 2 2 8 5 2 3" xfId="32495"/>
    <cellStyle name="Data   - Opmaakprofiel2 2 2 2 8 5 2 4" xfId="26005"/>
    <cellStyle name="Data   - Opmaakprofiel2 2 2 2 8 5 2 5" xfId="53110"/>
    <cellStyle name="Data   - Opmaakprofiel2 2 2 2 8 5 3" xfId="13028"/>
    <cellStyle name="Data   - Opmaakprofiel2 2 2 2 8 5 4" xfId="25080"/>
    <cellStyle name="Data   - Opmaakprofiel2 2 2 2 8 5 5" xfId="40775"/>
    <cellStyle name="Data   - Opmaakprofiel2 2 2 2 8 5 6" xfId="39077"/>
    <cellStyle name="Data   - Opmaakprofiel2 2 2 2 8 6" xfId="4378"/>
    <cellStyle name="Data   - Opmaakprofiel2 2 2 2 8 6 2" xfId="8146"/>
    <cellStyle name="Data   - Opmaakprofiel2 2 2 2 8 6 2 2" xfId="20444"/>
    <cellStyle name="Data   - Opmaakprofiel2 2 2 2 8 6 2 3" xfId="32496"/>
    <cellStyle name="Data   - Opmaakprofiel2 2 2 2 8 6 2 4" xfId="34644"/>
    <cellStyle name="Data   - Opmaakprofiel2 2 2 2 8 6 2 5" xfId="53111"/>
    <cellStyle name="Data   - Opmaakprofiel2 2 2 2 8 6 3" xfId="13029"/>
    <cellStyle name="Data   - Opmaakprofiel2 2 2 2 8 6 4" xfId="25081"/>
    <cellStyle name="Data   - Opmaakprofiel2 2 2 2 8 6 5" xfId="46258"/>
    <cellStyle name="Data   - Opmaakprofiel2 2 2 2 8 6 6" xfId="45063"/>
    <cellStyle name="Data   - Opmaakprofiel2 2 2 2 8 7" xfId="4379"/>
    <cellStyle name="Data   - Opmaakprofiel2 2 2 2 8 7 2" xfId="13030"/>
    <cellStyle name="Data   - Opmaakprofiel2 2 2 2 8 7 3" xfId="25082"/>
    <cellStyle name="Data   - Opmaakprofiel2 2 2 2 8 7 4" xfId="40774"/>
    <cellStyle name="Data   - Opmaakprofiel2 2 2 2 8 7 5" xfId="39081"/>
    <cellStyle name="Data   - Opmaakprofiel2 2 2 2 8 8" xfId="7060"/>
    <cellStyle name="Data   - Opmaakprofiel2 2 2 2 8 8 2" xfId="19358"/>
    <cellStyle name="Data   - Opmaakprofiel2 2 2 2 8 8 3" xfId="41161"/>
    <cellStyle name="Data   - Opmaakprofiel2 2 2 2 8 8 4" xfId="43667"/>
    <cellStyle name="Data   - Opmaakprofiel2 2 2 2 8 8 5" xfId="52031"/>
    <cellStyle name="Data   - Opmaakprofiel2 2 2 2 8 9" xfId="13024"/>
    <cellStyle name="Data   - Opmaakprofiel2 2 2 2 9" xfId="1373"/>
    <cellStyle name="Data   - Opmaakprofiel2 2 2 2 9 2" xfId="1396"/>
    <cellStyle name="Data   - Opmaakprofiel2 2 2 2 9 2 2" xfId="8147"/>
    <cellStyle name="Data   - Opmaakprofiel2 2 2 2 9 2 2 2" xfId="20445"/>
    <cellStyle name="Data   - Opmaakprofiel2 2 2 2 9 2 2 3" xfId="32497"/>
    <cellStyle name="Data   - Opmaakprofiel2 2 2 2 9 2 2 4" xfId="26012"/>
    <cellStyle name="Data   - Opmaakprofiel2 2 2 2 9 2 2 5" xfId="53112"/>
    <cellStyle name="Data   - Opmaakprofiel2 2 2 2 9 2 3" xfId="13032"/>
    <cellStyle name="Data   - Opmaakprofiel2 2 2 2 9 2 4" xfId="25084"/>
    <cellStyle name="Data   - Opmaakprofiel2 2 2 2 9 2 5" xfId="40772"/>
    <cellStyle name="Data   - Opmaakprofiel2 2 2 2 9 2 6" xfId="39084"/>
    <cellStyle name="Data   - Opmaakprofiel2 2 2 2 9 3" xfId="3384"/>
    <cellStyle name="Data   - Opmaakprofiel2 2 2 2 9 3 2" xfId="8148"/>
    <cellStyle name="Data   - Opmaakprofiel2 2 2 2 9 3 2 2" xfId="20446"/>
    <cellStyle name="Data   - Opmaakprofiel2 2 2 2 9 3 2 3" xfId="32498"/>
    <cellStyle name="Data   - Opmaakprofiel2 2 2 2 9 3 2 4" xfId="43213"/>
    <cellStyle name="Data   - Opmaakprofiel2 2 2 2 9 3 2 5" xfId="53113"/>
    <cellStyle name="Data   - Opmaakprofiel2 2 2 2 9 3 3" xfId="13033"/>
    <cellStyle name="Data   - Opmaakprofiel2 2 2 2 9 3 4" xfId="25085"/>
    <cellStyle name="Data   - Opmaakprofiel2 2 2 2 9 3 5" xfId="46257"/>
    <cellStyle name="Data   - Opmaakprofiel2 2 2 2 9 3 6" xfId="45067"/>
    <cellStyle name="Data   - Opmaakprofiel2 2 2 2 9 4" xfId="4145"/>
    <cellStyle name="Data   - Opmaakprofiel2 2 2 2 9 4 2" xfId="8149"/>
    <cellStyle name="Data   - Opmaakprofiel2 2 2 2 9 4 2 2" xfId="20447"/>
    <cellStyle name="Data   - Opmaakprofiel2 2 2 2 9 4 2 3" xfId="32499"/>
    <cellStyle name="Data   - Opmaakprofiel2 2 2 2 9 4 2 4" xfId="34263"/>
    <cellStyle name="Data   - Opmaakprofiel2 2 2 2 9 4 2 5" xfId="53114"/>
    <cellStyle name="Data   - Opmaakprofiel2 2 2 2 9 4 3" xfId="13034"/>
    <cellStyle name="Data   - Opmaakprofiel2 2 2 2 9 4 4" xfId="25086"/>
    <cellStyle name="Data   - Opmaakprofiel2 2 2 2 9 4 5" xfId="40771"/>
    <cellStyle name="Data   - Opmaakprofiel2 2 2 2 9 4 6" xfId="39088"/>
    <cellStyle name="Data   - Opmaakprofiel2 2 2 2 9 5" xfId="4380"/>
    <cellStyle name="Data   - Opmaakprofiel2 2 2 2 9 5 2" xfId="8150"/>
    <cellStyle name="Data   - Opmaakprofiel2 2 2 2 9 5 2 2" xfId="20448"/>
    <cellStyle name="Data   - Opmaakprofiel2 2 2 2 9 5 2 3" xfId="32500"/>
    <cellStyle name="Data   - Opmaakprofiel2 2 2 2 9 5 2 4" xfId="43212"/>
    <cellStyle name="Data   - Opmaakprofiel2 2 2 2 9 5 2 5" xfId="53115"/>
    <cellStyle name="Data   - Opmaakprofiel2 2 2 2 9 5 3" xfId="13035"/>
    <cellStyle name="Data   - Opmaakprofiel2 2 2 2 9 5 4" xfId="25087"/>
    <cellStyle name="Data   - Opmaakprofiel2 2 2 2 9 5 5" xfId="46256"/>
    <cellStyle name="Data   - Opmaakprofiel2 2 2 2 9 5 6" xfId="45069"/>
    <cellStyle name="Data   - Opmaakprofiel2 2 2 2 9 6" xfId="4381"/>
    <cellStyle name="Data   - Opmaakprofiel2 2 2 2 9 6 2" xfId="8151"/>
    <cellStyle name="Data   - Opmaakprofiel2 2 2 2 9 6 2 2" xfId="20449"/>
    <cellStyle name="Data   - Opmaakprofiel2 2 2 2 9 6 2 3" xfId="32501"/>
    <cellStyle name="Data   - Opmaakprofiel2 2 2 2 9 6 2 4" xfId="26019"/>
    <cellStyle name="Data   - Opmaakprofiel2 2 2 2 9 6 2 5" xfId="53116"/>
    <cellStyle name="Data   - Opmaakprofiel2 2 2 2 9 6 3" xfId="13036"/>
    <cellStyle name="Data   - Opmaakprofiel2 2 2 2 9 6 4" xfId="25088"/>
    <cellStyle name="Data   - Opmaakprofiel2 2 2 2 9 6 5" xfId="40770"/>
    <cellStyle name="Data   - Opmaakprofiel2 2 2 2 9 6 6" xfId="39091"/>
    <cellStyle name="Data   - Opmaakprofiel2 2 2 2 9 7" xfId="4382"/>
    <cellStyle name="Data   - Opmaakprofiel2 2 2 2 9 7 2" xfId="13037"/>
    <cellStyle name="Data   - Opmaakprofiel2 2 2 2 9 7 3" xfId="25089"/>
    <cellStyle name="Data   - Opmaakprofiel2 2 2 2 9 7 4" xfId="40769"/>
    <cellStyle name="Data   - Opmaakprofiel2 2 2 2 9 7 5" xfId="45072"/>
    <cellStyle name="Data   - Opmaakprofiel2 2 2 2 9 8" xfId="7013"/>
    <cellStyle name="Data   - Opmaakprofiel2 2 2 2 9 8 2" xfId="19311"/>
    <cellStyle name="Data   - Opmaakprofiel2 2 2 2 9 8 3" xfId="41114"/>
    <cellStyle name="Data   - Opmaakprofiel2 2 2 2 9 8 4" xfId="43686"/>
    <cellStyle name="Data   - Opmaakprofiel2 2 2 2 9 8 5" xfId="51984"/>
    <cellStyle name="Data   - Opmaakprofiel2 2 2 2 9 9" xfId="13031"/>
    <cellStyle name="Data   - Opmaakprofiel2 2 2 3" xfId="546"/>
    <cellStyle name="Data   - Opmaakprofiel2 2 2 3 2" xfId="2394"/>
    <cellStyle name="Data   - Opmaakprofiel2 2 2 3 2 2" xfId="8152"/>
    <cellStyle name="Data   - Opmaakprofiel2 2 2 3 2 2 2" xfId="20450"/>
    <cellStyle name="Data   - Opmaakprofiel2 2 2 3 2 2 3" xfId="32502"/>
    <cellStyle name="Data   - Opmaakprofiel2 2 2 3 2 2 4" xfId="43211"/>
    <cellStyle name="Data   - Opmaakprofiel2 2 2 3 2 2 5" xfId="53117"/>
    <cellStyle name="Data   - Opmaakprofiel2 2 2 3 2 3" xfId="13039"/>
    <cellStyle name="Data   - Opmaakprofiel2 2 2 3 2 4" xfId="25091"/>
    <cellStyle name="Data   - Opmaakprofiel2 2 2 3 2 5" xfId="40768"/>
    <cellStyle name="Data   - Opmaakprofiel2 2 2 3 2 6" xfId="45074"/>
    <cellStyle name="Data   - Opmaakprofiel2 2 2 3 3" xfId="2617"/>
    <cellStyle name="Data   - Opmaakprofiel2 2 2 3 3 2" xfId="8153"/>
    <cellStyle name="Data   - Opmaakprofiel2 2 2 3 3 2 2" xfId="20451"/>
    <cellStyle name="Data   - Opmaakprofiel2 2 2 3 3 2 3" xfId="32503"/>
    <cellStyle name="Data   - Opmaakprofiel2 2 2 3 3 2 4" xfId="31673"/>
    <cellStyle name="Data   - Opmaakprofiel2 2 2 3 3 2 5" xfId="53118"/>
    <cellStyle name="Data   - Opmaakprofiel2 2 2 3 3 3" xfId="13040"/>
    <cellStyle name="Data   - Opmaakprofiel2 2 2 3 3 4" xfId="25092"/>
    <cellStyle name="Data   - Opmaakprofiel2 2 2 3 3 5" xfId="46255"/>
    <cellStyle name="Data   - Opmaakprofiel2 2 2 3 3 6" xfId="39098"/>
    <cellStyle name="Data   - Opmaakprofiel2 2 2 3 4" xfId="3495"/>
    <cellStyle name="Data   - Opmaakprofiel2 2 2 3 4 2" xfId="8154"/>
    <cellStyle name="Data   - Opmaakprofiel2 2 2 3 4 2 2" xfId="20452"/>
    <cellStyle name="Data   - Opmaakprofiel2 2 2 3 4 2 3" xfId="32504"/>
    <cellStyle name="Data   - Opmaakprofiel2 2 2 3 4 2 4" xfId="43210"/>
    <cellStyle name="Data   - Opmaakprofiel2 2 2 3 4 2 5" xfId="53119"/>
    <cellStyle name="Data   - Opmaakprofiel2 2 2 3 4 3" xfId="13041"/>
    <cellStyle name="Data   - Opmaakprofiel2 2 2 3 4 4" xfId="25093"/>
    <cellStyle name="Data   - Opmaakprofiel2 2 2 3 4 5" xfId="40767"/>
    <cellStyle name="Data   - Opmaakprofiel2 2 2 3 4 6" xfId="39100"/>
    <cellStyle name="Data   - Opmaakprofiel2 2 2 3 5" xfId="4383"/>
    <cellStyle name="Data   - Opmaakprofiel2 2 2 3 5 2" xfId="8155"/>
    <cellStyle name="Data   - Opmaakprofiel2 2 2 3 5 2 2" xfId="20453"/>
    <cellStyle name="Data   - Opmaakprofiel2 2 2 3 5 2 3" xfId="32505"/>
    <cellStyle name="Data   - Opmaakprofiel2 2 2 3 5 2 4" xfId="26026"/>
    <cellStyle name="Data   - Opmaakprofiel2 2 2 3 5 2 5" xfId="53120"/>
    <cellStyle name="Data   - Opmaakprofiel2 2 2 3 5 3" xfId="13042"/>
    <cellStyle name="Data   - Opmaakprofiel2 2 2 3 5 4" xfId="25094"/>
    <cellStyle name="Data   - Opmaakprofiel2 2 2 3 5 5" xfId="46254"/>
    <cellStyle name="Data   - Opmaakprofiel2 2 2 3 5 6" xfId="39101"/>
    <cellStyle name="Data   - Opmaakprofiel2 2 2 3 6" xfId="4384"/>
    <cellStyle name="Data   - Opmaakprofiel2 2 2 3 6 2" xfId="8156"/>
    <cellStyle name="Data   - Opmaakprofiel2 2 2 3 6 2 2" xfId="20454"/>
    <cellStyle name="Data   - Opmaakprofiel2 2 2 3 6 2 3" xfId="32506"/>
    <cellStyle name="Data   - Opmaakprofiel2 2 2 3 6 2 4" xfId="43209"/>
    <cellStyle name="Data   - Opmaakprofiel2 2 2 3 6 2 5" xfId="53121"/>
    <cellStyle name="Data   - Opmaakprofiel2 2 2 3 6 3" xfId="13043"/>
    <cellStyle name="Data   - Opmaakprofiel2 2 2 3 6 4" xfId="25095"/>
    <cellStyle name="Data   - Opmaakprofiel2 2 2 3 6 5" xfId="40766"/>
    <cellStyle name="Data   - Opmaakprofiel2 2 2 3 6 6" xfId="45079"/>
    <cellStyle name="Data   - Opmaakprofiel2 2 2 3 7" xfId="4385"/>
    <cellStyle name="Data   - Opmaakprofiel2 2 2 3 7 2" xfId="13044"/>
    <cellStyle name="Data   - Opmaakprofiel2 2 2 3 7 3" xfId="25096"/>
    <cellStyle name="Data   - Opmaakprofiel2 2 2 3 7 4" xfId="40765"/>
    <cellStyle name="Data   - Opmaakprofiel2 2 2 3 7 5" xfId="39104"/>
    <cellStyle name="Data   - Opmaakprofiel2 2 2 3 8" xfId="10306"/>
    <cellStyle name="Data   - Opmaakprofiel2 2 2 3 8 2" xfId="22604"/>
    <cellStyle name="Data   - Opmaakprofiel2 2 2 3 8 3" xfId="44365"/>
    <cellStyle name="Data   - Opmaakprofiel2 2 2 3 8 4" xfId="29029"/>
    <cellStyle name="Data   - Opmaakprofiel2 2 2 3 8 5" xfId="55271"/>
    <cellStyle name="Data   - Opmaakprofiel2 2 2 3 9" xfId="13038"/>
    <cellStyle name="Data   - Opmaakprofiel2 2 2 4" xfId="521"/>
    <cellStyle name="Data   - Opmaakprofiel2 2 2 4 2" xfId="2016"/>
    <cellStyle name="Data   - Opmaakprofiel2 2 2 4 2 2" xfId="8157"/>
    <cellStyle name="Data   - Opmaakprofiel2 2 2 4 2 2 2" xfId="20455"/>
    <cellStyle name="Data   - Opmaakprofiel2 2 2 4 2 2 3" xfId="32507"/>
    <cellStyle name="Data   - Opmaakprofiel2 2 2 4 2 2 4" xfId="31458"/>
    <cellStyle name="Data   - Opmaakprofiel2 2 2 4 2 2 5" xfId="53122"/>
    <cellStyle name="Data   - Opmaakprofiel2 2 2 4 2 3" xfId="13046"/>
    <cellStyle name="Data   - Opmaakprofiel2 2 2 4 2 4" xfId="25098"/>
    <cellStyle name="Data   - Opmaakprofiel2 2 2 4 2 5" xfId="40764"/>
    <cellStyle name="Data   - Opmaakprofiel2 2 2 4 2 6" xfId="39108"/>
    <cellStyle name="Data   - Opmaakprofiel2 2 2 4 3" xfId="2592"/>
    <cellStyle name="Data   - Opmaakprofiel2 2 2 4 3 2" xfId="8158"/>
    <cellStyle name="Data   - Opmaakprofiel2 2 2 4 3 2 2" xfId="20456"/>
    <cellStyle name="Data   - Opmaakprofiel2 2 2 4 3 2 3" xfId="32508"/>
    <cellStyle name="Data   - Opmaakprofiel2 2 2 4 3 2 4" xfId="26035"/>
    <cellStyle name="Data   - Opmaakprofiel2 2 2 4 3 2 5" xfId="53123"/>
    <cellStyle name="Data   - Opmaakprofiel2 2 2 4 3 3" xfId="13047"/>
    <cellStyle name="Data   - Opmaakprofiel2 2 2 4 3 4" xfId="25099"/>
    <cellStyle name="Data   - Opmaakprofiel2 2 2 4 3 5" xfId="46252"/>
    <cellStyle name="Data   - Opmaakprofiel2 2 2 4 3 6" xfId="45085"/>
    <cellStyle name="Data   - Opmaakprofiel2 2 2 4 4" xfId="3473"/>
    <cellStyle name="Data   - Opmaakprofiel2 2 2 4 4 2" xfId="8159"/>
    <cellStyle name="Data   - Opmaakprofiel2 2 2 4 4 2 2" xfId="20457"/>
    <cellStyle name="Data   - Opmaakprofiel2 2 2 4 4 2 3" xfId="32509"/>
    <cellStyle name="Data   - Opmaakprofiel2 2 2 4 4 2 4" xfId="34672"/>
    <cellStyle name="Data   - Opmaakprofiel2 2 2 4 4 2 5" xfId="53124"/>
    <cellStyle name="Data   - Opmaakprofiel2 2 2 4 4 3" xfId="13048"/>
    <cellStyle name="Data   - Opmaakprofiel2 2 2 4 4 4" xfId="25100"/>
    <cellStyle name="Data   - Opmaakprofiel2 2 2 4 4 5" xfId="40763"/>
    <cellStyle name="Data   - Opmaakprofiel2 2 2 4 4 6" xfId="39111"/>
    <cellStyle name="Data   - Opmaakprofiel2 2 2 4 5" xfId="4386"/>
    <cellStyle name="Data   - Opmaakprofiel2 2 2 4 5 2" xfId="8160"/>
    <cellStyle name="Data   - Opmaakprofiel2 2 2 4 5 2 2" xfId="20458"/>
    <cellStyle name="Data   - Opmaakprofiel2 2 2 4 5 2 3" xfId="32510"/>
    <cellStyle name="Data   - Opmaakprofiel2 2 2 4 5 2 4" xfId="43208"/>
    <cellStyle name="Data   - Opmaakprofiel2 2 2 4 5 2 5" xfId="53125"/>
    <cellStyle name="Data   - Opmaakprofiel2 2 2 4 5 3" xfId="13049"/>
    <cellStyle name="Data   - Opmaakprofiel2 2 2 4 5 4" xfId="25101"/>
    <cellStyle name="Data   - Opmaakprofiel2 2 2 4 5 5" xfId="46251"/>
    <cellStyle name="Data   - Opmaakprofiel2 2 2 4 5 6" xfId="39113"/>
    <cellStyle name="Data   - Opmaakprofiel2 2 2 4 6" xfId="4387"/>
    <cellStyle name="Data   - Opmaakprofiel2 2 2 4 6 2" xfId="8161"/>
    <cellStyle name="Data   - Opmaakprofiel2 2 2 4 6 2 2" xfId="20459"/>
    <cellStyle name="Data   - Opmaakprofiel2 2 2 4 6 2 3" xfId="32511"/>
    <cellStyle name="Data   - Opmaakprofiel2 2 2 4 6 2 4" xfId="26042"/>
    <cellStyle name="Data   - Opmaakprofiel2 2 2 4 6 2 5" xfId="53126"/>
    <cellStyle name="Data   - Opmaakprofiel2 2 2 4 6 3" xfId="13050"/>
    <cellStyle name="Data   - Opmaakprofiel2 2 2 4 6 4" xfId="25102"/>
    <cellStyle name="Data   - Opmaakprofiel2 2 2 4 6 5" xfId="40762"/>
    <cellStyle name="Data   - Opmaakprofiel2 2 2 4 6 6" xfId="39114"/>
    <cellStyle name="Data   - Opmaakprofiel2 2 2 4 7" xfId="4388"/>
    <cellStyle name="Data   - Opmaakprofiel2 2 2 4 7 2" xfId="13051"/>
    <cellStyle name="Data   - Opmaakprofiel2 2 2 4 7 3" xfId="25103"/>
    <cellStyle name="Data   - Opmaakprofiel2 2 2 4 7 4" xfId="46250"/>
    <cellStyle name="Data   - Opmaakprofiel2 2 2 4 7 5" xfId="45091"/>
    <cellStyle name="Data   - Opmaakprofiel2 2 2 4 8" xfId="10326"/>
    <cellStyle name="Data   - Opmaakprofiel2 2 2 4 8 2" xfId="22624"/>
    <cellStyle name="Data   - Opmaakprofiel2 2 2 4 8 3" xfId="44385"/>
    <cellStyle name="Data   - Opmaakprofiel2 2 2 4 8 4" xfId="42321"/>
    <cellStyle name="Data   - Opmaakprofiel2 2 2 4 8 5" xfId="55291"/>
    <cellStyle name="Data   - Opmaakprofiel2 2 2 4 9" xfId="13045"/>
    <cellStyle name="Data   - Opmaakprofiel2 2 2 5" xfId="588"/>
    <cellStyle name="Data   - Opmaakprofiel2 2 2 5 2" xfId="1972"/>
    <cellStyle name="Data   - Opmaakprofiel2 2 2 5 2 2" xfId="8162"/>
    <cellStyle name="Data   - Opmaakprofiel2 2 2 5 2 2 2" xfId="20460"/>
    <cellStyle name="Data   - Opmaakprofiel2 2 2 5 2 2 3" xfId="32512"/>
    <cellStyle name="Data   - Opmaakprofiel2 2 2 5 2 2 4" xfId="43207"/>
    <cellStyle name="Data   - Opmaakprofiel2 2 2 5 2 2 5" xfId="53127"/>
    <cellStyle name="Data   - Opmaakprofiel2 2 2 5 2 3" xfId="13053"/>
    <cellStyle name="Data   - Opmaakprofiel2 2 2 5 2 4" xfId="25105"/>
    <cellStyle name="Data   - Opmaakprofiel2 2 2 5 2 5" xfId="46249"/>
    <cellStyle name="Data   - Opmaakprofiel2 2 2 5 2 6" xfId="45093"/>
    <cellStyle name="Data   - Opmaakprofiel2 2 2 5 3" xfId="2659"/>
    <cellStyle name="Data   - Opmaakprofiel2 2 2 5 3 2" xfId="8163"/>
    <cellStyle name="Data   - Opmaakprofiel2 2 2 5 3 2 2" xfId="20461"/>
    <cellStyle name="Data   - Opmaakprofiel2 2 2 5 3 2 3" xfId="32513"/>
    <cellStyle name="Data   - Opmaakprofiel2 2 2 5 3 2 4" xfId="34630"/>
    <cellStyle name="Data   - Opmaakprofiel2 2 2 5 3 2 5" xfId="53128"/>
    <cellStyle name="Data   - Opmaakprofiel2 2 2 5 3 3" xfId="13054"/>
    <cellStyle name="Data   - Opmaakprofiel2 2 2 5 3 4" xfId="25106"/>
    <cellStyle name="Data   - Opmaakprofiel2 2 2 5 3 5" xfId="40760"/>
    <cellStyle name="Data   - Opmaakprofiel2 2 2 5 3 6" xfId="39118"/>
    <cellStyle name="Data   - Opmaakprofiel2 2 2 5 4" xfId="3534"/>
    <cellStyle name="Data   - Opmaakprofiel2 2 2 5 4 2" xfId="8164"/>
    <cellStyle name="Data   - Opmaakprofiel2 2 2 5 4 2 2" xfId="20462"/>
    <cellStyle name="Data   - Opmaakprofiel2 2 2 5 4 2 3" xfId="32514"/>
    <cellStyle name="Data   - Opmaakprofiel2 2 2 5 4 2 4" xfId="26049"/>
    <cellStyle name="Data   - Opmaakprofiel2 2 2 5 4 2 5" xfId="53129"/>
    <cellStyle name="Data   - Opmaakprofiel2 2 2 5 4 3" xfId="13055"/>
    <cellStyle name="Data   - Opmaakprofiel2 2 2 5 4 4" xfId="25107"/>
    <cellStyle name="Data   - Opmaakprofiel2 2 2 5 4 5" xfId="40759"/>
    <cellStyle name="Data   - Opmaakprofiel2 2 2 5 4 6" xfId="45095"/>
    <cellStyle name="Data   - Opmaakprofiel2 2 2 5 5" xfId="4389"/>
    <cellStyle name="Data   - Opmaakprofiel2 2 2 5 5 2" xfId="8165"/>
    <cellStyle name="Data   - Opmaakprofiel2 2 2 5 5 2 2" xfId="20463"/>
    <cellStyle name="Data   - Opmaakprofiel2 2 2 5 5 2 3" xfId="32515"/>
    <cellStyle name="Data   - Opmaakprofiel2 2 2 5 5 2 4" xfId="43206"/>
    <cellStyle name="Data   - Opmaakprofiel2 2 2 5 5 2 5" xfId="53130"/>
    <cellStyle name="Data   - Opmaakprofiel2 2 2 5 5 3" xfId="13056"/>
    <cellStyle name="Data   - Opmaakprofiel2 2 2 5 5 4" xfId="25108"/>
    <cellStyle name="Data   - Opmaakprofiel2 2 2 5 5 5" xfId="40758"/>
    <cellStyle name="Data   - Opmaakprofiel2 2 2 5 5 6" xfId="45098"/>
    <cellStyle name="Data   - Opmaakprofiel2 2 2 5 6" xfId="4390"/>
    <cellStyle name="Data   - Opmaakprofiel2 2 2 5 6 2" xfId="8166"/>
    <cellStyle name="Data   - Opmaakprofiel2 2 2 5 6 2 2" xfId="20464"/>
    <cellStyle name="Data   - Opmaakprofiel2 2 2 5 6 2 3" xfId="32516"/>
    <cellStyle name="Data   - Opmaakprofiel2 2 2 5 6 2 4" xfId="34417"/>
    <cellStyle name="Data   - Opmaakprofiel2 2 2 5 6 2 5" xfId="53131"/>
    <cellStyle name="Data   - Opmaakprofiel2 2 2 5 6 3" xfId="13057"/>
    <cellStyle name="Data   - Opmaakprofiel2 2 2 5 6 4" xfId="25109"/>
    <cellStyle name="Data   - Opmaakprofiel2 2 2 5 6 5" xfId="46248"/>
    <cellStyle name="Data   - Opmaakprofiel2 2 2 5 6 6" xfId="39128"/>
    <cellStyle name="Data   - Opmaakprofiel2 2 2 5 7" xfId="4391"/>
    <cellStyle name="Data   - Opmaakprofiel2 2 2 5 7 2" xfId="13058"/>
    <cellStyle name="Data   - Opmaakprofiel2 2 2 5 7 3" xfId="25110"/>
    <cellStyle name="Data   - Opmaakprofiel2 2 2 5 7 4" xfId="40757"/>
    <cellStyle name="Data   - Opmaakprofiel2 2 2 5 7 5" xfId="45100"/>
    <cellStyle name="Data   - Opmaakprofiel2 2 2 5 8" xfId="10281"/>
    <cellStyle name="Data   - Opmaakprofiel2 2 2 5 8 2" xfId="22579"/>
    <cellStyle name="Data   - Opmaakprofiel2 2 2 5 8 3" xfId="44340"/>
    <cellStyle name="Data   - Opmaakprofiel2 2 2 5 8 4" xfId="31837"/>
    <cellStyle name="Data   - Opmaakprofiel2 2 2 5 8 5" xfId="55246"/>
    <cellStyle name="Data   - Opmaakprofiel2 2 2 5 9" xfId="13052"/>
    <cellStyle name="Data   - Opmaakprofiel2 2 2 6" xfId="558"/>
    <cellStyle name="Data   - Opmaakprofiel2 2 2 6 2" xfId="1963"/>
    <cellStyle name="Data   - Opmaakprofiel2 2 2 6 2 2" xfId="8167"/>
    <cellStyle name="Data   - Opmaakprofiel2 2 2 6 2 2 2" xfId="20465"/>
    <cellStyle name="Data   - Opmaakprofiel2 2 2 6 2 2 3" xfId="32517"/>
    <cellStyle name="Data   - Opmaakprofiel2 2 2 6 2 2 4" xfId="43205"/>
    <cellStyle name="Data   - Opmaakprofiel2 2 2 6 2 2 5" xfId="53132"/>
    <cellStyle name="Data   - Opmaakprofiel2 2 2 6 2 3" xfId="13060"/>
    <cellStyle name="Data   - Opmaakprofiel2 2 2 6 2 4" xfId="25112"/>
    <cellStyle name="Data   - Opmaakprofiel2 2 2 6 2 5" xfId="40756"/>
    <cellStyle name="Data   - Opmaakprofiel2 2 2 6 2 6" xfId="45103"/>
    <cellStyle name="Data   - Opmaakprofiel2 2 2 6 3" xfId="2629"/>
    <cellStyle name="Data   - Opmaakprofiel2 2 2 6 3 2" xfId="8168"/>
    <cellStyle name="Data   - Opmaakprofiel2 2 2 6 3 2 2" xfId="20466"/>
    <cellStyle name="Data   - Opmaakprofiel2 2 2 6 3 2 3" xfId="32518"/>
    <cellStyle name="Data   - Opmaakprofiel2 2 2 6 3 2 4" xfId="26056"/>
    <cellStyle name="Data   - Opmaakprofiel2 2 2 6 3 2 5" xfId="53133"/>
    <cellStyle name="Data   - Opmaakprofiel2 2 2 6 3 3" xfId="13061"/>
    <cellStyle name="Data   - Opmaakprofiel2 2 2 6 3 4" xfId="25113"/>
    <cellStyle name="Data   - Opmaakprofiel2 2 2 6 3 5" xfId="46246"/>
    <cellStyle name="Data   - Opmaakprofiel2 2 2 6 3 6" xfId="45105"/>
    <cellStyle name="Data   - Opmaakprofiel2 2 2 6 4" xfId="3507"/>
    <cellStyle name="Data   - Opmaakprofiel2 2 2 6 4 2" xfId="8169"/>
    <cellStyle name="Data   - Opmaakprofiel2 2 2 6 4 2 2" xfId="20467"/>
    <cellStyle name="Data   - Opmaakprofiel2 2 2 6 4 2 3" xfId="32519"/>
    <cellStyle name="Data   - Opmaakprofiel2 2 2 6 4 2 4" xfId="43204"/>
    <cellStyle name="Data   - Opmaakprofiel2 2 2 6 4 2 5" xfId="53134"/>
    <cellStyle name="Data   - Opmaakprofiel2 2 2 6 4 3" xfId="13062"/>
    <cellStyle name="Data   - Opmaakprofiel2 2 2 6 4 4" xfId="25114"/>
    <cellStyle name="Data   - Opmaakprofiel2 2 2 6 4 5" xfId="40755"/>
    <cellStyle name="Data   - Opmaakprofiel2 2 2 6 4 6" xfId="39134"/>
    <cellStyle name="Data   - Opmaakprofiel2 2 2 6 5" xfId="4392"/>
    <cellStyle name="Data   - Opmaakprofiel2 2 2 6 5 2" xfId="8170"/>
    <cellStyle name="Data   - Opmaakprofiel2 2 2 6 5 2 2" xfId="20468"/>
    <cellStyle name="Data   - Opmaakprofiel2 2 2 6 5 2 3" xfId="32520"/>
    <cellStyle name="Data   - Opmaakprofiel2 2 2 6 5 2 4" xfId="31749"/>
    <cellStyle name="Data   - Opmaakprofiel2 2 2 6 5 2 5" xfId="53135"/>
    <cellStyle name="Data   - Opmaakprofiel2 2 2 6 5 3" xfId="13063"/>
    <cellStyle name="Data   - Opmaakprofiel2 2 2 6 5 4" xfId="25115"/>
    <cellStyle name="Data   - Opmaakprofiel2 2 2 6 5 5" xfId="46245"/>
    <cellStyle name="Data   - Opmaakprofiel2 2 2 6 5 6" xfId="39137"/>
    <cellStyle name="Data   - Opmaakprofiel2 2 2 6 6" xfId="4393"/>
    <cellStyle name="Data   - Opmaakprofiel2 2 2 6 6 2" xfId="8171"/>
    <cellStyle name="Data   - Opmaakprofiel2 2 2 6 6 2 2" xfId="20469"/>
    <cellStyle name="Data   - Opmaakprofiel2 2 2 6 6 2 3" xfId="32521"/>
    <cellStyle name="Data   - Opmaakprofiel2 2 2 6 6 2 4" xfId="26063"/>
    <cellStyle name="Data   - Opmaakprofiel2 2 2 6 6 2 5" xfId="53136"/>
    <cellStyle name="Data   - Opmaakprofiel2 2 2 6 6 3" xfId="13064"/>
    <cellStyle name="Data   - Opmaakprofiel2 2 2 6 6 4" xfId="25116"/>
    <cellStyle name="Data   - Opmaakprofiel2 2 2 6 6 5" xfId="40754"/>
    <cellStyle name="Data   - Opmaakprofiel2 2 2 6 6 6" xfId="45108"/>
    <cellStyle name="Data   - Opmaakprofiel2 2 2 6 7" xfId="4394"/>
    <cellStyle name="Data   - Opmaakprofiel2 2 2 6 7 2" xfId="13065"/>
    <cellStyle name="Data   - Opmaakprofiel2 2 2 6 7 3" xfId="25117"/>
    <cellStyle name="Data   - Opmaakprofiel2 2 2 6 7 4" xfId="46244"/>
    <cellStyle name="Data   - Opmaakprofiel2 2 2 6 7 5" xfId="39141"/>
    <cellStyle name="Data   - Opmaakprofiel2 2 2 6 8" xfId="10298"/>
    <cellStyle name="Data   - Opmaakprofiel2 2 2 6 8 2" xfId="22596"/>
    <cellStyle name="Data   - Opmaakprofiel2 2 2 6 8 3" xfId="44357"/>
    <cellStyle name="Data   - Opmaakprofiel2 2 2 6 8 4" xfId="42333"/>
    <cellStyle name="Data   - Opmaakprofiel2 2 2 6 8 5" xfId="55263"/>
    <cellStyle name="Data   - Opmaakprofiel2 2 2 6 9" xfId="13059"/>
    <cellStyle name="Data   - Opmaakprofiel2 2 2 7" xfId="658"/>
    <cellStyle name="Data   - Opmaakprofiel2 2 2 7 2" xfId="1475"/>
    <cellStyle name="Data   - Opmaakprofiel2 2 2 7 2 2" xfId="8172"/>
    <cellStyle name="Data   - Opmaakprofiel2 2 2 7 2 2 2" xfId="20470"/>
    <cellStyle name="Data   - Opmaakprofiel2 2 2 7 2 2 3" xfId="32522"/>
    <cellStyle name="Data   - Opmaakprofiel2 2 2 7 2 2 4" xfId="43203"/>
    <cellStyle name="Data   - Opmaakprofiel2 2 2 7 2 2 5" xfId="53137"/>
    <cellStyle name="Data   - Opmaakprofiel2 2 2 7 2 3" xfId="13067"/>
    <cellStyle name="Data   - Opmaakprofiel2 2 2 7 2 4" xfId="25119"/>
    <cellStyle name="Data   - Opmaakprofiel2 2 2 7 2 5" xfId="40752"/>
    <cellStyle name="Data   - Opmaakprofiel2 2 2 7 2 6" xfId="39144"/>
    <cellStyle name="Data   - Opmaakprofiel2 2 2 7 3" xfId="2724"/>
    <cellStyle name="Data   - Opmaakprofiel2 2 2 7 3 2" xfId="8173"/>
    <cellStyle name="Data   - Opmaakprofiel2 2 2 7 3 2 2" xfId="20471"/>
    <cellStyle name="Data   - Opmaakprofiel2 2 2 7 3 2 3" xfId="32523"/>
    <cellStyle name="Data   - Opmaakprofiel2 2 2 7 3 2 4" xfId="32097"/>
    <cellStyle name="Data   - Opmaakprofiel2 2 2 7 3 2 5" xfId="53138"/>
    <cellStyle name="Data   - Opmaakprofiel2 2 2 7 3 3" xfId="13068"/>
    <cellStyle name="Data   - Opmaakprofiel2 2 2 7 3 4" xfId="25120"/>
    <cellStyle name="Data   - Opmaakprofiel2 2 2 7 3 5" xfId="40751"/>
    <cellStyle name="Data   - Opmaakprofiel2 2 2 7 3 6" xfId="45112"/>
    <cellStyle name="Data   - Opmaakprofiel2 2 2 7 4" xfId="3591"/>
    <cellStyle name="Data   - Opmaakprofiel2 2 2 7 4 2" xfId="8174"/>
    <cellStyle name="Data   - Opmaakprofiel2 2 2 7 4 2 2" xfId="20472"/>
    <cellStyle name="Data   - Opmaakprofiel2 2 2 7 4 2 3" xfId="32524"/>
    <cellStyle name="Data   - Opmaakprofiel2 2 2 7 4 2 4" xfId="43202"/>
    <cellStyle name="Data   - Opmaakprofiel2 2 2 7 4 2 5" xfId="53139"/>
    <cellStyle name="Data   - Opmaakprofiel2 2 2 7 4 3" xfId="13069"/>
    <cellStyle name="Data   - Opmaakprofiel2 2 2 7 4 4" xfId="25121"/>
    <cellStyle name="Data   - Opmaakprofiel2 2 2 7 4 5" xfId="46243"/>
    <cellStyle name="Data   - Opmaakprofiel2 2 2 7 4 6" xfId="39148"/>
    <cellStyle name="Data   - Opmaakprofiel2 2 2 7 5" xfId="4395"/>
    <cellStyle name="Data   - Opmaakprofiel2 2 2 7 5 2" xfId="8175"/>
    <cellStyle name="Data   - Opmaakprofiel2 2 2 7 5 2 2" xfId="20473"/>
    <cellStyle name="Data   - Opmaakprofiel2 2 2 7 5 2 3" xfId="32525"/>
    <cellStyle name="Data   - Opmaakprofiel2 2 2 7 5 2 4" xfId="26070"/>
    <cellStyle name="Data   - Opmaakprofiel2 2 2 7 5 2 5" xfId="53140"/>
    <cellStyle name="Data   - Opmaakprofiel2 2 2 7 5 3" xfId="13070"/>
    <cellStyle name="Data   - Opmaakprofiel2 2 2 7 5 4" xfId="25122"/>
    <cellStyle name="Data   - Opmaakprofiel2 2 2 7 5 5" xfId="40750"/>
    <cellStyle name="Data   - Opmaakprofiel2 2 2 7 5 6" xfId="45117"/>
    <cellStyle name="Data   - Opmaakprofiel2 2 2 7 6" xfId="4396"/>
    <cellStyle name="Data   - Opmaakprofiel2 2 2 7 6 2" xfId="8176"/>
    <cellStyle name="Data   - Opmaakprofiel2 2 2 7 6 2 2" xfId="20474"/>
    <cellStyle name="Data   - Opmaakprofiel2 2 2 7 6 2 3" xfId="32526"/>
    <cellStyle name="Data   - Opmaakprofiel2 2 2 7 6 2 4" xfId="43201"/>
    <cellStyle name="Data   - Opmaakprofiel2 2 2 7 6 2 5" xfId="53141"/>
    <cellStyle name="Data   - Opmaakprofiel2 2 2 7 6 3" xfId="13071"/>
    <cellStyle name="Data   - Opmaakprofiel2 2 2 7 6 4" xfId="25123"/>
    <cellStyle name="Data   - Opmaakprofiel2 2 2 7 6 5" xfId="46242"/>
    <cellStyle name="Data   - Opmaakprofiel2 2 2 7 6 6" xfId="39153"/>
    <cellStyle name="Data   - Opmaakprofiel2 2 2 7 7" xfId="4397"/>
    <cellStyle name="Data   - Opmaakprofiel2 2 2 7 7 2" xfId="13072"/>
    <cellStyle name="Data   - Opmaakprofiel2 2 2 7 7 3" xfId="25124"/>
    <cellStyle name="Data   - Opmaakprofiel2 2 2 7 7 4" xfId="40749"/>
    <cellStyle name="Data   - Opmaakprofiel2 2 2 7 7 5" xfId="39154"/>
    <cellStyle name="Data   - Opmaakprofiel2 2 2 7 8" xfId="7543"/>
    <cellStyle name="Data   - Opmaakprofiel2 2 2 7 8 2" xfId="19841"/>
    <cellStyle name="Data   - Opmaakprofiel2 2 2 7 8 3" xfId="41644"/>
    <cellStyle name="Data   - Opmaakprofiel2 2 2 7 8 4" xfId="12487"/>
    <cellStyle name="Data   - Opmaakprofiel2 2 2 7 8 5" xfId="52513"/>
    <cellStyle name="Data   - Opmaakprofiel2 2 2 7 9" xfId="13066"/>
    <cellStyle name="Data   - Opmaakprofiel2 2 2 8" xfId="1276"/>
    <cellStyle name="Data   - Opmaakprofiel2 2 2 8 2" xfId="2189"/>
    <cellStyle name="Data   - Opmaakprofiel2 2 2 8 2 2" xfId="8177"/>
    <cellStyle name="Data   - Opmaakprofiel2 2 2 8 2 2 2" xfId="20475"/>
    <cellStyle name="Data   - Opmaakprofiel2 2 2 8 2 2 3" xfId="32527"/>
    <cellStyle name="Data   - Opmaakprofiel2 2 2 8 2 2 4" xfId="31911"/>
    <cellStyle name="Data   - Opmaakprofiel2 2 2 8 2 2 5" xfId="53142"/>
    <cellStyle name="Data   - Opmaakprofiel2 2 2 8 2 3" xfId="13074"/>
    <cellStyle name="Data   - Opmaakprofiel2 2 2 8 2 4" xfId="25126"/>
    <cellStyle name="Data   - Opmaakprofiel2 2 2 8 2 5" xfId="40748"/>
    <cellStyle name="Data   - Opmaakprofiel2 2 2 8 2 6" xfId="45122"/>
    <cellStyle name="Data   - Opmaakprofiel2 2 2 8 3" xfId="3287"/>
    <cellStyle name="Data   - Opmaakprofiel2 2 2 8 3 2" xfId="8178"/>
    <cellStyle name="Data   - Opmaakprofiel2 2 2 8 3 2 2" xfId="20476"/>
    <cellStyle name="Data   - Opmaakprofiel2 2 2 8 3 2 3" xfId="32528"/>
    <cellStyle name="Data   - Opmaakprofiel2 2 2 8 3 2 4" xfId="43200"/>
    <cellStyle name="Data   - Opmaakprofiel2 2 2 8 3 2 5" xfId="53143"/>
    <cellStyle name="Data   - Opmaakprofiel2 2 2 8 3 3" xfId="13075"/>
    <cellStyle name="Data   - Opmaakprofiel2 2 2 8 3 4" xfId="25127"/>
    <cellStyle name="Data   - Opmaakprofiel2 2 2 8 3 5" xfId="46240"/>
    <cellStyle name="Data   - Opmaakprofiel2 2 2 8 3 6" xfId="39159"/>
    <cellStyle name="Data   - Opmaakprofiel2 2 2 8 4" xfId="4086"/>
    <cellStyle name="Data   - Opmaakprofiel2 2 2 8 4 2" xfId="8179"/>
    <cellStyle name="Data   - Opmaakprofiel2 2 2 8 4 2 2" xfId="20477"/>
    <cellStyle name="Data   - Opmaakprofiel2 2 2 8 4 2 3" xfId="32529"/>
    <cellStyle name="Data   - Opmaakprofiel2 2 2 8 4 2 4" xfId="26077"/>
    <cellStyle name="Data   - Opmaakprofiel2 2 2 8 4 2 5" xfId="53144"/>
    <cellStyle name="Data   - Opmaakprofiel2 2 2 8 4 3" xfId="13076"/>
    <cellStyle name="Data   - Opmaakprofiel2 2 2 8 4 4" xfId="25128"/>
    <cellStyle name="Data   - Opmaakprofiel2 2 2 8 4 5" xfId="40747"/>
    <cellStyle name="Data   - Opmaakprofiel2 2 2 8 4 6" xfId="39160"/>
    <cellStyle name="Data   - Opmaakprofiel2 2 2 8 5" xfId="4398"/>
    <cellStyle name="Data   - Opmaakprofiel2 2 2 8 5 2" xfId="8180"/>
    <cellStyle name="Data   - Opmaakprofiel2 2 2 8 5 2 2" xfId="20478"/>
    <cellStyle name="Data   - Opmaakprofiel2 2 2 8 5 2 3" xfId="32530"/>
    <cellStyle name="Data   - Opmaakprofiel2 2 2 8 5 2 4" xfId="43199"/>
    <cellStyle name="Data   - Opmaakprofiel2 2 2 8 5 2 5" xfId="53145"/>
    <cellStyle name="Data   - Opmaakprofiel2 2 2 8 5 3" xfId="13077"/>
    <cellStyle name="Data   - Opmaakprofiel2 2 2 8 5 4" xfId="25129"/>
    <cellStyle name="Data   - Opmaakprofiel2 2 2 8 5 5" xfId="46239"/>
    <cellStyle name="Data   - Opmaakprofiel2 2 2 8 5 6" xfId="39161"/>
    <cellStyle name="Data   - Opmaakprofiel2 2 2 8 6" xfId="4399"/>
    <cellStyle name="Data   - Opmaakprofiel2 2 2 8 6 2" xfId="8181"/>
    <cellStyle name="Data   - Opmaakprofiel2 2 2 8 6 2 2" xfId="20479"/>
    <cellStyle name="Data   - Opmaakprofiel2 2 2 8 6 2 3" xfId="32531"/>
    <cellStyle name="Data   - Opmaakprofiel2 2 2 8 6 2 4" xfId="32044"/>
    <cellStyle name="Data   - Opmaakprofiel2 2 2 8 6 2 5" xfId="53146"/>
    <cellStyle name="Data   - Opmaakprofiel2 2 2 8 6 3" xfId="13078"/>
    <cellStyle name="Data   - Opmaakprofiel2 2 2 8 6 4" xfId="25130"/>
    <cellStyle name="Data   - Opmaakprofiel2 2 2 8 6 5" xfId="40746"/>
    <cellStyle name="Data   - Opmaakprofiel2 2 2 8 6 6" xfId="45124"/>
    <cellStyle name="Data   - Opmaakprofiel2 2 2 8 7" xfId="4400"/>
    <cellStyle name="Data   - Opmaakprofiel2 2 2 8 7 2" xfId="13079"/>
    <cellStyle name="Data   - Opmaakprofiel2 2 2 8 7 3" xfId="25131"/>
    <cellStyle name="Data   - Opmaakprofiel2 2 2 8 7 4" xfId="40745"/>
    <cellStyle name="Data   - Opmaakprofiel2 2 2 8 7 5" xfId="39164"/>
    <cellStyle name="Data   - Opmaakprofiel2 2 2 8 8" xfId="7100"/>
    <cellStyle name="Data   - Opmaakprofiel2 2 2 8 8 2" xfId="19398"/>
    <cellStyle name="Data   - Opmaakprofiel2 2 2 8 8 3" xfId="41201"/>
    <cellStyle name="Data   - Opmaakprofiel2 2 2 8 8 4" xfId="43650"/>
    <cellStyle name="Data   - Opmaakprofiel2 2 2 8 8 5" xfId="52071"/>
    <cellStyle name="Data   - Opmaakprofiel2 2 2 8 9" xfId="13073"/>
    <cellStyle name="Data   - Opmaakprofiel2 2 2 9" xfId="1303"/>
    <cellStyle name="Data   - Opmaakprofiel2 2 2 9 2" xfId="1965"/>
    <cellStyle name="Data   - Opmaakprofiel2 2 2 9 2 2" xfId="8182"/>
    <cellStyle name="Data   - Opmaakprofiel2 2 2 9 2 2 2" xfId="20480"/>
    <cellStyle name="Data   - Opmaakprofiel2 2 2 9 2 2 3" xfId="32532"/>
    <cellStyle name="Data   - Opmaakprofiel2 2 2 9 2 2 4" xfId="26084"/>
    <cellStyle name="Data   - Opmaakprofiel2 2 2 9 2 2 5" xfId="53147"/>
    <cellStyle name="Data   - Opmaakprofiel2 2 2 9 2 3" xfId="13081"/>
    <cellStyle name="Data   - Opmaakprofiel2 2 2 9 2 4" xfId="25133"/>
    <cellStyle name="Data   - Opmaakprofiel2 2 2 9 2 5" xfId="46238"/>
    <cellStyle name="Data   - Opmaakprofiel2 2 2 9 2 6" xfId="39168"/>
    <cellStyle name="Data   - Opmaakprofiel2 2 2 9 3" xfId="3314"/>
    <cellStyle name="Data   - Opmaakprofiel2 2 2 9 3 2" xfId="8183"/>
    <cellStyle name="Data   - Opmaakprofiel2 2 2 9 3 2 2" xfId="20481"/>
    <cellStyle name="Data   - Opmaakprofiel2 2 2 9 3 2 3" xfId="32533"/>
    <cellStyle name="Data   - Opmaakprofiel2 2 2 9 3 2 4" xfId="31983"/>
    <cellStyle name="Data   - Opmaakprofiel2 2 2 9 3 2 5" xfId="53148"/>
    <cellStyle name="Data   - Opmaakprofiel2 2 2 9 3 3" xfId="13082"/>
    <cellStyle name="Data   - Opmaakprofiel2 2 2 9 3 4" xfId="25134"/>
    <cellStyle name="Data   - Opmaakprofiel2 2 2 9 3 5" xfId="40743"/>
    <cellStyle name="Data   - Opmaakprofiel2 2 2 9 3 6" xfId="45128"/>
    <cellStyle name="Data   - Opmaakprofiel2 2 2 9 4" xfId="4095"/>
    <cellStyle name="Data   - Opmaakprofiel2 2 2 9 4 2" xfId="8184"/>
    <cellStyle name="Data   - Opmaakprofiel2 2 2 9 4 2 2" xfId="20482"/>
    <cellStyle name="Data   - Opmaakprofiel2 2 2 9 4 2 3" xfId="32534"/>
    <cellStyle name="Data   - Opmaakprofiel2 2 2 9 4 2 4" xfId="43198"/>
    <cellStyle name="Data   - Opmaakprofiel2 2 2 9 4 2 5" xfId="53149"/>
    <cellStyle name="Data   - Opmaakprofiel2 2 2 9 4 3" xfId="13083"/>
    <cellStyle name="Data   - Opmaakprofiel2 2 2 9 4 4" xfId="25135"/>
    <cellStyle name="Data   - Opmaakprofiel2 2 2 9 4 5" xfId="46237"/>
    <cellStyle name="Data   - Opmaakprofiel2 2 2 9 4 6" xfId="39171"/>
    <cellStyle name="Data   - Opmaakprofiel2 2 2 9 5" xfId="4401"/>
    <cellStyle name="Data   - Opmaakprofiel2 2 2 9 5 2" xfId="8185"/>
    <cellStyle name="Data   - Opmaakprofiel2 2 2 9 5 2 2" xfId="20483"/>
    <cellStyle name="Data   - Opmaakprofiel2 2 2 9 5 2 3" xfId="32535"/>
    <cellStyle name="Data   - Opmaakprofiel2 2 2 9 5 2 4" xfId="26091"/>
    <cellStyle name="Data   - Opmaakprofiel2 2 2 9 5 2 5" xfId="53150"/>
    <cellStyle name="Data   - Opmaakprofiel2 2 2 9 5 3" xfId="13084"/>
    <cellStyle name="Data   - Opmaakprofiel2 2 2 9 5 4" xfId="25136"/>
    <cellStyle name="Data   - Opmaakprofiel2 2 2 9 5 5" xfId="40742"/>
    <cellStyle name="Data   - Opmaakprofiel2 2 2 9 5 6" xfId="45131"/>
    <cellStyle name="Data   - Opmaakprofiel2 2 2 9 6" xfId="4402"/>
    <cellStyle name="Data   - Opmaakprofiel2 2 2 9 6 2" xfId="8186"/>
    <cellStyle name="Data   - Opmaakprofiel2 2 2 9 6 2 2" xfId="20484"/>
    <cellStyle name="Data   - Opmaakprofiel2 2 2 9 6 2 3" xfId="32536"/>
    <cellStyle name="Data   - Opmaakprofiel2 2 2 9 6 2 4" xfId="43197"/>
    <cellStyle name="Data   - Opmaakprofiel2 2 2 9 6 2 5" xfId="53151"/>
    <cellStyle name="Data   - Opmaakprofiel2 2 2 9 6 3" xfId="13085"/>
    <cellStyle name="Data   - Opmaakprofiel2 2 2 9 6 4" xfId="25137"/>
    <cellStyle name="Data   - Opmaakprofiel2 2 2 9 6 5" xfId="46236"/>
    <cellStyle name="Data   - Opmaakprofiel2 2 2 9 6 6" xfId="45133"/>
    <cellStyle name="Data   - Opmaakprofiel2 2 2 9 7" xfId="4403"/>
    <cellStyle name="Data   - Opmaakprofiel2 2 2 9 7 2" xfId="13086"/>
    <cellStyle name="Data   - Opmaakprofiel2 2 2 9 7 3" xfId="25138"/>
    <cellStyle name="Data   - Opmaakprofiel2 2 2 9 7 4" xfId="40741"/>
    <cellStyle name="Data   - Opmaakprofiel2 2 2 9 7 5" xfId="39175"/>
    <cellStyle name="Data   - Opmaakprofiel2 2 2 9 8" xfId="7074"/>
    <cellStyle name="Data   - Opmaakprofiel2 2 2 9 8 2" xfId="19372"/>
    <cellStyle name="Data   - Opmaakprofiel2 2 2 9 8 3" xfId="41175"/>
    <cellStyle name="Data   - Opmaakprofiel2 2 2 9 8 4" xfId="43661"/>
    <cellStyle name="Data   - Opmaakprofiel2 2 2 9 8 5" xfId="52045"/>
    <cellStyle name="Data   - Opmaakprofiel2 2 2 9 9" xfId="13080"/>
    <cellStyle name="Data   - Opmaakprofiel2 2 20" xfId="709"/>
    <cellStyle name="Data   - Opmaakprofiel2 2 20 10" xfId="4404"/>
    <cellStyle name="Data   - Opmaakprofiel2 2 20 10 2" xfId="8187"/>
    <cellStyle name="Data   - Opmaakprofiel2 2 20 10 2 2" xfId="20485"/>
    <cellStyle name="Data   - Opmaakprofiel2 2 20 10 2 3" xfId="32537"/>
    <cellStyle name="Data   - Opmaakprofiel2 2 20 10 2 4" xfId="31961"/>
    <cellStyle name="Data   - Opmaakprofiel2 2 20 10 2 5" xfId="53152"/>
    <cellStyle name="Data   - Opmaakprofiel2 2 20 10 3" xfId="13088"/>
    <cellStyle name="Data   - Opmaakprofiel2 2 20 10 4" xfId="25140"/>
    <cellStyle name="Data   - Opmaakprofiel2 2 20 10 5" xfId="40740"/>
    <cellStyle name="Data   - Opmaakprofiel2 2 20 10 6" xfId="39178"/>
    <cellStyle name="Data   - Opmaakprofiel2 2 20 11" xfId="4405"/>
    <cellStyle name="Data   - Opmaakprofiel2 2 20 11 2" xfId="8188"/>
    <cellStyle name="Data   - Opmaakprofiel2 2 20 11 2 2" xfId="20486"/>
    <cellStyle name="Data   - Opmaakprofiel2 2 20 11 2 3" xfId="32538"/>
    <cellStyle name="Data   - Opmaakprofiel2 2 20 11 2 4" xfId="43196"/>
    <cellStyle name="Data   - Opmaakprofiel2 2 20 11 2 5" xfId="53153"/>
    <cellStyle name="Data   - Opmaakprofiel2 2 20 11 3" xfId="13089"/>
    <cellStyle name="Data   - Opmaakprofiel2 2 20 11 4" xfId="25141"/>
    <cellStyle name="Data   - Opmaakprofiel2 2 20 11 5" xfId="46235"/>
    <cellStyle name="Data   - Opmaakprofiel2 2 20 11 6" xfId="45137"/>
    <cellStyle name="Data   - Opmaakprofiel2 2 20 12" xfId="4406"/>
    <cellStyle name="Data   - Opmaakprofiel2 2 20 12 2" xfId="13090"/>
    <cellStyle name="Data   - Opmaakprofiel2 2 20 12 3" xfId="25142"/>
    <cellStyle name="Data   - Opmaakprofiel2 2 20 12 4" xfId="40739"/>
    <cellStyle name="Data   - Opmaakprofiel2 2 20 12 5" xfId="39182"/>
    <cellStyle name="Data   - Opmaakprofiel2 2 20 13" xfId="7507"/>
    <cellStyle name="Data   - Opmaakprofiel2 2 20 13 2" xfId="19805"/>
    <cellStyle name="Data   - Opmaakprofiel2 2 20 13 3" xfId="41608"/>
    <cellStyle name="Data   - Opmaakprofiel2 2 20 13 4" xfId="31927"/>
    <cellStyle name="Data   - Opmaakprofiel2 2 20 13 5" xfId="52477"/>
    <cellStyle name="Data   - Opmaakprofiel2 2 20 14" xfId="13087"/>
    <cellStyle name="Data   - Opmaakprofiel2 2 20 2" xfId="882"/>
    <cellStyle name="Data   - Opmaakprofiel2 2 20 2 2" xfId="1508"/>
    <cellStyle name="Data   - Opmaakprofiel2 2 20 2 2 2" xfId="8189"/>
    <cellStyle name="Data   - Opmaakprofiel2 2 20 2 2 2 2" xfId="20487"/>
    <cellStyle name="Data   - Opmaakprofiel2 2 20 2 2 2 3" xfId="32539"/>
    <cellStyle name="Data   - Opmaakprofiel2 2 20 2 2 2 4" xfId="26098"/>
    <cellStyle name="Data   - Opmaakprofiel2 2 20 2 2 2 5" xfId="53154"/>
    <cellStyle name="Data   - Opmaakprofiel2 2 20 2 2 3" xfId="13092"/>
    <cellStyle name="Data   - Opmaakprofiel2 2 20 2 2 4" xfId="25144"/>
    <cellStyle name="Data   - Opmaakprofiel2 2 20 2 2 5" xfId="40737"/>
    <cellStyle name="Data   - Opmaakprofiel2 2 20 2 2 6" xfId="39188"/>
    <cellStyle name="Data   - Opmaakprofiel2 2 20 2 3" xfId="2893"/>
    <cellStyle name="Data   - Opmaakprofiel2 2 20 2 3 2" xfId="8190"/>
    <cellStyle name="Data   - Opmaakprofiel2 2 20 2 3 2 2" xfId="20488"/>
    <cellStyle name="Data   - Opmaakprofiel2 2 20 2 3 2 3" xfId="32540"/>
    <cellStyle name="Data   - Opmaakprofiel2 2 20 2 3 2 4" xfId="43195"/>
    <cellStyle name="Data   - Opmaakprofiel2 2 20 2 3 2 5" xfId="53155"/>
    <cellStyle name="Data   - Opmaakprofiel2 2 20 2 3 3" xfId="13093"/>
    <cellStyle name="Data   - Opmaakprofiel2 2 20 2 3 4" xfId="25145"/>
    <cellStyle name="Data   - Opmaakprofiel2 2 20 2 3 5" xfId="46234"/>
    <cellStyle name="Data   - Opmaakprofiel2 2 20 2 3 6" xfId="45141"/>
    <cellStyle name="Data   - Opmaakprofiel2 2 20 2 4" xfId="3746"/>
    <cellStyle name="Data   - Opmaakprofiel2 2 20 2 4 2" xfId="8191"/>
    <cellStyle name="Data   - Opmaakprofiel2 2 20 2 4 2 2" xfId="20489"/>
    <cellStyle name="Data   - Opmaakprofiel2 2 20 2 4 2 3" xfId="32541"/>
    <cellStyle name="Data   - Opmaakprofiel2 2 20 2 4 2 4" xfId="31734"/>
    <cellStyle name="Data   - Opmaakprofiel2 2 20 2 4 2 5" xfId="53156"/>
    <cellStyle name="Data   - Opmaakprofiel2 2 20 2 4 3" xfId="13094"/>
    <cellStyle name="Data   - Opmaakprofiel2 2 20 2 4 4" xfId="25146"/>
    <cellStyle name="Data   - Opmaakprofiel2 2 20 2 4 5" xfId="40736"/>
    <cellStyle name="Data   - Opmaakprofiel2 2 20 2 4 6" xfId="39189"/>
    <cellStyle name="Data   - Opmaakprofiel2 2 20 2 5" xfId="4407"/>
    <cellStyle name="Data   - Opmaakprofiel2 2 20 2 5 2" xfId="8192"/>
    <cellStyle name="Data   - Opmaakprofiel2 2 20 2 5 2 2" xfId="20490"/>
    <cellStyle name="Data   - Opmaakprofiel2 2 20 2 5 2 3" xfId="32542"/>
    <cellStyle name="Data   - Opmaakprofiel2 2 20 2 5 2 4" xfId="43194"/>
    <cellStyle name="Data   - Opmaakprofiel2 2 20 2 5 2 5" xfId="53157"/>
    <cellStyle name="Data   - Opmaakprofiel2 2 20 2 5 3" xfId="13095"/>
    <cellStyle name="Data   - Opmaakprofiel2 2 20 2 5 4" xfId="25147"/>
    <cellStyle name="Data   - Opmaakprofiel2 2 20 2 5 5" xfId="46233"/>
    <cellStyle name="Data   - Opmaakprofiel2 2 20 2 5 6" xfId="45143"/>
    <cellStyle name="Data   - Opmaakprofiel2 2 20 2 6" xfId="4408"/>
    <cellStyle name="Data   - Opmaakprofiel2 2 20 2 6 2" xfId="8193"/>
    <cellStyle name="Data   - Opmaakprofiel2 2 20 2 6 2 2" xfId="20491"/>
    <cellStyle name="Data   - Opmaakprofiel2 2 20 2 6 2 3" xfId="32543"/>
    <cellStyle name="Data   - Opmaakprofiel2 2 20 2 6 2 4" xfId="26105"/>
    <cellStyle name="Data   - Opmaakprofiel2 2 20 2 6 2 5" xfId="53158"/>
    <cellStyle name="Data   - Opmaakprofiel2 2 20 2 6 3" xfId="13096"/>
    <cellStyle name="Data   - Opmaakprofiel2 2 20 2 6 4" xfId="25148"/>
    <cellStyle name="Data   - Opmaakprofiel2 2 20 2 6 5" xfId="40735"/>
    <cellStyle name="Data   - Opmaakprofiel2 2 20 2 6 6" xfId="39195"/>
    <cellStyle name="Data   - Opmaakprofiel2 2 20 2 7" xfId="4409"/>
    <cellStyle name="Data   - Opmaakprofiel2 2 20 2 7 2" xfId="13097"/>
    <cellStyle name="Data   - Opmaakprofiel2 2 20 2 7 3" xfId="25149"/>
    <cellStyle name="Data   - Opmaakprofiel2 2 20 2 7 4" xfId="46232"/>
    <cellStyle name="Data   - Opmaakprofiel2 2 20 2 7 5" xfId="45147"/>
    <cellStyle name="Data   - Opmaakprofiel2 2 20 2 8" xfId="10081"/>
    <cellStyle name="Data   - Opmaakprofiel2 2 20 2 8 2" xfId="22379"/>
    <cellStyle name="Data   - Opmaakprofiel2 2 20 2 8 3" xfId="44143"/>
    <cellStyle name="Data   - Opmaakprofiel2 2 20 2 8 4" xfId="31632"/>
    <cellStyle name="Data   - Opmaakprofiel2 2 20 2 8 5" xfId="55046"/>
    <cellStyle name="Data   - Opmaakprofiel2 2 20 2 9" xfId="13091"/>
    <cellStyle name="Data   - Opmaakprofiel2 2 20 3" xfId="982"/>
    <cellStyle name="Data   - Opmaakprofiel2 2 20 3 2" xfId="1861"/>
    <cellStyle name="Data   - Opmaakprofiel2 2 20 3 2 2" xfId="8194"/>
    <cellStyle name="Data   - Opmaakprofiel2 2 20 3 2 2 2" xfId="20492"/>
    <cellStyle name="Data   - Opmaakprofiel2 2 20 3 2 2 3" xfId="32544"/>
    <cellStyle name="Data   - Opmaakprofiel2 2 20 3 2 2 4" xfId="31600"/>
    <cellStyle name="Data   - Opmaakprofiel2 2 20 3 2 2 5" xfId="53159"/>
    <cellStyle name="Data   - Opmaakprofiel2 2 20 3 2 3" xfId="13099"/>
    <cellStyle name="Data   - Opmaakprofiel2 2 20 3 2 4" xfId="25151"/>
    <cellStyle name="Data   - Opmaakprofiel2 2 20 3 2 5" xfId="46231"/>
    <cellStyle name="Data   - Opmaakprofiel2 2 20 3 2 6" xfId="45149"/>
    <cellStyle name="Data   - Opmaakprofiel2 2 20 3 3" xfId="2993"/>
    <cellStyle name="Data   - Opmaakprofiel2 2 20 3 3 2" xfId="8195"/>
    <cellStyle name="Data   - Opmaakprofiel2 2 20 3 3 2 2" xfId="20493"/>
    <cellStyle name="Data   - Opmaakprofiel2 2 20 3 3 2 3" xfId="32545"/>
    <cellStyle name="Data   - Opmaakprofiel2 2 20 3 3 2 4" xfId="26112"/>
    <cellStyle name="Data   - Opmaakprofiel2 2 20 3 3 2 5" xfId="53160"/>
    <cellStyle name="Data   - Opmaakprofiel2 2 20 3 3 3" xfId="13100"/>
    <cellStyle name="Data   - Opmaakprofiel2 2 20 3 3 4" xfId="25152"/>
    <cellStyle name="Data   - Opmaakprofiel2 2 20 3 3 5" xfId="40733"/>
    <cellStyle name="Data   - Opmaakprofiel2 2 20 3 3 6" xfId="39201"/>
    <cellStyle name="Data   - Opmaakprofiel2 2 20 3 4" xfId="3839"/>
    <cellStyle name="Data   - Opmaakprofiel2 2 20 3 4 2" xfId="8196"/>
    <cellStyle name="Data   - Opmaakprofiel2 2 20 3 4 2 2" xfId="20494"/>
    <cellStyle name="Data   - Opmaakprofiel2 2 20 3 4 2 3" xfId="32546"/>
    <cellStyle name="Data   - Opmaakprofiel2 2 20 3 4 2 4" xfId="43193"/>
    <cellStyle name="Data   - Opmaakprofiel2 2 20 3 4 2 5" xfId="53161"/>
    <cellStyle name="Data   - Opmaakprofiel2 2 20 3 4 3" xfId="13101"/>
    <cellStyle name="Data   - Opmaakprofiel2 2 20 3 4 4" xfId="25153"/>
    <cellStyle name="Data   - Opmaakprofiel2 2 20 3 4 5" xfId="46230"/>
    <cellStyle name="Data   - Opmaakprofiel2 2 20 3 4 6" xfId="45151"/>
    <cellStyle name="Data   - Opmaakprofiel2 2 20 3 5" xfId="4410"/>
    <cellStyle name="Data   - Opmaakprofiel2 2 20 3 5 2" xfId="8197"/>
    <cellStyle name="Data   - Opmaakprofiel2 2 20 3 5 2 2" xfId="20495"/>
    <cellStyle name="Data   - Opmaakprofiel2 2 20 3 5 2 3" xfId="32547"/>
    <cellStyle name="Data   - Opmaakprofiel2 2 20 3 5 2 4" xfId="31405"/>
    <cellStyle name="Data   - Opmaakprofiel2 2 20 3 5 2 5" xfId="53162"/>
    <cellStyle name="Data   - Opmaakprofiel2 2 20 3 5 3" xfId="13102"/>
    <cellStyle name="Data   - Opmaakprofiel2 2 20 3 5 4" xfId="25154"/>
    <cellStyle name="Data   - Opmaakprofiel2 2 20 3 5 5" xfId="40732"/>
    <cellStyle name="Data   - Opmaakprofiel2 2 20 3 5 6" xfId="39205"/>
    <cellStyle name="Data   - Opmaakprofiel2 2 20 3 6" xfId="4411"/>
    <cellStyle name="Data   - Opmaakprofiel2 2 20 3 6 2" xfId="8198"/>
    <cellStyle name="Data   - Opmaakprofiel2 2 20 3 6 2 2" xfId="20496"/>
    <cellStyle name="Data   - Opmaakprofiel2 2 20 3 6 2 3" xfId="32548"/>
    <cellStyle name="Data   - Opmaakprofiel2 2 20 3 6 2 4" xfId="43192"/>
    <cellStyle name="Data   - Opmaakprofiel2 2 20 3 6 2 5" xfId="53163"/>
    <cellStyle name="Data   - Opmaakprofiel2 2 20 3 6 3" xfId="13103"/>
    <cellStyle name="Data   - Opmaakprofiel2 2 20 3 6 4" xfId="25155"/>
    <cellStyle name="Data   - Opmaakprofiel2 2 20 3 6 5" xfId="40731"/>
    <cellStyle name="Data   - Opmaakprofiel2 2 20 3 6 6" xfId="45154"/>
    <cellStyle name="Data   - Opmaakprofiel2 2 20 3 7" xfId="4412"/>
    <cellStyle name="Data   - Opmaakprofiel2 2 20 3 7 2" xfId="13104"/>
    <cellStyle name="Data   - Opmaakprofiel2 2 20 3 7 3" xfId="25156"/>
    <cellStyle name="Data   - Opmaakprofiel2 2 20 3 7 4" xfId="40730"/>
    <cellStyle name="Data   - Opmaakprofiel2 2 20 3 7 5" xfId="39207"/>
    <cellStyle name="Data   - Opmaakprofiel2 2 20 3 8" xfId="7324"/>
    <cellStyle name="Data   - Opmaakprofiel2 2 20 3 8 2" xfId="19622"/>
    <cellStyle name="Data   - Opmaakprofiel2 2 20 3 8 3" xfId="41425"/>
    <cellStyle name="Data   - Opmaakprofiel2 2 20 3 8 4" xfId="36845"/>
    <cellStyle name="Data   - Opmaakprofiel2 2 20 3 8 5" xfId="52294"/>
    <cellStyle name="Data   - Opmaakprofiel2 2 20 3 9" xfId="13098"/>
    <cellStyle name="Data   - Opmaakprofiel2 2 20 4" xfId="846"/>
    <cellStyle name="Data   - Opmaakprofiel2 2 20 4 2" xfId="1449"/>
    <cellStyle name="Data   - Opmaakprofiel2 2 20 4 2 2" xfId="8199"/>
    <cellStyle name="Data   - Opmaakprofiel2 2 20 4 2 2 2" xfId="20497"/>
    <cellStyle name="Data   - Opmaakprofiel2 2 20 4 2 2 3" xfId="32549"/>
    <cellStyle name="Data   - Opmaakprofiel2 2 20 4 2 2 4" xfId="26119"/>
    <cellStyle name="Data   - Opmaakprofiel2 2 20 4 2 2 5" xfId="53164"/>
    <cellStyle name="Data   - Opmaakprofiel2 2 20 4 2 3" xfId="13106"/>
    <cellStyle name="Data   - Opmaakprofiel2 2 20 4 2 4" xfId="25158"/>
    <cellStyle name="Data   - Opmaakprofiel2 2 20 4 2 5" xfId="40729"/>
    <cellStyle name="Data   - Opmaakprofiel2 2 20 4 2 6" xfId="39210"/>
    <cellStyle name="Data   - Opmaakprofiel2 2 20 4 3" xfId="2857"/>
    <cellStyle name="Data   - Opmaakprofiel2 2 20 4 3 2" xfId="8200"/>
    <cellStyle name="Data   - Opmaakprofiel2 2 20 4 3 2 2" xfId="20498"/>
    <cellStyle name="Data   - Opmaakprofiel2 2 20 4 3 2 3" xfId="32550"/>
    <cellStyle name="Data   - Opmaakprofiel2 2 20 4 3 2 4" xfId="43191"/>
    <cellStyle name="Data   - Opmaakprofiel2 2 20 4 3 2 5" xfId="53165"/>
    <cellStyle name="Data   - Opmaakprofiel2 2 20 4 3 3" xfId="13107"/>
    <cellStyle name="Data   - Opmaakprofiel2 2 20 4 3 4" xfId="25159"/>
    <cellStyle name="Data   - Opmaakprofiel2 2 20 4 3 5" xfId="46228"/>
    <cellStyle name="Data   - Opmaakprofiel2 2 20 4 3 6" xfId="39214"/>
    <cellStyle name="Data   - Opmaakprofiel2 2 20 4 4" xfId="3711"/>
    <cellStyle name="Data   - Opmaakprofiel2 2 20 4 4 2" xfId="8201"/>
    <cellStyle name="Data   - Opmaakprofiel2 2 20 4 4 2 2" xfId="20499"/>
    <cellStyle name="Data   - Opmaakprofiel2 2 20 4 4 2 3" xfId="32551"/>
    <cellStyle name="Data   - Opmaakprofiel2 2 20 4 4 2 4" xfId="31357"/>
    <cellStyle name="Data   - Opmaakprofiel2 2 20 4 4 2 5" xfId="53166"/>
    <cellStyle name="Data   - Opmaakprofiel2 2 20 4 4 3" xfId="13108"/>
    <cellStyle name="Data   - Opmaakprofiel2 2 20 4 4 4" xfId="25160"/>
    <cellStyle name="Data   - Opmaakprofiel2 2 20 4 4 5" xfId="40728"/>
    <cellStyle name="Data   - Opmaakprofiel2 2 20 4 4 6" xfId="45163"/>
    <cellStyle name="Data   - Opmaakprofiel2 2 20 4 5" xfId="4413"/>
    <cellStyle name="Data   - Opmaakprofiel2 2 20 4 5 2" xfId="8202"/>
    <cellStyle name="Data   - Opmaakprofiel2 2 20 4 5 2 2" xfId="20500"/>
    <cellStyle name="Data   - Opmaakprofiel2 2 20 4 5 2 3" xfId="32552"/>
    <cellStyle name="Data   - Opmaakprofiel2 2 20 4 5 2 4" xfId="43190"/>
    <cellStyle name="Data   - Opmaakprofiel2 2 20 4 5 2 5" xfId="53167"/>
    <cellStyle name="Data   - Opmaakprofiel2 2 20 4 5 3" xfId="13109"/>
    <cellStyle name="Data   - Opmaakprofiel2 2 20 4 5 4" xfId="25161"/>
    <cellStyle name="Data   - Opmaakprofiel2 2 20 4 5 5" xfId="40727"/>
    <cellStyle name="Data   - Opmaakprofiel2 2 20 4 5 6" xfId="39220"/>
    <cellStyle name="Data   - Opmaakprofiel2 2 20 4 6" xfId="4414"/>
    <cellStyle name="Data   - Opmaakprofiel2 2 20 4 6 2" xfId="8203"/>
    <cellStyle name="Data   - Opmaakprofiel2 2 20 4 6 2 2" xfId="20501"/>
    <cellStyle name="Data   - Opmaakprofiel2 2 20 4 6 2 3" xfId="32553"/>
    <cellStyle name="Data   - Opmaakprofiel2 2 20 4 6 2 4" xfId="19279"/>
    <cellStyle name="Data   - Opmaakprofiel2 2 20 4 6 2 5" xfId="53168"/>
    <cellStyle name="Data   - Opmaakprofiel2 2 20 4 6 3" xfId="13110"/>
    <cellStyle name="Data   - Opmaakprofiel2 2 20 4 6 4" xfId="25162"/>
    <cellStyle name="Data   - Opmaakprofiel2 2 20 4 6 5" xfId="46227"/>
    <cellStyle name="Data   - Opmaakprofiel2 2 20 4 6 6" xfId="39223"/>
    <cellStyle name="Data   - Opmaakprofiel2 2 20 4 7" xfId="4415"/>
    <cellStyle name="Data   - Opmaakprofiel2 2 20 4 7 2" xfId="13111"/>
    <cellStyle name="Data   - Opmaakprofiel2 2 20 4 7 3" xfId="25163"/>
    <cellStyle name="Data   - Opmaakprofiel2 2 20 4 7 4" xfId="40726"/>
    <cellStyle name="Data   - Opmaakprofiel2 2 20 4 7 5" xfId="45166"/>
    <cellStyle name="Data   - Opmaakprofiel2 2 20 4 8" xfId="7416"/>
    <cellStyle name="Data   - Opmaakprofiel2 2 20 4 8 2" xfId="19714"/>
    <cellStyle name="Data   - Opmaakprofiel2 2 20 4 8 3" xfId="41517"/>
    <cellStyle name="Data   - Opmaakprofiel2 2 20 4 8 4" xfId="43518"/>
    <cellStyle name="Data   - Opmaakprofiel2 2 20 4 8 5" xfId="52386"/>
    <cellStyle name="Data   - Opmaakprofiel2 2 20 4 9" xfId="13105"/>
    <cellStyle name="Data   - Opmaakprofiel2 2 20 5" xfId="1157"/>
    <cellStyle name="Data   - Opmaakprofiel2 2 20 5 2" xfId="1711"/>
    <cellStyle name="Data   - Opmaakprofiel2 2 20 5 2 2" xfId="8204"/>
    <cellStyle name="Data   - Opmaakprofiel2 2 20 5 2 2 2" xfId="20502"/>
    <cellStyle name="Data   - Opmaakprofiel2 2 20 5 2 2 3" xfId="32554"/>
    <cellStyle name="Data   - Opmaakprofiel2 2 20 5 2 2 4" xfId="43189"/>
    <cellStyle name="Data   - Opmaakprofiel2 2 20 5 2 2 5" xfId="53169"/>
    <cellStyle name="Data   - Opmaakprofiel2 2 20 5 2 3" xfId="13113"/>
    <cellStyle name="Data   - Opmaakprofiel2 2 20 5 2 4" xfId="25165"/>
    <cellStyle name="Data   - Opmaakprofiel2 2 20 5 2 5" xfId="40725"/>
    <cellStyle name="Data   - Opmaakprofiel2 2 20 5 2 6" xfId="45168"/>
    <cellStyle name="Data   - Opmaakprofiel2 2 20 5 3" xfId="3168"/>
    <cellStyle name="Data   - Opmaakprofiel2 2 20 5 3 2" xfId="8205"/>
    <cellStyle name="Data   - Opmaakprofiel2 2 20 5 3 2 2" xfId="20503"/>
    <cellStyle name="Data   - Opmaakprofiel2 2 20 5 3 2 3" xfId="32555"/>
    <cellStyle name="Data   - Opmaakprofiel2 2 20 5 3 2 4" xfId="26131"/>
    <cellStyle name="Data   - Opmaakprofiel2 2 20 5 3 2 5" xfId="53170"/>
    <cellStyle name="Data   - Opmaakprofiel2 2 20 5 3 3" xfId="13114"/>
    <cellStyle name="Data   - Opmaakprofiel2 2 20 5 3 4" xfId="25166"/>
    <cellStyle name="Data   - Opmaakprofiel2 2 20 5 3 5" xfId="46225"/>
    <cellStyle name="Data   - Opmaakprofiel2 2 20 5 3 6" xfId="39227"/>
    <cellStyle name="Data   - Opmaakprofiel2 2 20 5 4" xfId="3990"/>
    <cellStyle name="Data   - Opmaakprofiel2 2 20 5 4 2" xfId="8206"/>
    <cellStyle name="Data   - Opmaakprofiel2 2 20 5 4 2 2" xfId="20504"/>
    <cellStyle name="Data   - Opmaakprofiel2 2 20 5 4 2 3" xfId="32556"/>
    <cellStyle name="Data   - Opmaakprofiel2 2 20 5 4 2 4" xfId="26132"/>
    <cellStyle name="Data   - Opmaakprofiel2 2 20 5 4 2 5" xfId="53171"/>
    <cellStyle name="Data   - Opmaakprofiel2 2 20 5 4 3" xfId="13115"/>
    <cellStyle name="Data   - Opmaakprofiel2 2 20 5 4 4" xfId="25167"/>
    <cellStyle name="Data   - Opmaakprofiel2 2 20 5 4 5" xfId="40724"/>
    <cellStyle name="Data   - Opmaakprofiel2 2 20 5 4 6" xfId="45171"/>
    <cellStyle name="Data   - Opmaakprofiel2 2 20 5 5" xfId="4416"/>
    <cellStyle name="Data   - Opmaakprofiel2 2 20 5 5 2" xfId="8207"/>
    <cellStyle name="Data   - Opmaakprofiel2 2 20 5 5 2 2" xfId="20505"/>
    <cellStyle name="Data   - Opmaakprofiel2 2 20 5 5 2 3" xfId="32557"/>
    <cellStyle name="Data   - Opmaakprofiel2 2 20 5 5 2 4" xfId="26133"/>
    <cellStyle name="Data   - Opmaakprofiel2 2 20 5 5 2 5" xfId="53172"/>
    <cellStyle name="Data   - Opmaakprofiel2 2 20 5 5 3" xfId="13116"/>
    <cellStyle name="Data   - Opmaakprofiel2 2 20 5 5 4" xfId="25168"/>
    <cellStyle name="Data   - Opmaakprofiel2 2 20 5 5 5" xfId="40723"/>
    <cellStyle name="Data   - Opmaakprofiel2 2 20 5 5 6" xfId="39230"/>
    <cellStyle name="Data   - Opmaakprofiel2 2 20 5 6" xfId="4417"/>
    <cellStyle name="Data   - Opmaakprofiel2 2 20 5 6 2" xfId="8208"/>
    <cellStyle name="Data   - Opmaakprofiel2 2 20 5 6 2 2" xfId="20506"/>
    <cellStyle name="Data   - Opmaakprofiel2 2 20 5 6 2 3" xfId="32558"/>
    <cellStyle name="Data   - Opmaakprofiel2 2 20 5 6 2 4" xfId="43188"/>
    <cellStyle name="Data   - Opmaakprofiel2 2 20 5 6 2 5" xfId="53173"/>
    <cellStyle name="Data   - Opmaakprofiel2 2 20 5 6 3" xfId="13117"/>
    <cellStyle name="Data   - Opmaakprofiel2 2 20 5 6 4" xfId="25169"/>
    <cellStyle name="Data   - Opmaakprofiel2 2 20 5 6 5" xfId="46224"/>
    <cellStyle name="Data   - Opmaakprofiel2 2 20 5 6 6" xfId="45173"/>
    <cellStyle name="Data   - Opmaakprofiel2 2 20 5 7" xfId="4418"/>
    <cellStyle name="Data   - Opmaakprofiel2 2 20 5 7 2" xfId="13118"/>
    <cellStyle name="Data   - Opmaakprofiel2 2 20 5 7 3" xfId="25170"/>
    <cellStyle name="Data   - Opmaakprofiel2 2 20 5 7 4" xfId="40722"/>
    <cellStyle name="Data   - Opmaakprofiel2 2 20 5 7 5" xfId="39234"/>
    <cellStyle name="Data   - Opmaakprofiel2 2 20 5 8" xfId="9891"/>
    <cellStyle name="Data   - Opmaakprofiel2 2 20 5 8 2" xfId="22189"/>
    <cellStyle name="Data   - Opmaakprofiel2 2 20 5 8 3" xfId="43956"/>
    <cellStyle name="Data   - Opmaakprofiel2 2 20 5 8 4" xfId="31646"/>
    <cellStyle name="Data   - Opmaakprofiel2 2 20 5 8 5" xfId="54856"/>
    <cellStyle name="Data   - Opmaakprofiel2 2 20 5 9" xfId="13112"/>
    <cellStyle name="Data   - Opmaakprofiel2 2 20 6" xfId="459"/>
    <cellStyle name="Data   - Opmaakprofiel2 2 20 6 2" xfId="2122"/>
    <cellStyle name="Data   - Opmaakprofiel2 2 20 6 2 2" xfId="8209"/>
    <cellStyle name="Data   - Opmaakprofiel2 2 20 6 2 2 2" xfId="20507"/>
    <cellStyle name="Data   - Opmaakprofiel2 2 20 6 2 2 3" xfId="32559"/>
    <cellStyle name="Data   - Opmaakprofiel2 2 20 6 2 2 4" xfId="26134"/>
    <cellStyle name="Data   - Opmaakprofiel2 2 20 6 2 2 5" xfId="53174"/>
    <cellStyle name="Data   - Opmaakprofiel2 2 20 6 2 3" xfId="13120"/>
    <cellStyle name="Data   - Opmaakprofiel2 2 20 6 2 4" xfId="25172"/>
    <cellStyle name="Data   - Opmaakprofiel2 2 20 6 2 5" xfId="40721"/>
    <cellStyle name="Data   - Opmaakprofiel2 2 20 6 2 6" xfId="39237"/>
    <cellStyle name="Data   - Opmaakprofiel2 2 20 6 3" xfId="2530"/>
    <cellStyle name="Data   - Opmaakprofiel2 2 20 6 3 2" xfId="8210"/>
    <cellStyle name="Data   - Opmaakprofiel2 2 20 6 3 2 2" xfId="20508"/>
    <cellStyle name="Data   - Opmaakprofiel2 2 20 6 3 2 3" xfId="32560"/>
    <cellStyle name="Data   - Opmaakprofiel2 2 20 6 3 2 4" xfId="43187"/>
    <cellStyle name="Data   - Opmaakprofiel2 2 20 6 3 2 5" xfId="53175"/>
    <cellStyle name="Data   - Opmaakprofiel2 2 20 6 3 3" xfId="13121"/>
    <cellStyle name="Data   - Opmaakprofiel2 2 20 6 3 4" xfId="25173"/>
    <cellStyle name="Data   - Opmaakprofiel2 2 20 6 3 5" xfId="46222"/>
    <cellStyle name="Data   - Opmaakprofiel2 2 20 6 3 6" xfId="45177"/>
    <cellStyle name="Data   - Opmaakprofiel2 2 20 6 4" xfId="3418"/>
    <cellStyle name="Data   - Opmaakprofiel2 2 20 6 4 2" xfId="8211"/>
    <cellStyle name="Data   - Opmaakprofiel2 2 20 6 4 2 2" xfId="20509"/>
    <cellStyle name="Data   - Opmaakprofiel2 2 20 6 4 2 3" xfId="32561"/>
    <cellStyle name="Data   - Opmaakprofiel2 2 20 6 4 2 4" xfId="26135"/>
    <cellStyle name="Data   - Opmaakprofiel2 2 20 6 4 2 5" xfId="53176"/>
    <cellStyle name="Data   - Opmaakprofiel2 2 20 6 4 3" xfId="13122"/>
    <cellStyle name="Data   - Opmaakprofiel2 2 20 6 4 4" xfId="25174"/>
    <cellStyle name="Data   - Opmaakprofiel2 2 20 6 4 5" xfId="40720"/>
    <cellStyle name="Data   - Opmaakprofiel2 2 20 6 4 6" xfId="39241"/>
    <cellStyle name="Data   - Opmaakprofiel2 2 20 6 5" xfId="4419"/>
    <cellStyle name="Data   - Opmaakprofiel2 2 20 6 5 2" xfId="8212"/>
    <cellStyle name="Data   - Opmaakprofiel2 2 20 6 5 2 2" xfId="20510"/>
    <cellStyle name="Data   - Opmaakprofiel2 2 20 6 5 2 3" xfId="32562"/>
    <cellStyle name="Data   - Opmaakprofiel2 2 20 6 5 2 4" xfId="43186"/>
    <cellStyle name="Data   - Opmaakprofiel2 2 20 6 5 2 5" xfId="53177"/>
    <cellStyle name="Data   - Opmaakprofiel2 2 20 6 5 3" xfId="13123"/>
    <cellStyle name="Data   - Opmaakprofiel2 2 20 6 5 4" xfId="25175"/>
    <cellStyle name="Data   - Opmaakprofiel2 2 20 6 5 5" xfId="46221"/>
    <cellStyle name="Data   - Opmaakprofiel2 2 20 6 5 6" xfId="45180"/>
    <cellStyle name="Data   - Opmaakprofiel2 2 20 6 6" xfId="4420"/>
    <cellStyle name="Data   - Opmaakprofiel2 2 20 6 6 2" xfId="8213"/>
    <cellStyle name="Data   - Opmaakprofiel2 2 20 6 6 2 2" xfId="20511"/>
    <cellStyle name="Data   - Opmaakprofiel2 2 20 6 6 2 3" xfId="32563"/>
    <cellStyle name="Data   - Opmaakprofiel2 2 20 6 6 2 4" xfId="19285"/>
    <cellStyle name="Data   - Opmaakprofiel2 2 20 6 6 2 5" xfId="53178"/>
    <cellStyle name="Data   - Opmaakprofiel2 2 20 6 6 3" xfId="13124"/>
    <cellStyle name="Data   - Opmaakprofiel2 2 20 6 6 4" xfId="25176"/>
    <cellStyle name="Data   - Opmaakprofiel2 2 20 6 6 5" xfId="40719"/>
    <cellStyle name="Data   - Opmaakprofiel2 2 20 6 6 6" xfId="39244"/>
    <cellStyle name="Data   - Opmaakprofiel2 2 20 6 7" xfId="4421"/>
    <cellStyle name="Data   - Opmaakprofiel2 2 20 6 7 2" xfId="13125"/>
    <cellStyle name="Data   - Opmaakprofiel2 2 20 6 7 3" xfId="25177"/>
    <cellStyle name="Data   - Opmaakprofiel2 2 20 6 7 4" xfId="46220"/>
    <cellStyle name="Data   - Opmaakprofiel2 2 20 6 7 5" xfId="45182"/>
    <cellStyle name="Data   - Opmaakprofiel2 2 20 6 8" xfId="7676"/>
    <cellStyle name="Data   - Opmaakprofiel2 2 20 6 8 2" xfId="19974"/>
    <cellStyle name="Data   - Opmaakprofiel2 2 20 6 8 3" xfId="41777"/>
    <cellStyle name="Data   - Opmaakprofiel2 2 20 6 8 4" xfId="43409"/>
    <cellStyle name="Data   - Opmaakprofiel2 2 20 6 8 5" xfId="52646"/>
    <cellStyle name="Data   - Opmaakprofiel2 2 20 6 9" xfId="13119"/>
    <cellStyle name="Data   - Opmaakprofiel2 2 20 7" xfId="1474"/>
    <cellStyle name="Data   - Opmaakprofiel2 2 20 7 2" xfId="8214"/>
    <cellStyle name="Data   - Opmaakprofiel2 2 20 7 2 2" xfId="20512"/>
    <cellStyle name="Data   - Opmaakprofiel2 2 20 7 2 3" xfId="32564"/>
    <cellStyle name="Data   - Opmaakprofiel2 2 20 7 2 4" xfId="43185"/>
    <cellStyle name="Data   - Opmaakprofiel2 2 20 7 2 5" xfId="53179"/>
    <cellStyle name="Data   - Opmaakprofiel2 2 20 7 3" xfId="13126"/>
    <cellStyle name="Data   - Opmaakprofiel2 2 20 7 4" xfId="25178"/>
    <cellStyle name="Data   - Opmaakprofiel2 2 20 7 5" xfId="40718"/>
    <cellStyle name="Data   - Opmaakprofiel2 2 20 7 6" xfId="39248"/>
    <cellStyle name="Data   - Opmaakprofiel2 2 20 8" xfId="2769"/>
    <cellStyle name="Data   - Opmaakprofiel2 2 20 8 2" xfId="8215"/>
    <cellStyle name="Data   - Opmaakprofiel2 2 20 8 2 2" xfId="20513"/>
    <cellStyle name="Data   - Opmaakprofiel2 2 20 8 2 3" xfId="32565"/>
    <cellStyle name="Data   - Opmaakprofiel2 2 20 8 2 4" xfId="26136"/>
    <cellStyle name="Data   - Opmaakprofiel2 2 20 8 2 5" xfId="53180"/>
    <cellStyle name="Data   - Opmaakprofiel2 2 20 8 3" xfId="13127"/>
    <cellStyle name="Data   - Opmaakprofiel2 2 20 8 4" xfId="25179"/>
    <cellStyle name="Data   - Opmaakprofiel2 2 20 8 5" xfId="40717"/>
    <cellStyle name="Data   - Opmaakprofiel2 2 20 8 6" xfId="45185"/>
    <cellStyle name="Data   - Opmaakprofiel2 2 20 9" xfId="3631"/>
    <cellStyle name="Data   - Opmaakprofiel2 2 20 9 2" xfId="8216"/>
    <cellStyle name="Data   - Opmaakprofiel2 2 20 9 2 2" xfId="20514"/>
    <cellStyle name="Data   - Opmaakprofiel2 2 20 9 2 3" xfId="32566"/>
    <cellStyle name="Data   - Opmaakprofiel2 2 20 9 2 4" xfId="43184"/>
    <cellStyle name="Data   - Opmaakprofiel2 2 20 9 2 5" xfId="53181"/>
    <cellStyle name="Data   - Opmaakprofiel2 2 20 9 3" xfId="13128"/>
    <cellStyle name="Data   - Opmaakprofiel2 2 20 9 4" xfId="25180"/>
    <cellStyle name="Data   - Opmaakprofiel2 2 20 9 5" xfId="40716"/>
    <cellStyle name="Data   - Opmaakprofiel2 2 20 9 6" xfId="39255"/>
    <cellStyle name="Data   - Opmaakprofiel2 2 21" xfId="812"/>
    <cellStyle name="Data   - Opmaakprofiel2 2 21 10" xfId="4422"/>
    <cellStyle name="Data   - Opmaakprofiel2 2 21 10 2" xfId="8217"/>
    <cellStyle name="Data   - Opmaakprofiel2 2 21 10 2 2" xfId="20515"/>
    <cellStyle name="Data   - Opmaakprofiel2 2 21 10 2 3" xfId="32567"/>
    <cellStyle name="Data   - Opmaakprofiel2 2 21 10 2 4" xfId="26137"/>
    <cellStyle name="Data   - Opmaakprofiel2 2 21 10 2 5" xfId="53182"/>
    <cellStyle name="Data   - Opmaakprofiel2 2 21 10 3" xfId="13130"/>
    <cellStyle name="Data   - Opmaakprofiel2 2 21 10 4" xfId="25182"/>
    <cellStyle name="Data   - Opmaakprofiel2 2 21 10 5" xfId="40715"/>
    <cellStyle name="Data   - Opmaakprofiel2 2 21 10 6" xfId="39257"/>
    <cellStyle name="Data   - Opmaakprofiel2 2 21 11" xfId="4423"/>
    <cellStyle name="Data   - Opmaakprofiel2 2 21 11 2" xfId="8218"/>
    <cellStyle name="Data   - Opmaakprofiel2 2 21 11 2 2" xfId="20516"/>
    <cellStyle name="Data   - Opmaakprofiel2 2 21 11 2 3" xfId="32568"/>
    <cellStyle name="Data   - Opmaakprofiel2 2 21 11 2 4" xfId="26138"/>
    <cellStyle name="Data   - Opmaakprofiel2 2 21 11 2 5" xfId="53183"/>
    <cellStyle name="Data   - Opmaakprofiel2 2 21 11 3" xfId="13131"/>
    <cellStyle name="Data   - Opmaakprofiel2 2 21 11 4" xfId="25183"/>
    <cellStyle name="Data   - Opmaakprofiel2 2 21 11 5" xfId="46218"/>
    <cellStyle name="Data   - Opmaakprofiel2 2 21 11 6" xfId="45189"/>
    <cellStyle name="Data   - Opmaakprofiel2 2 21 12" xfId="4424"/>
    <cellStyle name="Data   - Opmaakprofiel2 2 21 12 2" xfId="13132"/>
    <cellStyle name="Data   - Opmaakprofiel2 2 21 12 3" xfId="25184"/>
    <cellStyle name="Data   - Opmaakprofiel2 2 21 12 4" xfId="40714"/>
    <cellStyle name="Data   - Opmaakprofiel2 2 21 12 5" xfId="45192"/>
    <cellStyle name="Data   - Opmaakprofiel2 2 21 13" xfId="10109"/>
    <cellStyle name="Data   - Opmaakprofiel2 2 21 13 2" xfId="22407"/>
    <cellStyle name="Data   - Opmaakprofiel2 2 21 13 3" xfId="44171"/>
    <cellStyle name="Data   - Opmaakprofiel2 2 21 13 4" xfId="31526"/>
    <cellStyle name="Data   - Opmaakprofiel2 2 21 13 5" xfId="55074"/>
    <cellStyle name="Data   - Opmaakprofiel2 2 21 14" xfId="13129"/>
    <cellStyle name="Data   - Opmaakprofiel2 2 21 2" xfId="971"/>
    <cellStyle name="Data   - Opmaakprofiel2 2 21 2 2" xfId="2315"/>
    <cellStyle name="Data   - Opmaakprofiel2 2 21 2 2 2" xfId="8219"/>
    <cellStyle name="Data   - Opmaakprofiel2 2 21 2 2 2 2" xfId="20517"/>
    <cellStyle name="Data   - Opmaakprofiel2 2 21 2 2 2 3" xfId="32569"/>
    <cellStyle name="Data   - Opmaakprofiel2 2 21 2 2 2 4" xfId="26139"/>
    <cellStyle name="Data   - Opmaakprofiel2 2 21 2 2 2 5" xfId="53184"/>
    <cellStyle name="Data   - Opmaakprofiel2 2 21 2 2 3" xfId="13134"/>
    <cellStyle name="Data   - Opmaakprofiel2 2 21 2 2 4" xfId="25186"/>
    <cellStyle name="Data   - Opmaakprofiel2 2 21 2 2 5" xfId="40713"/>
    <cellStyle name="Data   - Opmaakprofiel2 2 21 2 2 6" xfId="39264"/>
    <cellStyle name="Data   - Opmaakprofiel2 2 21 2 3" xfId="2982"/>
    <cellStyle name="Data   - Opmaakprofiel2 2 21 2 3 2" xfId="8220"/>
    <cellStyle name="Data   - Opmaakprofiel2 2 21 2 3 2 2" xfId="20518"/>
    <cellStyle name="Data   - Opmaakprofiel2 2 21 2 3 2 3" xfId="32570"/>
    <cellStyle name="Data   - Opmaakprofiel2 2 21 2 3 2 4" xfId="43183"/>
    <cellStyle name="Data   - Opmaakprofiel2 2 21 2 3 2 5" xfId="53185"/>
    <cellStyle name="Data   - Opmaakprofiel2 2 21 2 3 3" xfId="13135"/>
    <cellStyle name="Data   - Opmaakprofiel2 2 21 2 3 4" xfId="25187"/>
    <cellStyle name="Data   - Opmaakprofiel2 2 21 2 3 5" xfId="46217"/>
    <cellStyle name="Data   - Opmaakprofiel2 2 21 2 3 6" xfId="45193"/>
    <cellStyle name="Data   - Opmaakprofiel2 2 21 2 4" xfId="3828"/>
    <cellStyle name="Data   - Opmaakprofiel2 2 21 2 4 2" xfId="8221"/>
    <cellStyle name="Data   - Opmaakprofiel2 2 21 2 4 2 2" xfId="20519"/>
    <cellStyle name="Data   - Opmaakprofiel2 2 21 2 4 2 3" xfId="32571"/>
    <cellStyle name="Data   - Opmaakprofiel2 2 21 2 4 2 4" xfId="26140"/>
    <cellStyle name="Data   - Opmaakprofiel2 2 21 2 4 2 5" xfId="53186"/>
    <cellStyle name="Data   - Opmaakprofiel2 2 21 2 4 3" xfId="13136"/>
    <cellStyle name="Data   - Opmaakprofiel2 2 21 2 4 4" xfId="25188"/>
    <cellStyle name="Data   - Opmaakprofiel2 2 21 2 4 5" xfId="40712"/>
    <cellStyle name="Data   - Opmaakprofiel2 2 21 2 4 6" xfId="39265"/>
    <cellStyle name="Data   - Opmaakprofiel2 2 21 2 5" xfId="4425"/>
    <cellStyle name="Data   - Opmaakprofiel2 2 21 2 5 2" xfId="8222"/>
    <cellStyle name="Data   - Opmaakprofiel2 2 21 2 5 2 2" xfId="20520"/>
    <cellStyle name="Data   - Opmaakprofiel2 2 21 2 5 2 3" xfId="32572"/>
    <cellStyle name="Data   - Opmaakprofiel2 2 21 2 5 2 4" xfId="43182"/>
    <cellStyle name="Data   - Opmaakprofiel2 2 21 2 5 2 5" xfId="53187"/>
    <cellStyle name="Data   - Opmaakprofiel2 2 21 2 5 3" xfId="13137"/>
    <cellStyle name="Data   - Opmaakprofiel2 2 21 2 5 4" xfId="25189"/>
    <cellStyle name="Data   - Opmaakprofiel2 2 21 2 5 5" xfId="46216"/>
    <cellStyle name="Data   - Opmaakprofiel2 2 21 2 5 6" xfId="45195"/>
    <cellStyle name="Data   - Opmaakprofiel2 2 21 2 6" xfId="4426"/>
    <cellStyle name="Data   - Opmaakprofiel2 2 21 2 6 2" xfId="8223"/>
    <cellStyle name="Data   - Opmaakprofiel2 2 21 2 6 2 2" xfId="20521"/>
    <cellStyle name="Data   - Opmaakprofiel2 2 21 2 6 2 3" xfId="32573"/>
    <cellStyle name="Data   - Opmaakprofiel2 2 21 2 6 2 4" xfId="26141"/>
    <cellStyle name="Data   - Opmaakprofiel2 2 21 2 6 2 5" xfId="53188"/>
    <cellStyle name="Data   - Opmaakprofiel2 2 21 2 6 3" xfId="13138"/>
    <cellStyle name="Data   - Opmaakprofiel2 2 21 2 6 4" xfId="25190"/>
    <cellStyle name="Data   - Opmaakprofiel2 2 21 2 6 5" xfId="40711"/>
    <cellStyle name="Data   - Opmaakprofiel2 2 21 2 6 6" xfId="39269"/>
    <cellStyle name="Data   - Opmaakprofiel2 2 21 2 7" xfId="4427"/>
    <cellStyle name="Data   - Opmaakprofiel2 2 21 2 7 2" xfId="13139"/>
    <cellStyle name="Data   - Opmaakprofiel2 2 21 2 7 3" xfId="25191"/>
    <cellStyle name="Data   - Opmaakprofiel2 2 21 2 7 4" xfId="40710"/>
    <cellStyle name="Data   - Opmaakprofiel2 2 21 2 7 5" xfId="45198"/>
    <cellStyle name="Data   - Opmaakprofiel2 2 21 2 8" xfId="7331"/>
    <cellStyle name="Data   - Opmaakprofiel2 2 21 2 8 2" xfId="19629"/>
    <cellStyle name="Data   - Opmaakprofiel2 2 21 2 8 3" xfId="41432"/>
    <cellStyle name="Data   - Opmaakprofiel2 2 21 2 8 4" xfId="36841"/>
    <cellStyle name="Data   - Opmaakprofiel2 2 21 2 8 5" xfId="52301"/>
    <cellStyle name="Data   - Opmaakprofiel2 2 21 2 9" xfId="13133"/>
    <cellStyle name="Data   - Opmaakprofiel2 2 21 3" xfId="1067"/>
    <cellStyle name="Data   - Opmaakprofiel2 2 21 3 2" xfId="1761"/>
    <cellStyle name="Data   - Opmaakprofiel2 2 21 3 2 2" xfId="8224"/>
    <cellStyle name="Data   - Opmaakprofiel2 2 21 3 2 2 2" xfId="20522"/>
    <cellStyle name="Data   - Opmaakprofiel2 2 21 3 2 2 3" xfId="32574"/>
    <cellStyle name="Data   - Opmaakprofiel2 2 21 3 2 2 4" xfId="43181"/>
    <cellStyle name="Data   - Opmaakprofiel2 2 21 3 2 2 5" xfId="53189"/>
    <cellStyle name="Data   - Opmaakprofiel2 2 21 3 2 3" xfId="13141"/>
    <cellStyle name="Data   - Opmaakprofiel2 2 21 3 2 4" xfId="25193"/>
    <cellStyle name="Data   - Opmaakprofiel2 2 21 3 2 5" xfId="46215"/>
    <cellStyle name="Data   - Opmaakprofiel2 2 21 3 2 6" xfId="45200"/>
    <cellStyle name="Data   - Opmaakprofiel2 2 21 3 3" xfId="3078"/>
    <cellStyle name="Data   - Opmaakprofiel2 2 21 3 3 2" xfId="8225"/>
    <cellStyle name="Data   - Opmaakprofiel2 2 21 3 3 2 2" xfId="20523"/>
    <cellStyle name="Data   - Opmaakprofiel2 2 21 3 3 2 3" xfId="32575"/>
    <cellStyle name="Data   - Opmaakprofiel2 2 21 3 3 2 4" xfId="26142"/>
    <cellStyle name="Data   - Opmaakprofiel2 2 21 3 3 2 5" xfId="53190"/>
    <cellStyle name="Data   - Opmaakprofiel2 2 21 3 3 3" xfId="13142"/>
    <cellStyle name="Data   - Opmaakprofiel2 2 21 3 3 4" xfId="25194"/>
    <cellStyle name="Data   - Opmaakprofiel2 2 21 3 3 5" xfId="40708"/>
    <cellStyle name="Data   - Opmaakprofiel2 2 21 3 3 6" xfId="39275"/>
    <cellStyle name="Data   - Opmaakprofiel2 2 21 3 4" xfId="3917"/>
    <cellStyle name="Data   - Opmaakprofiel2 2 21 3 4 2" xfId="8226"/>
    <cellStyle name="Data   - Opmaakprofiel2 2 21 3 4 2 2" xfId="20524"/>
    <cellStyle name="Data   - Opmaakprofiel2 2 21 3 4 2 3" xfId="32576"/>
    <cellStyle name="Data   - Opmaakprofiel2 2 21 3 4 2 4" xfId="43180"/>
    <cellStyle name="Data   - Opmaakprofiel2 2 21 3 4 2 5" xfId="53191"/>
    <cellStyle name="Data   - Opmaakprofiel2 2 21 3 4 3" xfId="13143"/>
    <cellStyle name="Data   - Opmaakprofiel2 2 21 3 4 4" xfId="25195"/>
    <cellStyle name="Data   - Opmaakprofiel2 2 21 3 4 5" xfId="46214"/>
    <cellStyle name="Data   - Opmaakprofiel2 2 21 3 4 6" xfId="45203"/>
    <cellStyle name="Data   - Opmaakprofiel2 2 21 3 5" xfId="4428"/>
    <cellStyle name="Data   - Opmaakprofiel2 2 21 3 5 2" xfId="8227"/>
    <cellStyle name="Data   - Opmaakprofiel2 2 21 3 5 2 2" xfId="20525"/>
    <cellStyle name="Data   - Opmaakprofiel2 2 21 3 5 2 3" xfId="32577"/>
    <cellStyle name="Data   - Opmaakprofiel2 2 21 3 5 2 4" xfId="19280"/>
    <cellStyle name="Data   - Opmaakprofiel2 2 21 3 5 2 5" xfId="53192"/>
    <cellStyle name="Data   - Opmaakprofiel2 2 21 3 5 3" xfId="13144"/>
    <cellStyle name="Data   - Opmaakprofiel2 2 21 3 5 4" xfId="25196"/>
    <cellStyle name="Data   - Opmaakprofiel2 2 21 3 5 5" xfId="40707"/>
    <cellStyle name="Data   - Opmaakprofiel2 2 21 3 5 6" xfId="39278"/>
    <cellStyle name="Data   - Opmaakprofiel2 2 21 3 6" xfId="4429"/>
    <cellStyle name="Data   - Opmaakprofiel2 2 21 3 6 2" xfId="8228"/>
    <cellStyle name="Data   - Opmaakprofiel2 2 21 3 6 2 2" xfId="20526"/>
    <cellStyle name="Data   - Opmaakprofiel2 2 21 3 6 2 3" xfId="32578"/>
    <cellStyle name="Data   - Opmaakprofiel2 2 21 3 6 2 4" xfId="43179"/>
    <cellStyle name="Data   - Opmaakprofiel2 2 21 3 6 2 5" xfId="53193"/>
    <cellStyle name="Data   - Opmaakprofiel2 2 21 3 6 3" xfId="13145"/>
    <cellStyle name="Data   - Opmaakprofiel2 2 21 3 6 4" xfId="25197"/>
    <cellStyle name="Data   - Opmaakprofiel2 2 21 3 6 5" xfId="46213"/>
    <cellStyle name="Data   - Opmaakprofiel2 2 21 3 6 6" xfId="45205"/>
    <cellStyle name="Data   - Opmaakprofiel2 2 21 3 7" xfId="4430"/>
    <cellStyle name="Data   - Opmaakprofiel2 2 21 3 7 2" xfId="13146"/>
    <cellStyle name="Data   - Opmaakprofiel2 2 21 3 7 3" xfId="25198"/>
    <cellStyle name="Data   - Opmaakprofiel2 2 21 3 7 4" xfId="40706"/>
    <cellStyle name="Data   - Opmaakprofiel2 2 21 3 7 5" xfId="39282"/>
    <cellStyle name="Data   - Opmaakprofiel2 2 21 3 8" xfId="7264"/>
    <cellStyle name="Data   - Opmaakprofiel2 2 21 3 8 2" xfId="19562"/>
    <cellStyle name="Data   - Opmaakprofiel2 2 21 3 8 3" xfId="41365"/>
    <cellStyle name="Data   - Opmaakprofiel2 2 21 3 8 4" xfId="36880"/>
    <cellStyle name="Data   - Opmaakprofiel2 2 21 3 8 5" xfId="52234"/>
    <cellStyle name="Data   - Opmaakprofiel2 2 21 3 9" xfId="13140"/>
    <cellStyle name="Data   - Opmaakprofiel2 2 21 4" xfId="1059"/>
    <cellStyle name="Data   - Opmaakprofiel2 2 21 4 2" xfId="1936"/>
    <cellStyle name="Data   - Opmaakprofiel2 2 21 4 2 2" xfId="8229"/>
    <cellStyle name="Data   - Opmaakprofiel2 2 21 4 2 2 2" xfId="20527"/>
    <cellStyle name="Data   - Opmaakprofiel2 2 21 4 2 2 3" xfId="32579"/>
    <cellStyle name="Data   - Opmaakprofiel2 2 21 4 2 2 4" xfId="26143"/>
    <cellStyle name="Data   - Opmaakprofiel2 2 21 4 2 2 5" xfId="53194"/>
    <cellStyle name="Data   - Opmaakprofiel2 2 21 4 2 3" xfId="13148"/>
    <cellStyle name="Data   - Opmaakprofiel2 2 21 4 2 4" xfId="25200"/>
    <cellStyle name="Data   - Opmaakprofiel2 2 21 4 2 5" xfId="40705"/>
    <cellStyle name="Data   - Opmaakprofiel2 2 21 4 2 6" xfId="39285"/>
    <cellStyle name="Data   - Opmaakprofiel2 2 21 4 3" xfId="3070"/>
    <cellStyle name="Data   - Opmaakprofiel2 2 21 4 3 2" xfId="8230"/>
    <cellStyle name="Data   - Opmaakprofiel2 2 21 4 3 2 2" xfId="20528"/>
    <cellStyle name="Data   - Opmaakprofiel2 2 21 4 3 2 3" xfId="32580"/>
    <cellStyle name="Data   - Opmaakprofiel2 2 21 4 3 2 4" xfId="19288"/>
    <cellStyle name="Data   - Opmaakprofiel2 2 21 4 3 2 5" xfId="53195"/>
    <cellStyle name="Data   - Opmaakprofiel2 2 21 4 3 3" xfId="13149"/>
    <cellStyle name="Data   - Opmaakprofiel2 2 21 4 3 4" xfId="25201"/>
    <cellStyle name="Data   - Opmaakprofiel2 2 21 4 3 5" xfId="46211"/>
    <cellStyle name="Data   - Opmaakprofiel2 2 21 4 3 6" xfId="45210"/>
    <cellStyle name="Data   - Opmaakprofiel2 2 21 4 4" xfId="3910"/>
    <cellStyle name="Data   - Opmaakprofiel2 2 21 4 4 2" xfId="8231"/>
    <cellStyle name="Data   - Opmaakprofiel2 2 21 4 4 2 2" xfId="20529"/>
    <cellStyle name="Data   - Opmaakprofiel2 2 21 4 4 2 3" xfId="32581"/>
    <cellStyle name="Data   - Opmaakprofiel2 2 21 4 4 2 4" xfId="19278"/>
    <cellStyle name="Data   - Opmaakprofiel2 2 21 4 4 2 5" xfId="53196"/>
    <cellStyle name="Data   - Opmaakprofiel2 2 21 4 4 3" xfId="13150"/>
    <cellStyle name="Data   - Opmaakprofiel2 2 21 4 4 4" xfId="25202"/>
    <cellStyle name="Data   - Opmaakprofiel2 2 21 4 4 5" xfId="40704"/>
    <cellStyle name="Data   - Opmaakprofiel2 2 21 4 4 6" xfId="39291"/>
    <cellStyle name="Data   - Opmaakprofiel2 2 21 4 5" xfId="4431"/>
    <cellStyle name="Data   - Opmaakprofiel2 2 21 4 5 2" xfId="8232"/>
    <cellStyle name="Data   - Opmaakprofiel2 2 21 4 5 2 2" xfId="20530"/>
    <cellStyle name="Data   - Opmaakprofiel2 2 21 4 5 2 3" xfId="32582"/>
    <cellStyle name="Data   - Opmaakprofiel2 2 21 4 5 2 4" xfId="43178"/>
    <cellStyle name="Data   - Opmaakprofiel2 2 21 4 5 2 5" xfId="53197"/>
    <cellStyle name="Data   - Opmaakprofiel2 2 21 4 5 3" xfId="13151"/>
    <cellStyle name="Data   - Opmaakprofiel2 2 21 4 5 4" xfId="25203"/>
    <cellStyle name="Data   - Opmaakprofiel2 2 21 4 5 5" xfId="40703"/>
    <cellStyle name="Data   - Opmaakprofiel2 2 21 4 5 6" xfId="45212"/>
    <cellStyle name="Data   - Opmaakprofiel2 2 21 4 6" xfId="4432"/>
    <cellStyle name="Data   - Opmaakprofiel2 2 21 4 6 2" xfId="8233"/>
    <cellStyle name="Data   - Opmaakprofiel2 2 21 4 6 2 2" xfId="20531"/>
    <cellStyle name="Data   - Opmaakprofiel2 2 21 4 6 2 3" xfId="32583"/>
    <cellStyle name="Data   - Opmaakprofiel2 2 21 4 6 2 4" xfId="26144"/>
    <cellStyle name="Data   - Opmaakprofiel2 2 21 4 6 2 5" xfId="53198"/>
    <cellStyle name="Data   - Opmaakprofiel2 2 21 4 6 3" xfId="13152"/>
    <cellStyle name="Data   - Opmaakprofiel2 2 21 4 6 4" xfId="25204"/>
    <cellStyle name="Data   - Opmaakprofiel2 2 21 4 6 5" xfId="40702"/>
    <cellStyle name="Data   - Opmaakprofiel2 2 21 4 6 6" xfId="39292"/>
    <cellStyle name="Data   - Opmaakprofiel2 2 21 4 7" xfId="4433"/>
    <cellStyle name="Data   - Opmaakprofiel2 2 21 4 7 2" xfId="13153"/>
    <cellStyle name="Data   - Opmaakprofiel2 2 21 4 7 3" xfId="25205"/>
    <cellStyle name="Data   - Opmaakprofiel2 2 21 4 7 4" xfId="46210"/>
    <cellStyle name="Data   - Opmaakprofiel2 2 21 4 7 5" xfId="45214"/>
    <cellStyle name="Data   - Opmaakprofiel2 2 21 4 8" xfId="7270"/>
    <cellStyle name="Data   - Opmaakprofiel2 2 21 4 8 2" xfId="19568"/>
    <cellStyle name="Data   - Opmaakprofiel2 2 21 4 8 3" xfId="41371"/>
    <cellStyle name="Data   - Opmaakprofiel2 2 21 4 8 4" xfId="43579"/>
    <cellStyle name="Data   - Opmaakprofiel2 2 21 4 8 5" xfId="52240"/>
    <cellStyle name="Data   - Opmaakprofiel2 2 21 4 9" xfId="13147"/>
    <cellStyle name="Data   - Opmaakprofiel2 2 21 5" xfId="1236"/>
    <cellStyle name="Data   - Opmaakprofiel2 2 21 5 2" xfId="2129"/>
    <cellStyle name="Data   - Opmaakprofiel2 2 21 5 2 2" xfId="8234"/>
    <cellStyle name="Data   - Opmaakprofiel2 2 21 5 2 2 2" xfId="20532"/>
    <cellStyle name="Data   - Opmaakprofiel2 2 21 5 2 2 3" xfId="32584"/>
    <cellStyle name="Data   - Opmaakprofiel2 2 21 5 2 2 4" xfId="43177"/>
    <cellStyle name="Data   - Opmaakprofiel2 2 21 5 2 2 5" xfId="53199"/>
    <cellStyle name="Data   - Opmaakprofiel2 2 21 5 2 3" xfId="13155"/>
    <cellStyle name="Data   - Opmaakprofiel2 2 21 5 2 4" xfId="25207"/>
    <cellStyle name="Data   - Opmaakprofiel2 2 21 5 2 5" xfId="46209"/>
    <cellStyle name="Data   - Opmaakprofiel2 2 21 5 2 6" xfId="39299"/>
    <cellStyle name="Data   - Opmaakprofiel2 2 21 5 3" xfId="3247"/>
    <cellStyle name="Data   - Opmaakprofiel2 2 21 5 3 2" xfId="8235"/>
    <cellStyle name="Data   - Opmaakprofiel2 2 21 5 3 2 2" xfId="20533"/>
    <cellStyle name="Data   - Opmaakprofiel2 2 21 5 3 2 3" xfId="32585"/>
    <cellStyle name="Data   - Opmaakprofiel2 2 21 5 3 2 4" xfId="26145"/>
    <cellStyle name="Data   - Opmaakprofiel2 2 21 5 3 2 5" xfId="53200"/>
    <cellStyle name="Data   - Opmaakprofiel2 2 21 5 3 3" xfId="13156"/>
    <cellStyle name="Data   - Opmaakprofiel2 2 21 5 3 4" xfId="25208"/>
    <cellStyle name="Data   - Opmaakprofiel2 2 21 5 3 5" xfId="40700"/>
    <cellStyle name="Data   - Opmaakprofiel2 2 21 5 3 6" xfId="45218"/>
    <cellStyle name="Data   - Opmaakprofiel2 2 21 5 4" xfId="4061"/>
    <cellStyle name="Data   - Opmaakprofiel2 2 21 5 4 2" xfId="8236"/>
    <cellStyle name="Data   - Opmaakprofiel2 2 21 5 4 2 2" xfId="20534"/>
    <cellStyle name="Data   - Opmaakprofiel2 2 21 5 4 2 3" xfId="32586"/>
    <cellStyle name="Data   - Opmaakprofiel2 2 21 5 4 2 4" xfId="26146"/>
    <cellStyle name="Data   - Opmaakprofiel2 2 21 5 4 2 5" xfId="53201"/>
    <cellStyle name="Data   - Opmaakprofiel2 2 21 5 4 3" xfId="13157"/>
    <cellStyle name="Data   - Opmaakprofiel2 2 21 5 4 4" xfId="25209"/>
    <cellStyle name="Data   - Opmaakprofiel2 2 21 5 4 5" xfId="46208"/>
    <cellStyle name="Data   - Opmaakprofiel2 2 21 5 4 6" xfId="39302"/>
    <cellStyle name="Data   - Opmaakprofiel2 2 21 5 5" xfId="4434"/>
    <cellStyle name="Data   - Opmaakprofiel2 2 21 5 5 2" xfId="8237"/>
    <cellStyle name="Data   - Opmaakprofiel2 2 21 5 5 2 2" xfId="20535"/>
    <cellStyle name="Data   - Opmaakprofiel2 2 21 5 5 2 3" xfId="32587"/>
    <cellStyle name="Data   - Opmaakprofiel2 2 21 5 5 2 4" xfId="43176"/>
    <cellStyle name="Data   - Opmaakprofiel2 2 21 5 5 2 5" xfId="53202"/>
    <cellStyle name="Data   - Opmaakprofiel2 2 21 5 5 3" xfId="13158"/>
    <cellStyle name="Data   - Opmaakprofiel2 2 21 5 5 4" xfId="25210"/>
    <cellStyle name="Data   - Opmaakprofiel2 2 21 5 5 5" xfId="40699"/>
    <cellStyle name="Data   - Opmaakprofiel2 2 21 5 5 6" xfId="39304"/>
    <cellStyle name="Data   - Opmaakprofiel2 2 21 5 6" xfId="4435"/>
    <cellStyle name="Data   - Opmaakprofiel2 2 21 5 6 2" xfId="8238"/>
    <cellStyle name="Data   - Opmaakprofiel2 2 21 5 6 2 2" xfId="20536"/>
    <cellStyle name="Data   - Opmaakprofiel2 2 21 5 6 2 3" xfId="32588"/>
    <cellStyle name="Data   - Opmaakprofiel2 2 21 5 6 2 4" xfId="26147"/>
    <cellStyle name="Data   - Opmaakprofiel2 2 21 5 6 2 5" xfId="53203"/>
    <cellStyle name="Data   - Opmaakprofiel2 2 21 5 6 3" xfId="13159"/>
    <cellStyle name="Data   - Opmaakprofiel2 2 21 5 6 4" xfId="25211"/>
    <cellStyle name="Data   - Opmaakprofiel2 2 21 5 6 5" xfId="46207"/>
    <cellStyle name="Data   - Opmaakprofiel2 2 21 5 6 6" xfId="45222"/>
    <cellStyle name="Data   - Opmaakprofiel2 2 21 5 7" xfId="4436"/>
    <cellStyle name="Data   - Opmaakprofiel2 2 21 5 7 2" xfId="13160"/>
    <cellStyle name="Data   - Opmaakprofiel2 2 21 5 7 3" xfId="25212"/>
    <cellStyle name="Data   - Opmaakprofiel2 2 21 5 7 4" xfId="40698"/>
    <cellStyle name="Data   - Opmaakprofiel2 2 21 5 7 5" xfId="39308"/>
    <cellStyle name="Data   - Opmaakprofiel2 2 21 5 8" xfId="7138"/>
    <cellStyle name="Data   - Opmaakprofiel2 2 21 5 8 2" xfId="19436"/>
    <cellStyle name="Data   - Opmaakprofiel2 2 21 5 8 3" xfId="41239"/>
    <cellStyle name="Data   - Opmaakprofiel2 2 21 5 8 4" xfId="43634"/>
    <cellStyle name="Data   - Opmaakprofiel2 2 21 5 8 5" xfId="52108"/>
    <cellStyle name="Data   - Opmaakprofiel2 2 21 5 9" xfId="13154"/>
    <cellStyle name="Data   - Opmaakprofiel2 2 21 6" xfId="965"/>
    <cellStyle name="Data   - Opmaakprofiel2 2 21 6 2" xfId="2275"/>
    <cellStyle name="Data   - Opmaakprofiel2 2 21 6 2 2" xfId="8239"/>
    <cellStyle name="Data   - Opmaakprofiel2 2 21 6 2 2 2" xfId="20537"/>
    <cellStyle name="Data   - Opmaakprofiel2 2 21 6 2 2 3" xfId="32589"/>
    <cellStyle name="Data   - Opmaakprofiel2 2 21 6 2 2 4" xfId="43175"/>
    <cellStyle name="Data   - Opmaakprofiel2 2 21 6 2 2 5" xfId="53204"/>
    <cellStyle name="Data   - Opmaakprofiel2 2 21 6 2 3" xfId="13162"/>
    <cellStyle name="Data   - Opmaakprofiel2 2 21 6 2 4" xfId="25214"/>
    <cellStyle name="Data   - Opmaakprofiel2 2 21 6 2 5" xfId="40697"/>
    <cellStyle name="Data   - Opmaakprofiel2 2 21 6 2 6" xfId="39310"/>
    <cellStyle name="Data   - Opmaakprofiel2 2 21 6 3" xfId="2976"/>
    <cellStyle name="Data   - Opmaakprofiel2 2 21 6 3 2" xfId="8240"/>
    <cellStyle name="Data   - Opmaakprofiel2 2 21 6 3 2 2" xfId="20538"/>
    <cellStyle name="Data   - Opmaakprofiel2 2 21 6 3 2 3" xfId="32590"/>
    <cellStyle name="Data   - Opmaakprofiel2 2 21 6 3 2 4" xfId="26148"/>
    <cellStyle name="Data   - Opmaakprofiel2 2 21 6 3 2 5" xfId="53205"/>
    <cellStyle name="Data   - Opmaakprofiel2 2 21 6 3 3" xfId="13163"/>
    <cellStyle name="Data   - Opmaakprofiel2 2 21 6 3 4" xfId="25215"/>
    <cellStyle name="Data   - Opmaakprofiel2 2 21 6 3 5" xfId="40696"/>
    <cellStyle name="Data   - Opmaakprofiel2 2 21 6 3 6" xfId="45225"/>
    <cellStyle name="Data   - Opmaakprofiel2 2 21 6 4" xfId="3822"/>
    <cellStyle name="Data   - Opmaakprofiel2 2 21 6 4 2" xfId="8241"/>
    <cellStyle name="Data   - Opmaakprofiel2 2 21 6 4 2 2" xfId="20539"/>
    <cellStyle name="Data   - Opmaakprofiel2 2 21 6 4 2 3" xfId="32591"/>
    <cellStyle name="Data   - Opmaakprofiel2 2 21 6 4 2 4" xfId="43174"/>
    <cellStyle name="Data   - Opmaakprofiel2 2 21 6 4 2 5" xfId="53206"/>
    <cellStyle name="Data   - Opmaakprofiel2 2 21 6 4 3" xfId="13164"/>
    <cellStyle name="Data   - Opmaakprofiel2 2 21 6 4 4" xfId="25216"/>
    <cellStyle name="Data   - Opmaakprofiel2 2 21 6 4 5" xfId="40695"/>
    <cellStyle name="Data   - Opmaakprofiel2 2 21 6 4 6" xfId="39314"/>
    <cellStyle name="Data   - Opmaakprofiel2 2 21 6 5" xfId="4437"/>
    <cellStyle name="Data   - Opmaakprofiel2 2 21 6 5 2" xfId="8242"/>
    <cellStyle name="Data   - Opmaakprofiel2 2 21 6 5 2 2" xfId="20540"/>
    <cellStyle name="Data   - Opmaakprofiel2 2 21 6 5 2 3" xfId="32592"/>
    <cellStyle name="Data   - Opmaakprofiel2 2 21 6 5 2 4" xfId="26149"/>
    <cellStyle name="Data   - Opmaakprofiel2 2 21 6 5 2 5" xfId="53207"/>
    <cellStyle name="Data   - Opmaakprofiel2 2 21 6 5 3" xfId="13165"/>
    <cellStyle name="Data   - Opmaakprofiel2 2 21 6 5 4" xfId="25217"/>
    <cellStyle name="Data   - Opmaakprofiel2 2 21 6 5 5" xfId="46206"/>
    <cellStyle name="Data   - Opmaakprofiel2 2 21 6 5 6" xfId="39317"/>
    <cellStyle name="Data   - Opmaakprofiel2 2 21 6 6" xfId="4438"/>
    <cellStyle name="Data   - Opmaakprofiel2 2 21 6 6 2" xfId="8243"/>
    <cellStyle name="Data   - Opmaakprofiel2 2 21 6 6 2 2" xfId="20541"/>
    <cellStyle name="Data   - Opmaakprofiel2 2 21 6 6 2 3" xfId="32593"/>
    <cellStyle name="Data   - Opmaakprofiel2 2 21 6 6 2 4" xfId="26150"/>
    <cellStyle name="Data   - Opmaakprofiel2 2 21 6 6 2 5" xfId="53208"/>
    <cellStyle name="Data   - Opmaakprofiel2 2 21 6 6 3" xfId="13166"/>
    <cellStyle name="Data   - Opmaakprofiel2 2 21 6 6 4" xfId="25218"/>
    <cellStyle name="Data   - Opmaakprofiel2 2 21 6 6 5" xfId="40694"/>
    <cellStyle name="Data   - Opmaakprofiel2 2 21 6 6 6" xfId="45230"/>
    <cellStyle name="Data   - Opmaakprofiel2 2 21 6 7" xfId="4439"/>
    <cellStyle name="Data   - Opmaakprofiel2 2 21 6 7 2" xfId="13167"/>
    <cellStyle name="Data   - Opmaakprofiel2 2 21 6 7 3" xfId="25219"/>
    <cellStyle name="Data   - Opmaakprofiel2 2 21 6 7 4" xfId="46205"/>
    <cellStyle name="Data   - Opmaakprofiel2 2 21 6 7 5" xfId="39318"/>
    <cellStyle name="Data   - Opmaakprofiel2 2 21 6 8" xfId="10026"/>
    <cellStyle name="Data   - Opmaakprofiel2 2 21 6 8 2" xfId="22324"/>
    <cellStyle name="Data   - Opmaakprofiel2 2 21 6 8 3" xfId="44088"/>
    <cellStyle name="Data   - Opmaakprofiel2 2 21 6 8 4" xfId="42447"/>
    <cellStyle name="Data   - Opmaakprofiel2 2 21 6 8 5" xfId="54991"/>
    <cellStyle name="Data   - Opmaakprofiel2 2 21 6 9" xfId="13161"/>
    <cellStyle name="Data   - Opmaakprofiel2 2 21 7" xfId="202"/>
    <cellStyle name="Data   - Opmaakprofiel2 2 21 7 2" xfId="8244"/>
    <cellStyle name="Data   - Opmaakprofiel2 2 21 7 2 2" xfId="20542"/>
    <cellStyle name="Data   - Opmaakprofiel2 2 21 7 2 3" xfId="32594"/>
    <cellStyle name="Data   - Opmaakprofiel2 2 21 7 2 4" xfId="43173"/>
    <cellStyle name="Data   - Opmaakprofiel2 2 21 7 2 5" xfId="53209"/>
    <cellStyle name="Data   - Opmaakprofiel2 2 21 7 3" xfId="13168"/>
    <cellStyle name="Data   - Opmaakprofiel2 2 21 7 4" xfId="25220"/>
    <cellStyle name="Data   - Opmaakprofiel2 2 21 7 5" xfId="40693"/>
    <cellStyle name="Data   - Opmaakprofiel2 2 21 7 6" xfId="45231"/>
    <cellStyle name="Data   - Opmaakprofiel2 2 21 8" xfId="2829"/>
    <cellStyle name="Data   - Opmaakprofiel2 2 21 8 2" xfId="8245"/>
    <cellStyle name="Data   - Opmaakprofiel2 2 21 8 2 2" xfId="20543"/>
    <cellStyle name="Data   - Opmaakprofiel2 2 21 8 2 3" xfId="32595"/>
    <cellStyle name="Data   - Opmaakprofiel2 2 21 8 2 4" xfId="26151"/>
    <cellStyle name="Data   - Opmaakprofiel2 2 21 8 2 5" xfId="53210"/>
    <cellStyle name="Data   - Opmaakprofiel2 2 21 8 3" xfId="13169"/>
    <cellStyle name="Data   - Opmaakprofiel2 2 21 8 4" xfId="25221"/>
    <cellStyle name="Data   - Opmaakprofiel2 2 21 8 5" xfId="46204"/>
    <cellStyle name="Data   - Opmaakprofiel2 2 21 8 6" xfId="46587"/>
    <cellStyle name="Data   - Opmaakprofiel2 2 21 9" xfId="3687"/>
    <cellStyle name="Data   - Opmaakprofiel2 2 21 9 2" xfId="8246"/>
    <cellStyle name="Data   - Opmaakprofiel2 2 21 9 2 2" xfId="20544"/>
    <cellStyle name="Data   - Opmaakprofiel2 2 21 9 2 3" xfId="32596"/>
    <cellStyle name="Data   - Opmaakprofiel2 2 21 9 2 4" xfId="43172"/>
    <cellStyle name="Data   - Opmaakprofiel2 2 21 9 2 5" xfId="53211"/>
    <cellStyle name="Data   - Opmaakprofiel2 2 21 9 3" xfId="13170"/>
    <cellStyle name="Data   - Opmaakprofiel2 2 21 9 4" xfId="25222"/>
    <cellStyle name="Data   - Opmaakprofiel2 2 21 9 5" xfId="40692"/>
    <cellStyle name="Data   - Opmaakprofiel2 2 21 9 6" xfId="39319"/>
    <cellStyle name="Data   - Opmaakprofiel2 2 22" xfId="786"/>
    <cellStyle name="Data   - Opmaakprofiel2 2 22 10" xfId="4440"/>
    <cellStyle name="Data   - Opmaakprofiel2 2 22 10 2" xfId="8247"/>
    <cellStyle name="Data   - Opmaakprofiel2 2 22 10 2 2" xfId="20545"/>
    <cellStyle name="Data   - Opmaakprofiel2 2 22 10 2 3" xfId="32597"/>
    <cellStyle name="Data   - Opmaakprofiel2 2 22 10 2 4" xfId="26152"/>
    <cellStyle name="Data   - Opmaakprofiel2 2 22 10 2 5" xfId="53212"/>
    <cellStyle name="Data   - Opmaakprofiel2 2 22 10 3" xfId="13172"/>
    <cellStyle name="Data   - Opmaakprofiel2 2 22 10 4" xfId="25224"/>
    <cellStyle name="Data   - Opmaakprofiel2 2 22 10 5" xfId="40691"/>
    <cellStyle name="Data   - Opmaakprofiel2 2 22 10 6" xfId="39320"/>
    <cellStyle name="Data   - Opmaakprofiel2 2 22 11" xfId="4441"/>
    <cellStyle name="Data   - Opmaakprofiel2 2 22 11 2" xfId="8248"/>
    <cellStyle name="Data   - Opmaakprofiel2 2 22 11 2 2" xfId="20546"/>
    <cellStyle name="Data   - Opmaakprofiel2 2 22 11 2 3" xfId="32598"/>
    <cellStyle name="Data   - Opmaakprofiel2 2 22 11 2 4" xfId="43171"/>
    <cellStyle name="Data   - Opmaakprofiel2 2 22 11 2 5" xfId="53213"/>
    <cellStyle name="Data   - Opmaakprofiel2 2 22 11 3" xfId="13173"/>
    <cellStyle name="Data   - Opmaakprofiel2 2 22 11 4" xfId="25225"/>
    <cellStyle name="Data   - Opmaakprofiel2 2 22 11 5" xfId="46202"/>
    <cellStyle name="Data   - Opmaakprofiel2 2 22 11 6" xfId="45232"/>
    <cellStyle name="Data   - Opmaakprofiel2 2 22 12" xfId="4442"/>
    <cellStyle name="Data   - Opmaakprofiel2 2 22 12 2" xfId="13174"/>
    <cellStyle name="Data   - Opmaakprofiel2 2 22 12 3" xfId="25226"/>
    <cellStyle name="Data   - Opmaakprofiel2 2 22 12 4" xfId="40690"/>
    <cellStyle name="Data   - Opmaakprofiel2 2 22 12 5" xfId="41086"/>
    <cellStyle name="Data   - Opmaakprofiel2 2 22 13" xfId="7456"/>
    <cellStyle name="Data   - Opmaakprofiel2 2 22 13 2" xfId="19754"/>
    <cellStyle name="Data   - Opmaakprofiel2 2 22 13 3" xfId="41557"/>
    <cellStyle name="Data   - Opmaakprofiel2 2 22 13 4" xfId="43501"/>
    <cellStyle name="Data   - Opmaakprofiel2 2 22 13 5" xfId="52426"/>
    <cellStyle name="Data   - Opmaakprofiel2 2 22 14" xfId="13171"/>
    <cellStyle name="Data   - Opmaakprofiel2 2 22 2" xfId="949"/>
    <cellStyle name="Data   - Opmaakprofiel2 2 22 2 2" xfId="1935"/>
    <cellStyle name="Data   - Opmaakprofiel2 2 22 2 2 2" xfId="8249"/>
    <cellStyle name="Data   - Opmaakprofiel2 2 22 2 2 2 2" xfId="20547"/>
    <cellStyle name="Data   - Opmaakprofiel2 2 22 2 2 2 3" xfId="32599"/>
    <cellStyle name="Data   - Opmaakprofiel2 2 22 2 2 2 4" xfId="26153"/>
    <cellStyle name="Data   - Opmaakprofiel2 2 22 2 2 2 5" xfId="53214"/>
    <cellStyle name="Data   - Opmaakprofiel2 2 22 2 2 3" xfId="13176"/>
    <cellStyle name="Data   - Opmaakprofiel2 2 22 2 2 4" xfId="25228"/>
    <cellStyle name="Data   - Opmaakprofiel2 2 22 2 2 5" xfId="40688"/>
    <cellStyle name="Data   - Opmaakprofiel2 2 22 2 2 6" xfId="45233"/>
    <cellStyle name="Data   - Opmaakprofiel2 2 22 2 3" xfId="2960"/>
    <cellStyle name="Data   - Opmaakprofiel2 2 22 2 3 2" xfId="8250"/>
    <cellStyle name="Data   - Opmaakprofiel2 2 22 2 3 2 2" xfId="20548"/>
    <cellStyle name="Data   - Opmaakprofiel2 2 22 2 3 2 3" xfId="32600"/>
    <cellStyle name="Data   - Opmaakprofiel2 2 22 2 3 2 4" xfId="43170"/>
    <cellStyle name="Data   - Opmaakprofiel2 2 22 2 3 2 5" xfId="53215"/>
    <cellStyle name="Data   - Opmaakprofiel2 2 22 2 3 3" xfId="13177"/>
    <cellStyle name="Data   - Opmaakprofiel2 2 22 2 3 4" xfId="25229"/>
    <cellStyle name="Data   - Opmaakprofiel2 2 22 2 3 5" xfId="46201"/>
    <cellStyle name="Data   - Opmaakprofiel2 2 22 2 3 6" xfId="39321"/>
    <cellStyle name="Data   - Opmaakprofiel2 2 22 2 4" xfId="3806"/>
    <cellStyle name="Data   - Opmaakprofiel2 2 22 2 4 2" xfId="8251"/>
    <cellStyle name="Data   - Opmaakprofiel2 2 22 2 4 2 2" xfId="20549"/>
    <cellStyle name="Data   - Opmaakprofiel2 2 22 2 4 2 3" xfId="32601"/>
    <cellStyle name="Data   - Opmaakprofiel2 2 22 2 4 2 4" xfId="26154"/>
    <cellStyle name="Data   - Opmaakprofiel2 2 22 2 4 2 5" xfId="53216"/>
    <cellStyle name="Data   - Opmaakprofiel2 2 22 2 4 3" xfId="13178"/>
    <cellStyle name="Data   - Opmaakprofiel2 2 22 2 4 4" xfId="25230"/>
    <cellStyle name="Data   - Opmaakprofiel2 2 22 2 4 5" xfId="40687"/>
    <cellStyle name="Data   - Opmaakprofiel2 2 22 2 4 6" xfId="45234"/>
    <cellStyle name="Data   - Opmaakprofiel2 2 22 2 5" xfId="4443"/>
    <cellStyle name="Data   - Opmaakprofiel2 2 22 2 5 2" xfId="8252"/>
    <cellStyle name="Data   - Opmaakprofiel2 2 22 2 5 2 2" xfId="20550"/>
    <cellStyle name="Data   - Opmaakprofiel2 2 22 2 5 2 3" xfId="32602"/>
    <cellStyle name="Data   - Opmaakprofiel2 2 22 2 5 2 4" xfId="43169"/>
    <cellStyle name="Data   - Opmaakprofiel2 2 22 2 5 2 5" xfId="53217"/>
    <cellStyle name="Data   - Opmaakprofiel2 2 22 2 5 3" xfId="13179"/>
    <cellStyle name="Data   - Opmaakprofiel2 2 22 2 5 4" xfId="25231"/>
    <cellStyle name="Data   - Opmaakprofiel2 2 22 2 5 5" xfId="46200"/>
    <cellStyle name="Data   - Opmaakprofiel2 2 22 2 5 6" xfId="39322"/>
    <cellStyle name="Data   - Opmaakprofiel2 2 22 2 6" xfId="4444"/>
    <cellStyle name="Data   - Opmaakprofiel2 2 22 2 6 2" xfId="8253"/>
    <cellStyle name="Data   - Opmaakprofiel2 2 22 2 6 2 2" xfId="20551"/>
    <cellStyle name="Data   - Opmaakprofiel2 2 22 2 6 2 3" xfId="32603"/>
    <cellStyle name="Data   - Opmaakprofiel2 2 22 2 6 2 4" xfId="26155"/>
    <cellStyle name="Data   - Opmaakprofiel2 2 22 2 6 2 5" xfId="53218"/>
    <cellStyle name="Data   - Opmaakprofiel2 2 22 2 6 3" xfId="13180"/>
    <cellStyle name="Data   - Opmaakprofiel2 2 22 2 6 4" xfId="25232"/>
    <cellStyle name="Data   - Opmaakprofiel2 2 22 2 6 5" xfId="40686"/>
    <cellStyle name="Data   - Opmaakprofiel2 2 22 2 6 6" xfId="45235"/>
    <cellStyle name="Data   - Opmaakprofiel2 2 22 2 7" xfId="4445"/>
    <cellStyle name="Data   - Opmaakprofiel2 2 22 2 7 2" xfId="13181"/>
    <cellStyle name="Data   - Opmaakprofiel2 2 22 2 7 3" xfId="25233"/>
    <cellStyle name="Data   - Opmaakprofiel2 2 22 2 7 4" xfId="40685"/>
    <cellStyle name="Data   - Opmaakprofiel2 2 22 2 7 5" xfId="39323"/>
    <cellStyle name="Data   - Opmaakprofiel2 2 22 2 8" xfId="7346"/>
    <cellStyle name="Data   - Opmaakprofiel2 2 22 2 8 2" xfId="19644"/>
    <cellStyle name="Data   - Opmaakprofiel2 2 22 2 8 3" xfId="41447"/>
    <cellStyle name="Data   - Opmaakprofiel2 2 22 2 8 4" xfId="43547"/>
    <cellStyle name="Data   - Opmaakprofiel2 2 22 2 8 5" xfId="52316"/>
    <cellStyle name="Data   - Opmaakprofiel2 2 22 2 9" xfId="13175"/>
    <cellStyle name="Data   - Opmaakprofiel2 2 22 3" xfId="1045"/>
    <cellStyle name="Data   - Opmaakprofiel2 2 22 3 2" xfId="1819"/>
    <cellStyle name="Data   - Opmaakprofiel2 2 22 3 2 2" xfId="8254"/>
    <cellStyle name="Data   - Opmaakprofiel2 2 22 3 2 2 2" xfId="20552"/>
    <cellStyle name="Data   - Opmaakprofiel2 2 22 3 2 2 3" xfId="32604"/>
    <cellStyle name="Data   - Opmaakprofiel2 2 22 3 2 2 4" xfId="26156"/>
    <cellStyle name="Data   - Opmaakprofiel2 2 22 3 2 2 5" xfId="53219"/>
    <cellStyle name="Data   - Opmaakprofiel2 2 22 3 2 3" xfId="13183"/>
    <cellStyle name="Data   - Opmaakprofiel2 2 22 3 2 4" xfId="25235"/>
    <cellStyle name="Data   - Opmaakprofiel2 2 22 3 2 5" xfId="46199"/>
    <cellStyle name="Data   - Opmaakprofiel2 2 22 3 2 6" xfId="39324"/>
    <cellStyle name="Data   - Opmaakprofiel2 2 22 3 3" xfId="3056"/>
    <cellStyle name="Data   - Opmaakprofiel2 2 22 3 3 2" xfId="8255"/>
    <cellStyle name="Data   - Opmaakprofiel2 2 22 3 3 2 2" xfId="20553"/>
    <cellStyle name="Data   - Opmaakprofiel2 2 22 3 3 2 3" xfId="32605"/>
    <cellStyle name="Data   - Opmaakprofiel2 2 22 3 3 2 4" xfId="26157"/>
    <cellStyle name="Data   - Opmaakprofiel2 2 22 3 3 2 5" xfId="53220"/>
    <cellStyle name="Data   - Opmaakprofiel2 2 22 3 3 3" xfId="13184"/>
    <cellStyle name="Data   - Opmaakprofiel2 2 22 3 3 4" xfId="25236"/>
    <cellStyle name="Data   - Opmaakprofiel2 2 22 3 3 5" xfId="40683"/>
    <cellStyle name="Data   - Opmaakprofiel2 2 22 3 3 6" xfId="39325"/>
    <cellStyle name="Data   - Opmaakprofiel2 2 22 3 4" xfId="3897"/>
    <cellStyle name="Data   - Opmaakprofiel2 2 22 3 4 2" xfId="8256"/>
    <cellStyle name="Data   - Opmaakprofiel2 2 22 3 4 2 2" xfId="20554"/>
    <cellStyle name="Data   - Opmaakprofiel2 2 22 3 4 2 3" xfId="32606"/>
    <cellStyle name="Data   - Opmaakprofiel2 2 22 3 4 2 4" xfId="43168"/>
    <cellStyle name="Data   - Opmaakprofiel2 2 22 3 4 2 5" xfId="53221"/>
    <cellStyle name="Data   - Opmaakprofiel2 2 22 3 4 3" xfId="13185"/>
    <cellStyle name="Data   - Opmaakprofiel2 2 22 3 4 4" xfId="25237"/>
    <cellStyle name="Data   - Opmaakprofiel2 2 22 3 4 5" xfId="46198"/>
    <cellStyle name="Data   - Opmaakprofiel2 2 22 3 4 6" xfId="39326"/>
    <cellStyle name="Data   - Opmaakprofiel2 2 22 3 5" xfId="4446"/>
    <cellStyle name="Data   - Opmaakprofiel2 2 22 3 5 2" xfId="8257"/>
    <cellStyle name="Data   - Opmaakprofiel2 2 22 3 5 2 2" xfId="20555"/>
    <cellStyle name="Data   - Opmaakprofiel2 2 22 3 5 2 3" xfId="32607"/>
    <cellStyle name="Data   - Opmaakprofiel2 2 22 3 5 2 4" xfId="26158"/>
    <cellStyle name="Data   - Opmaakprofiel2 2 22 3 5 2 5" xfId="53222"/>
    <cellStyle name="Data   - Opmaakprofiel2 2 22 3 5 3" xfId="13186"/>
    <cellStyle name="Data   - Opmaakprofiel2 2 22 3 5 4" xfId="25238"/>
    <cellStyle name="Data   - Opmaakprofiel2 2 22 3 5 5" xfId="40682"/>
    <cellStyle name="Data   - Opmaakprofiel2 2 22 3 5 6" xfId="45236"/>
    <cellStyle name="Data   - Opmaakprofiel2 2 22 3 6" xfId="4447"/>
    <cellStyle name="Data   - Opmaakprofiel2 2 22 3 6 2" xfId="8258"/>
    <cellStyle name="Data   - Opmaakprofiel2 2 22 3 6 2 2" xfId="20556"/>
    <cellStyle name="Data   - Opmaakprofiel2 2 22 3 6 2 3" xfId="32608"/>
    <cellStyle name="Data   - Opmaakprofiel2 2 22 3 6 2 4" xfId="43167"/>
    <cellStyle name="Data   - Opmaakprofiel2 2 22 3 6 2 5" xfId="53223"/>
    <cellStyle name="Data   - Opmaakprofiel2 2 22 3 6 3" xfId="13187"/>
    <cellStyle name="Data   - Opmaakprofiel2 2 22 3 6 4" xfId="25239"/>
    <cellStyle name="Data   - Opmaakprofiel2 2 22 3 6 5" xfId="46197"/>
    <cellStyle name="Data   - Opmaakprofiel2 2 22 3 6 6" xfId="39327"/>
    <cellStyle name="Data   - Opmaakprofiel2 2 22 3 7" xfId="4448"/>
    <cellStyle name="Data   - Opmaakprofiel2 2 22 3 7 2" xfId="13188"/>
    <cellStyle name="Data   - Opmaakprofiel2 2 22 3 7 3" xfId="25240"/>
    <cellStyle name="Data   - Opmaakprofiel2 2 22 3 7 4" xfId="40681"/>
    <cellStyle name="Data   - Opmaakprofiel2 2 22 3 7 5" xfId="45237"/>
    <cellStyle name="Data   - Opmaakprofiel2 2 22 3 8" xfId="7279"/>
    <cellStyle name="Data   - Opmaakprofiel2 2 22 3 8 2" xfId="19577"/>
    <cellStyle name="Data   - Opmaakprofiel2 2 22 3 8 3" xfId="41380"/>
    <cellStyle name="Data   - Opmaakprofiel2 2 22 3 8 4" xfId="36871"/>
    <cellStyle name="Data   - Opmaakprofiel2 2 22 3 8 5" xfId="52249"/>
    <cellStyle name="Data   - Opmaakprofiel2 2 22 3 9" xfId="13182"/>
    <cellStyle name="Data   - Opmaakprofiel2 2 22 4" xfId="1094"/>
    <cellStyle name="Data   - Opmaakprofiel2 2 22 4 2" xfId="1553"/>
    <cellStyle name="Data   - Opmaakprofiel2 2 22 4 2 2" xfId="8259"/>
    <cellStyle name="Data   - Opmaakprofiel2 2 22 4 2 2 2" xfId="20557"/>
    <cellStyle name="Data   - Opmaakprofiel2 2 22 4 2 2 3" xfId="32609"/>
    <cellStyle name="Data   - Opmaakprofiel2 2 22 4 2 2 4" xfId="26159"/>
    <cellStyle name="Data   - Opmaakprofiel2 2 22 4 2 2 5" xfId="53224"/>
    <cellStyle name="Data   - Opmaakprofiel2 2 22 4 2 3" xfId="13190"/>
    <cellStyle name="Data   - Opmaakprofiel2 2 22 4 2 4" xfId="25242"/>
    <cellStyle name="Data   - Opmaakprofiel2 2 22 4 2 5" xfId="40680"/>
    <cellStyle name="Data   - Opmaakprofiel2 2 22 4 2 6" xfId="45238"/>
    <cellStyle name="Data   - Opmaakprofiel2 2 22 4 3" xfId="3105"/>
    <cellStyle name="Data   - Opmaakprofiel2 2 22 4 3 2" xfId="8260"/>
    <cellStyle name="Data   - Opmaakprofiel2 2 22 4 3 2 2" xfId="20558"/>
    <cellStyle name="Data   - Opmaakprofiel2 2 22 4 3 2 3" xfId="32610"/>
    <cellStyle name="Data   - Opmaakprofiel2 2 22 4 3 2 4" xfId="43166"/>
    <cellStyle name="Data   - Opmaakprofiel2 2 22 4 3 2 5" xfId="53225"/>
    <cellStyle name="Data   - Opmaakprofiel2 2 22 4 3 3" xfId="13191"/>
    <cellStyle name="Data   - Opmaakprofiel2 2 22 4 3 4" xfId="25243"/>
    <cellStyle name="Data   - Opmaakprofiel2 2 22 4 3 5" xfId="46195"/>
    <cellStyle name="Data   - Opmaakprofiel2 2 22 4 3 6" xfId="39328"/>
    <cellStyle name="Data   - Opmaakprofiel2 2 22 4 4" xfId="3942"/>
    <cellStyle name="Data   - Opmaakprofiel2 2 22 4 4 2" xfId="8261"/>
    <cellStyle name="Data   - Opmaakprofiel2 2 22 4 4 2 2" xfId="20559"/>
    <cellStyle name="Data   - Opmaakprofiel2 2 22 4 4 2 3" xfId="32611"/>
    <cellStyle name="Data   - Opmaakprofiel2 2 22 4 4 2 4" xfId="26160"/>
    <cellStyle name="Data   - Opmaakprofiel2 2 22 4 4 2 5" xfId="53226"/>
    <cellStyle name="Data   - Opmaakprofiel2 2 22 4 4 3" xfId="13192"/>
    <cellStyle name="Data   - Opmaakprofiel2 2 22 4 4 4" xfId="25244"/>
    <cellStyle name="Data   - Opmaakprofiel2 2 22 4 4 5" xfId="40679"/>
    <cellStyle name="Data   - Opmaakprofiel2 2 22 4 4 6" xfId="45239"/>
    <cellStyle name="Data   - Opmaakprofiel2 2 22 4 5" xfId="4449"/>
    <cellStyle name="Data   - Opmaakprofiel2 2 22 4 5 2" xfId="8262"/>
    <cellStyle name="Data   - Opmaakprofiel2 2 22 4 5 2 2" xfId="20560"/>
    <cellStyle name="Data   - Opmaakprofiel2 2 22 4 5 2 3" xfId="32612"/>
    <cellStyle name="Data   - Opmaakprofiel2 2 22 4 5 2 4" xfId="43165"/>
    <cellStyle name="Data   - Opmaakprofiel2 2 22 4 5 2 5" xfId="53227"/>
    <cellStyle name="Data   - Opmaakprofiel2 2 22 4 5 3" xfId="13193"/>
    <cellStyle name="Data   - Opmaakprofiel2 2 22 4 5 4" xfId="25245"/>
    <cellStyle name="Data   - Opmaakprofiel2 2 22 4 5 5" xfId="40678"/>
    <cellStyle name="Data   - Opmaakprofiel2 2 22 4 5 6" xfId="39329"/>
    <cellStyle name="Data   - Opmaakprofiel2 2 22 4 6" xfId="4450"/>
    <cellStyle name="Data   - Opmaakprofiel2 2 22 4 6 2" xfId="8263"/>
    <cellStyle name="Data   - Opmaakprofiel2 2 22 4 6 2 2" xfId="20561"/>
    <cellStyle name="Data   - Opmaakprofiel2 2 22 4 6 2 3" xfId="32613"/>
    <cellStyle name="Data   - Opmaakprofiel2 2 22 4 6 2 4" xfId="26161"/>
    <cellStyle name="Data   - Opmaakprofiel2 2 22 4 6 2 5" xfId="53228"/>
    <cellStyle name="Data   - Opmaakprofiel2 2 22 4 6 3" xfId="13194"/>
    <cellStyle name="Data   - Opmaakprofiel2 2 22 4 6 4" xfId="25246"/>
    <cellStyle name="Data   - Opmaakprofiel2 2 22 4 6 5" xfId="46194"/>
    <cellStyle name="Data   - Opmaakprofiel2 2 22 4 6 6" xfId="45240"/>
    <cellStyle name="Data   - Opmaakprofiel2 2 22 4 7" xfId="4451"/>
    <cellStyle name="Data   - Opmaakprofiel2 2 22 4 7 2" xfId="13195"/>
    <cellStyle name="Data   - Opmaakprofiel2 2 22 4 7 3" xfId="25247"/>
    <cellStyle name="Data   - Opmaakprofiel2 2 22 4 7 4" xfId="40677"/>
    <cellStyle name="Data   - Opmaakprofiel2 2 22 4 7 5" xfId="39330"/>
    <cellStyle name="Data   - Opmaakprofiel2 2 22 4 8" xfId="7247"/>
    <cellStyle name="Data   - Opmaakprofiel2 2 22 4 8 2" xfId="19545"/>
    <cellStyle name="Data   - Opmaakprofiel2 2 22 4 8 3" xfId="41348"/>
    <cellStyle name="Data   - Opmaakprofiel2 2 22 4 8 4" xfId="36890"/>
    <cellStyle name="Data   - Opmaakprofiel2 2 22 4 8 5" xfId="52217"/>
    <cellStyle name="Data   - Opmaakprofiel2 2 22 4 9" xfId="13189"/>
    <cellStyle name="Data   - Opmaakprofiel2 2 22 5" xfId="1216"/>
    <cellStyle name="Data   - Opmaakprofiel2 2 22 5 2" xfId="1772"/>
    <cellStyle name="Data   - Opmaakprofiel2 2 22 5 2 2" xfId="8264"/>
    <cellStyle name="Data   - Opmaakprofiel2 2 22 5 2 2 2" xfId="20562"/>
    <cellStyle name="Data   - Opmaakprofiel2 2 22 5 2 2 3" xfId="32614"/>
    <cellStyle name="Data   - Opmaakprofiel2 2 22 5 2 2 4" xfId="43164"/>
    <cellStyle name="Data   - Opmaakprofiel2 2 22 5 2 2 5" xfId="53229"/>
    <cellStyle name="Data   - Opmaakprofiel2 2 22 5 2 3" xfId="13197"/>
    <cellStyle name="Data   - Opmaakprofiel2 2 22 5 2 4" xfId="25249"/>
    <cellStyle name="Data   - Opmaakprofiel2 2 22 5 2 5" xfId="40676"/>
    <cellStyle name="Data   - Opmaakprofiel2 2 22 5 2 6" xfId="39331"/>
    <cellStyle name="Data   - Opmaakprofiel2 2 22 5 3" xfId="3227"/>
    <cellStyle name="Data   - Opmaakprofiel2 2 22 5 3 2" xfId="8265"/>
    <cellStyle name="Data   - Opmaakprofiel2 2 22 5 3 2 2" xfId="20563"/>
    <cellStyle name="Data   - Opmaakprofiel2 2 22 5 3 2 3" xfId="32615"/>
    <cellStyle name="Data   - Opmaakprofiel2 2 22 5 3 2 4" xfId="26162"/>
    <cellStyle name="Data   - Opmaakprofiel2 2 22 5 3 2 5" xfId="53230"/>
    <cellStyle name="Data   - Opmaakprofiel2 2 22 5 3 3" xfId="13198"/>
    <cellStyle name="Data   - Opmaakprofiel2 2 22 5 3 4" xfId="25250"/>
    <cellStyle name="Data   - Opmaakprofiel2 2 22 5 3 5" xfId="46192"/>
    <cellStyle name="Data   - Opmaakprofiel2 2 22 5 3 6" xfId="45241"/>
    <cellStyle name="Data   - Opmaakprofiel2 2 22 5 4" xfId="4042"/>
    <cellStyle name="Data   - Opmaakprofiel2 2 22 5 4 2" xfId="8266"/>
    <cellStyle name="Data   - Opmaakprofiel2 2 22 5 4 2 2" xfId="20564"/>
    <cellStyle name="Data   - Opmaakprofiel2 2 22 5 4 2 3" xfId="32616"/>
    <cellStyle name="Data   - Opmaakprofiel2 2 22 5 4 2 4" xfId="26163"/>
    <cellStyle name="Data   - Opmaakprofiel2 2 22 5 4 2 5" xfId="53231"/>
    <cellStyle name="Data   - Opmaakprofiel2 2 22 5 4 3" xfId="13199"/>
    <cellStyle name="Data   - Opmaakprofiel2 2 22 5 4 4" xfId="25251"/>
    <cellStyle name="Data   - Opmaakprofiel2 2 22 5 4 5" xfId="40675"/>
    <cellStyle name="Data   - Opmaakprofiel2 2 22 5 4 6" xfId="39332"/>
    <cellStyle name="Data   - Opmaakprofiel2 2 22 5 5" xfId="4452"/>
    <cellStyle name="Data   - Opmaakprofiel2 2 22 5 5 2" xfId="8267"/>
    <cellStyle name="Data   - Opmaakprofiel2 2 22 5 5 2 2" xfId="20565"/>
    <cellStyle name="Data   - Opmaakprofiel2 2 22 5 5 2 3" xfId="32617"/>
    <cellStyle name="Data   - Opmaakprofiel2 2 22 5 5 2 4" xfId="26164"/>
    <cellStyle name="Data   - Opmaakprofiel2 2 22 5 5 2 5" xfId="53232"/>
    <cellStyle name="Data   - Opmaakprofiel2 2 22 5 5 3" xfId="13200"/>
    <cellStyle name="Data   - Opmaakprofiel2 2 22 5 5 4" xfId="25252"/>
    <cellStyle name="Data   - Opmaakprofiel2 2 22 5 5 5" xfId="46191"/>
    <cellStyle name="Data   - Opmaakprofiel2 2 22 5 5 6" xfId="45242"/>
    <cellStyle name="Data   - Opmaakprofiel2 2 22 5 6" xfId="4453"/>
    <cellStyle name="Data   - Opmaakprofiel2 2 22 5 6 2" xfId="8268"/>
    <cellStyle name="Data   - Opmaakprofiel2 2 22 5 6 2 2" xfId="20566"/>
    <cellStyle name="Data   - Opmaakprofiel2 2 22 5 6 2 3" xfId="32618"/>
    <cellStyle name="Data   - Opmaakprofiel2 2 22 5 6 2 4" xfId="43163"/>
    <cellStyle name="Data   - Opmaakprofiel2 2 22 5 6 2 5" xfId="53233"/>
    <cellStyle name="Data   - Opmaakprofiel2 2 22 5 6 3" xfId="13201"/>
    <cellStyle name="Data   - Opmaakprofiel2 2 22 5 6 4" xfId="25253"/>
    <cellStyle name="Data   - Opmaakprofiel2 2 22 5 6 5" xfId="40674"/>
    <cellStyle name="Data   - Opmaakprofiel2 2 22 5 6 6" xfId="39333"/>
    <cellStyle name="Data   - Opmaakprofiel2 2 22 5 7" xfId="4454"/>
    <cellStyle name="Data   - Opmaakprofiel2 2 22 5 7 2" xfId="13202"/>
    <cellStyle name="Data   - Opmaakprofiel2 2 22 5 7 3" xfId="25254"/>
    <cellStyle name="Data   - Opmaakprofiel2 2 22 5 7 4" xfId="46190"/>
    <cellStyle name="Data   - Opmaakprofiel2 2 22 5 7 5" xfId="45243"/>
    <cellStyle name="Data   - Opmaakprofiel2 2 22 5 8" xfId="7158"/>
    <cellStyle name="Data   - Opmaakprofiel2 2 22 5 8 2" xfId="19456"/>
    <cellStyle name="Data   - Opmaakprofiel2 2 22 5 8 3" xfId="41259"/>
    <cellStyle name="Data   - Opmaakprofiel2 2 22 5 8 4" xfId="43626"/>
    <cellStyle name="Data   - Opmaakprofiel2 2 22 5 8 5" xfId="52128"/>
    <cellStyle name="Data   - Opmaakprofiel2 2 22 5 9" xfId="13196"/>
    <cellStyle name="Data   - Opmaakprofiel2 2 22 6" xfId="1093"/>
    <cellStyle name="Data   - Opmaakprofiel2 2 22 6 2" xfId="1643"/>
    <cellStyle name="Data   - Opmaakprofiel2 2 22 6 2 2" xfId="8269"/>
    <cellStyle name="Data   - Opmaakprofiel2 2 22 6 2 2 2" xfId="20567"/>
    <cellStyle name="Data   - Opmaakprofiel2 2 22 6 2 2 3" xfId="32619"/>
    <cellStyle name="Data   - Opmaakprofiel2 2 22 6 2 2 4" xfId="32145"/>
    <cellStyle name="Data   - Opmaakprofiel2 2 22 6 2 2 5" xfId="53234"/>
    <cellStyle name="Data   - Opmaakprofiel2 2 22 6 2 3" xfId="13204"/>
    <cellStyle name="Data   - Opmaakprofiel2 2 22 6 2 4" xfId="25256"/>
    <cellStyle name="Data   - Opmaakprofiel2 2 22 6 2 5" xfId="40672"/>
    <cellStyle name="Data   - Opmaakprofiel2 2 22 6 2 6" xfId="43638"/>
    <cellStyle name="Data   - Opmaakprofiel2 2 22 6 3" xfId="3104"/>
    <cellStyle name="Data   - Opmaakprofiel2 2 22 6 3 2" xfId="8270"/>
    <cellStyle name="Data   - Opmaakprofiel2 2 22 6 3 2 2" xfId="20568"/>
    <cellStyle name="Data   - Opmaakprofiel2 2 22 6 3 2 3" xfId="32620"/>
    <cellStyle name="Data   - Opmaakprofiel2 2 22 6 3 2 4" xfId="43162"/>
    <cellStyle name="Data   - Opmaakprofiel2 2 22 6 3 2 5" xfId="53235"/>
    <cellStyle name="Data   - Opmaakprofiel2 2 22 6 3 3" xfId="13205"/>
    <cellStyle name="Data   - Opmaakprofiel2 2 22 6 3 4" xfId="25257"/>
    <cellStyle name="Data   - Opmaakprofiel2 2 22 6 3 5" xfId="40671"/>
    <cellStyle name="Data   - Opmaakprofiel2 2 22 6 3 6" xfId="39334"/>
    <cellStyle name="Data   - Opmaakprofiel2 2 22 6 4" xfId="3941"/>
    <cellStyle name="Data   - Opmaakprofiel2 2 22 6 4 2" xfId="8271"/>
    <cellStyle name="Data   - Opmaakprofiel2 2 22 6 4 2 2" xfId="20569"/>
    <cellStyle name="Data   - Opmaakprofiel2 2 22 6 4 2 3" xfId="32621"/>
    <cellStyle name="Data   - Opmaakprofiel2 2 22 6 4 2 4" xfId="26165"/>
    <cellStyle name="Data   - Opmaakprofiel2 2 22 6 4 2 5" xfId="53236"/>
    <cellStyle name="Data   - Opmaakprofiel2 2 22 6 4 3" xfId="13206"/>
    <cellStyle name="Data   - Opmaakprofiel2 2 22 6 4 4" xfId="25258"/>
    <cellStyle name="Data   - Opmaakprofiel2 2 22 6 4 5" xfId="46189"/>
    <cellStyle name="Data   - Opmaakprofiel2 2 22 6 4 6" xfId="45244"/>
    <cellStyle name="Data   - Opmaakprofiel2 2 22 6 5" xfId="4455"/>
    <cellStyle name="Data   - Opmaakprofiel2 2 22 6 5 2" xfId="8272"/>
    <cellStyle name="Data   - Opmaakprofiel2 2 22 6 5 2 2" xfId="20570"/>
    <cellStyle name="Data   - Opmaakprofiel2 2 22 6 5 2 3" xfId="32622"/>
    <cellStyle name="Data   - Opmaakprofiel2 2 22 6 5 2 4" xfId="43161"/>
    <cellStyle name="Data   - Opmaakprofiel2 2 22 6 5 2 5" xfId="53237"/>
    <cellStyle name="Data   - Opmaakprofiel2 2 22 6 5 3" xfId="13207"/>
    <cellStyle name="Data   - Opmaakprofiel2 2 22 6 5 4" xfId="25259"/>
    <cellStyle name="Data   - Opmaakprofiel2 2 22 6 5 5" xfId="40670"/>
    <cellStyle name="Data   - Opmaakprofiel2 2 22 6 5 6" xfId="39335"/>
    <cellStyle name="Data   - Opmaakprofiel2 2 22 6 6" xfId="4456"/>
    <cellStyle name="Data   - Opmaakprofiel2 2 22 6 6 2" xfId="8273"/>
    <cellStyle name="Data   - Opmaakprofiel2 2 22 6 6 2 2" xfId="20571"/>
    <cellStyle name="Data   - Opmaakprofiel2 2 22 6 6 2 3" xfId="32623"/>
    <cellStyle name="Data   - Opmaakprofiel2 2 22 6 6 2 4" xfId="26166"/>
    <cellStyle name="Data   - Opmaakprofiel2 2 22 6 6 2 5" xfId="53238"/>
    <cellStyle name="Data   - Opmaakprofiel2 2 22 6 6 3" xfId="13208"/>
    <cellStyle name="Data   - Opmaakprofiel2 2 22 6 6 4" xfId="25260"/>
    <cellStyle name="Data   - Opmaakprofiel2 2 22 6 6 5" xfId="46188"/>
    <cellStyle name="Data   - Opmaakprofiel2 2 22 6 6 6" xfId="45245"/>
    <cellStyle name="Data   - Opmaakprofiel2 2 22 6 7" xfId="4457"/>
    <cellStyle name="Data   - Opmaakprofiel2 2 22 6 7 2" xfId="13209"/>
    <cellStyle name="Data   - Opmaakprofiel2 2 22 6 7 3" xfId="25261"/>
    <cellStyle name="Data   - Opmaakprofiel2 2 22 6 7 4" xfId="40669"/>
    <cellStyle name="Data   - Opmaakprofiel2 2 22 6 7 5" xfId="39336"/>
    <cellStyle name="Data   - Opmaakprofiel2 2 22 6 8" xfId="9934"/>
    <cellStyle name="Data   - Opmaakprofiel2 2 22 6 8 2" xfId="22232"/>
    <cellStyle name="Data   - Opmaakprofiel2 2 22 6 8 3" xfId="43998"/>
    <cellStyle name="Data   - Opmaakprofiel2 2 22 6 8 4" xfId="42485"/>
    <cellStyle name="Data   - Opmaakprofiel2 2 22 6 8 5" xfId="54899"/>
    <cellStyle name="Data   - Opmaakprofiel2 2 22 6 9" xfId="13203"/>
    <cellStyle name="Data   - Opmaakprofiel2 2 22 7" xfId="1588"/>
    <cellStyle name="Data   - Opmaakprofiel2 2 22 7 2" xfId="8274"/>
    <cellStyle name="Data   - Opmaakprofiel2 2 22 7 2 2" xfId="20572"/>
    <cellStyle name="Data   - Opmaakprofiel2 2 22 7 2 3" xfId="32624"/>
    <cellStyle name="Data   - Opmaakprofiel2 2 22 7 2 4" xfId="43160"/>
    <cellStyle name="Data   - Opmaakprofiel2 2 22 7 2 5" xfId="53239"/>
    <cellStyle name="Data   - Opmaakprofiel2 2 22 7 3" xfId="13210"/>
    <cellStyle name="Data   - Opmaakprofiel2 2 22 7 4" xfId="25262"/>
    <cellStyle name="Data   - Opmaakprofiel2 2 22 7 5" xfId="46187"/>
    <cellStyle name="Data   - Opmaakprofiel2 2 22 7 6" xfId="39337"/>
    <cellStyle name="Data   - Opmaakprofiel2 2 22 8" xfId="2815"/>
    <cellStyle name="Data   - Opmaakprofiel2 2 22 8 2" xfId="8275"/>
    <cellStyle name="Data   - Opmaakprofiel2 2 22 8 2 2" xfId="20573"/>
    <cellStyle name="Data   - Opmaakprofiel2 2 22 8 2 3" xfId="32625"/>
    <cellStyle name="Data   - Opmaakprofiel2 2 22 8 2 4" xfId="31859"/>
    <cellStyle name="Data   - Opmaakprofiel2 2 22 8 2 5" xfId="53240"/>
    <cellStyle name="Data   - Opmaakprofiel2 2 22 8 3" xfId="13211"/>
    <cellStyle name="Data   - Opmaakprofiel2 2 22 8 4" xfId="25263"/>
    <cellStyle name="Data   - Opmaakprofiel2 2 22 8 5" xfId="40668"/>
    <cellStyle name="Data   - Opmaakprofiel2 2 22 8 6" xfId="45246"/>
    <cellStyle name="Data   - Opmaakprofiel2 2 22 9" xfId="3674"/>
    <cellStyle name="Data   - Opmaakprofiel2 2 22 9 2" xfId="8276"/>
    <cellStyle name="Data   - Opmaakprofiel2 2 22 9 2 2" xfId="20574"/>
    <cellStyle name="Data   - Opmaakprofiel2 2 22 9 2 3" xfId="32626"/>
    <cellStyle name="Data   - Opmaakprofiel2 2 22 9 2 4" xfId="43159"/>
    <cellStyle name="Data   - Opmaakprofiel2 2 22 9 2 5" xfId="53241"/>
    <cellStyle name="Data   - Opmaakprofiel2 2 22 9 3" xfId="13212"/>
    <cellStyle name="Data   - Opmaakprofiel2 2 22 9 4" xfId="25264"/>
    <cellStyle name="Data   - Opmaakprofiel2 2 22 9 5" xfId="46186"/>
    <cellStyle name="Data   - Opmaakprofiel2 2 22 9 6" xfId="39338"/>
    <cellStyle name="Data   - Opmaakprofiel2 2 23" xfId="818"/>
    <cellStyle name="Data   - Opmaakprofiel2 2 23 10" xfId="4458"/>
    <cellStyle name="Data   - Opmaakprofiel2 2 23 10 2" xfId="8277"/>
    <cellStyle name="Data   - Opmaakprofiel2 2 23 10 2 2" xfId="20575"/>
    <cellStyle name="Data   - Opmaakprofiel2 2 23 10 2 3" xfId="32627"/>
    <cellStyle name="Data   - Opmaakprofiel2 2 23 10 2 4" xfId="26170"/>
    <cellStyle name="Data   - Opmaakprofiel2 2 23 10 2 5" xfId="53242"/>
    <cellStyle name="Data   - Opmaakprofiel2 2 23 10 3" xfId="13214"/>
    <cellStyle name="Data   - Opmaakprofiel2 2 23 10 4" xfId="25266"/>
    <cellStyle name="Data   - Opmaakprofiel2 2 23 10 5" xfId="46185"/>
    <cellStyle name="Data   - Opmaakprofiel2 2 23 10 6" xfId="39339"/>
    <cellStyle name="Data   - Opmaakprofiel2 2 23 11" xfId="4459"/>
    <cellStyle name="Data   - Opmaakprofiel2 2 23 11 2" xfId="8278"/>
    <cellStyle name="Data   - Opmaakprofiel2 2 23 11 2 2" xfId="20576"/>
    <cellStyle name="Data   - Opmaakprofiel2 2 23 11 2 3" xfId="32628"/>
    <cellStyle name="Data   - Opmaakprofiel2 2 23 11 2 4" xfId="34430"/>
    <cellStyle name="Data   - Opmaakprofiel2 2 23 11 2 5" xfId="53243"/>
    <cellStyle name="Data   - Opmaakprofiel2 2 23 11 3" xfId="13215"/>
    <cellStyle name="Data   - Opmaakprofiel2 2 23 11 4" xfId="25267"/>
    <cellStyle name="Data   - Opmaakprofiel2 2 23 11 5" xfId="40666"/>
    <cellStyle name="Data   - Opmaakprofiel2 2 23 11 6" xfId="45247"/>
    <cellStyle name="Data   - Opmaakprofiel2 2 23 12" xfId="4460"/>
    <cellStyle name="Data   - Opmaakprofiel2 2 23 12 2" xfId="13216"/>
    <cellStyle name="Data   - Opmaakprofiel2 2 23 12 3" xfId="25268"/>
    <cellStyle name="Data   - Opmaakprofiel2 2 23 12 4" xfId="40665"/>
    <cellStyle name="Data   - Opmaakprofiel2 2 23 12 5" xfId="39340"/>
    <cellStyle name="Data   - Opmaakprofiel2 2 23 13" xfId="7435"/>
    <cellStyle name="Data   - Opmaakprofiel2 2 23 13 2" xfId="19733"/>
    <cellStyle name="Data   - Opmaakprofiel2 2 23 13 3" xfId="41536"/>
    <cellStyle name="Data   - Opmaakprofiel2 2 23 13 4" xfId="15558"/>
    <cellStyle name="Data   - Opmaakprofiel2 2 23 13 5" xfId="52405"/>
    <cellStyle name="Data   - Opmaakprofiel2 2 23 14" xfId="13213"/>
    <cellStyle name="Data   - Opmaakprofiel2 2 23 2" xfId="976"/>
    <cellStyle name="Data   - Opmaakprofiel2 2 23 2 2" xfId="2388"/>
    <cellStyle name="Data   - Opmaakprofiel2 2 23 2 2 2" xfId="8279"/>
    <cellStyle name="Data   - Opmaakprofiel2 2 23 2 2 2 2" xfId="20577"/>
    <cellStyle name="Data   - Opmaakprofiel2 2 23 2 2 2 3" xfId="32629"/>
    <cellStyle name="Data   - Opmaakprofiel2 2 23 2 2 2 4" xfId="26177"/>
    <cellStyle name="Data   - Opmaakprofiel2 2 23 2 2 2 5" xfId="53244"/>
    <cellStyle name="Data   - Opmaakprofiel2 2 23 2 2 3" xfId="13218"/>
    <cellStyle name="Data   - Opmaakprofiel2 2 23 2 2 4" xfId="25270"/>
    <cellStyle name="Data   - Opmaakprofiel2 2 23 2 2 5" xfId="46184"/>
    <cellStyle name="Data   - Opmaakprofiel2 2 23 2 2 6" xfId="45248"/>
    <cellStyle name="Data   - Opmaakprofiel2 2 23 2 3" xfId="2987"/>
    <cellStyle name="Data   - Opmaakprofiel2 2 23 2 3 2" xfId="8280"/>
    <cellStyle name="Data   - Opmaakprofiel2 2 23 2 3 2 2" xfId="20578"/>
    <cellStyle name="Data   - Opmaakprofiel2 2 23 2 3 2 3" xfId="32630"/>
    <cellStyle name="Data   - Opmaakprofiel2 2 23 2 3 2 4" xfId="43158"/>
    <cellStyle name="Data   - Opmaakprofiel2 2 23 2 3 2 5" xfId="53245"/>
    <cellStyle name="Data   - Opmaakprofiel2 2 23 2 3 3" xfId="13219"/>
    <cellStyle name="Data   - Opmaakprofiel2 2 23 2 3 4" xfId="25271"/>
    <cellStyle name="Data   - Opmaakprofiel2 2 23 2 3 5" xfId="40663"/>
    <cellStyle name="Data   - Opmaakprofiel2 2 23 2 3 6" xfId="39341"/>
    <cellStyle name="Data   - Opmaakprofiel2 2 23 2 4" xfId="3833"/>
    <cellStyle name="Data   - Opmaakprofiel2 2 23 2 4 2" xfId="8281"/>
    <cellStyle name="Data   - Opmaakprofiel2 2 23 2 4 2 2" xfId="20579"/>
    <cellStyle name="Data   - Opmaakprofiel2 2 23 2 4 2 3" xfId="32631"/>
    <cellStyle name="Data   - Opmaakprofiel2 2 23 2 4 2 4" xfId="34366"/>
    <cellStyle name="Data   - Opmaakprofiel2 2 23 2 4 2 5" xfId="53246"/>
    <cellStyle name="Data   - Opmaakprofiel2 2 23 2 4 3" xfId="13220"/>
    <cellStyle name="Data   - Opmaakprofiel2 2 23 2 4 4" xfId="25272"/>
    <cellStyle name="Data   - Opmaakprofiel2 2 23 2 4 5" xfId="46183"/>
    <cellStyle name="Data   - Opmaakprofiel2 2 23 2 4 6" xfId="45249"/>
    <cellStyle name="Data   - Opmaakprofiel2 2 23 2 5" xfId="4461"/>
    <cellStyle name="Data   - Opmaakprofiel2 2 23 2 5 2" xfId="8282"/>
    <cellStyle name="Data   - Opmaakprofiel2 2 23 2 5 2 2" xfId="20580"/>
    <cellStyle name="Data   - Opmaakprofiel2 2 23 2 5 2 3" xfId="32632"/>
    <cellStyle name="Data   - Opmaakprofiel2 2 23 2 5 2 4" xfId="43157"/>
    <cellStyle name="Data   - Opmaakprofiel2 2 23 2 5 2 5" xfId="53247"/>
    <cellStyle name="Data   - Opmaakprofiel2 2 23 2 5 3" xfId="13221"/>
    <cellStyle name="Data   - Opmaakprofiel2 2 23 2 5 4" xfId="25273"/>
    <cellStyle name="Data   - Opmaakprofiel2 2 23 2 5 5" xfId="40662"/>
    <cellStyle name="Data   - Opmaakprofiel2 2 23 2 5 6" xfId="39342"/>
    <cellStyle name="Data   - Opmaakprofiel2 2 23 2 6" xfId="4462"/>
    <cellStyle name="Data   - Opmaakprofiel2 2 23 2 6 2" xfId="8283"/>
    <cellStyle name="Data   - Opmaakprofiel2 2 23 2 6 2 2" xfId="20581"/>
    <cellStyle name="Data   - Opmaakprofiel2 2 23 2 6 2 3" xfId="32633"/>
    <cellStyle name="Data   - Opmaakprofiel2 2 23 2 6 2 4" xfId="26184"/>
    <cellStyle name="Data   - Opmaakprofiel2 2 23 2 6 2 5" xfId="53248"/>
    <cellStyle name="Data   - Opmaakprofiel2 2 23 2 6 3" xfId="13222"/>
    <cellStyle name="Data   - Opmaakprofiel2 2 23 2 6 4" xfId="25274"/>
    <cellStyle name="Data   - Opmaakprofiel2 2 23 2 6 5" xfId="46182"/>
    <cellStyle name="Data   - Opmaakprofiel2 2 23 2 6 6" xfId="39343"/>
    <cellStyle name="Data   - Opmaakprofiel2 2 23 2 7" xfId="4463"/>
    <cellStyle name="Data   - Opmaakprofiel2 2 23 2 7 2" xfId="13223"/>
    <cellStyle name="Data   - Opmaakprofiel2 2 23 2 7 3" xfId="25275"/>
    <cellStyle name="Data   - Opmaakprofiel2 2 23 2 7 4" xfId="40661"/>
    <cellStyle name="Data   - Opmaakprofiel2 2 23 2 7 5" xfId="39344"/>
    <cellStyle name="Data   - Opmaakprofiel2 2 23 2 8" xfId="7328"/>
    <cellStyle name="Data   - Opmaakprofiel2 2 23 2 8 2" xfId="19626"/>
    <cellStyle name="Data   - Opmaakprofiel2 2 23 2 8 3" xfId="41429"/>
    <cellStyle name="Data   - Opmaakprofiel2 2 23 2 8 4" xfId="43555"/>
    <cellStyle name="Data   - Opmaakprofiel2 2 23 2 8 5" xfId="52298"/>
    <cellStyle name="Data   - Opmaakprofiel2 2 23 2 9" xfId="13217"/>
    <cellStyle name="Data   - Opmaakprofiel2 2 23 3" xfId="1072"/>
    <cellStyle name="Data   - Opmaakprofiel2 2 23 3 2" xfId="2312"/>
    <cellStyle name="Data   - Opmaakprofiel2 2 23 3 2 2" xfId="8284"/>
    <cellStyle name="Data   - Opmaakprofiel2 2 23 3 2 2 2" xfId="20582"/>
    <cellStyle name="Data   - Opmaakprofiel2 2 23 3 2 2 3" xfId="32634"/>
    <cellStyle name="Data   - Opmaakprofiel2 2 23 3 2 2 4" xfId="43156"/>
    <cellStyle name="Data   - Opmaakprofiel2 2 23 3 2 2 5" xfId="53249"/>
    <cellStyle name="Data   - Opmaakprofiel2 2 23 3 2 3" xfId="13225"/>
    <cellStyle name="Data   - Opmaakprofiel2 2 23 3 2 4" xfId="25277"/>
    <cellStyle name="Data   - Opmaakprofiel2 2 23 3 2 5" xfId="40660"/>
    <cellStyle name="Data   - Opmaakprofiel2 2 23 3 2 6" xfId="41092"/>
    <cellStyle name="Data   - Opmaakprofiel2 2 23 3 3" xfId="3083"/>
    <cellStyle name="Data   - Opmaakprofiel2 2 23 3 3 2" xfId="8285"/>
    <cellStyle name="Data   - Opmaakprofiel2 2 23 3 3 2 2" xfId="20583"/>
    <cellStyle name="Data   - Opmaakprofiel2 2 23 3 3 2 3" xfId="32635"/>
    <cellStyle name="Data   - Opmaakprofiel2 2 23 3 3 2 4" xfId="32056"/>
    <cellStyle name="Data   - Opmaakprofiel2 2 23 3 3 2 5" xfId="53250"/>
    <cellStyle name="Data   - Opmaakprofiel2 2 23 3 3 3" xfId="13226"/>
    <cellStyle name="Data   - Opmaakprofiel2 2 23 3 3 4" xfId="25278"/>
    <cellStyle name="Data   - Opmaakprofiel2 2 23 3 3 5" xfId="46180"/>
    <cellStyle name="Data   - Opmaakprofiel2 2 23 3 3 6" xfId="39345"/>
    <cellStyle name="Data   - Opmaakprofiel2 2 23 3 4" xfId="3922"/>
    <cellStyle name="Data   - Opmaakprofiel2 2 23 3 4 2" xfId="8286"/>
    <cellStyle name="Data   - Opmaakprofiel2 2 23 3 4 2 2" xfId="20584"/>
    <cellStyle name="Data   - Opmaakprofiel2 2 23 3 4 2 3" xfId="32636"/>
    <cellStyle name="Data   - Opmaakprofiel2 2 23 3 4 2 4" xfId="43155"/>
    <cellStyle name="Data   - Opmaakprofiel2 2 23 3 4 2 5" xfId="53251"/>
    <cellStyle name="Data   - Opmaakprofiel2 2 23 3 4 3" xfId="13227"/>
    <cellStyle name="Data   - Opmaakprofiel2 2 23 3 4 4" xfId="25279"/>
    <cellStyle name="Data   - Opmaakprofiel2 2 23 3 4 5" xfId="40659"/>
    <cellStyle name="Data   - Opmaakprofiel2 2 23 3 4 6" xfId="45250"/>
    <cellStyle name="Data   - Opmaakprofiel2 2 23 3 5" xfId="4464"/>
    <cellStyle name="Data   - Opmaakprofiel2 2 23 3 5 2" xfId="8287"/>
    <cellStyle name="Data   - Opmaakprofiel2 2 23 3 5 2 2" xfId="20585"/>
    <cellStyle name="Data   - Opmaakprofiel2 2 23 3 5 2 3" xfId="32637"/>
    <cellStyle name="Data   - Opmaakprofiel2 2 23 3 5 2 4" xfId="26191"/>
    <cellStyle name="Data   - Opmaakprofiel2 2 23 3 5 2 5" xfId="53252"/>
    <cellStyle name="Data   - Opmaakprofiel2 2 23 3 5 3" xfId="13228"/>
    <cellStyle name="Data   - Opmaakprofiel2 2 23 3 5 4" xfId="25280"/>
    <cellStyle name="Data   - Opmaakprofiel2 2 23 3 5 5" xfId="40658"/>
    <cellStyle name="Data   - Opmaakprofiel2 2 23 3 5 6" xfId="39346"/>
    <cellStyle name="Data   - Opmaakprofiel2 2 23 3 6" xfId="4465"/>
    <cellStyle name="Data   - Opmaakprofiel2 2 23 3 6 2" xfId="8288"/>
    <cellStyle name="Data   - Opmaakprofiel2 2 23 3 6 2 2" xfId="20586"/>
    <cellStyle name="Data   - Opmaakprofiel2 2 23 3 6 2 3" xfId="32638"/>
    <cellStyle name="Data   - Opmaakprofiel2 2 23 3 6 2 4" xfId="43154"/>
    <cellStyle name="Data   - Opmaakprofiel2 2 23 3 6 2 5" xfId="53253"/>
    <cellStyle name="Data   - Opmaakprofiel2 2 23 3 6 3" xfId="13229"/>
    <cellStyle name="Data   - Opmaakprofiel2 2 23 3 6 4" xfId="25281"/>
    <cellStyle name="Data   - Opmaakprofiel2 2 23 3 6 5" xfId="40657"/>
    <cellStyle name="Data   - Opmaakprofiel2 2 23 3 6 6" xfId="45251"/>
    <cellStyle name="Data   - Opmaakprofiel2 2 23 3 7" xfId="4466"/>
    <cellStyle name="Data   - Opmaakprofiel2 2 23 3 7 2" xfId="13230"/>
    <cellStyle name="Data   - Opmaakprofiel2 2 23 3 7 3" xfId="25282"/>
    <cellStyle name="Data   - Opmaakprofiel2 2 23 3 7 4" xfId="46179"/>
    <cellStyle name="Data   - Opmaakprofiel2 2 23 3 7 5" xfId="39347"/>
    <cellStyle name="Data   - Opmaakprofiel2 2 23 3 8" xfId="7261"/>
    <cellStyle name="Data   - Opmaakprofiel2 2 23 3 8 2" xfId="19559"/>
    <cellStyle name="Data   - Opmaakprofiel2 2 23 3 8 3" xfId="41362"/>
    <cellStyle name="Data   - Opmaakprofiel2 2 23 3 8 4" xfId="36882"/>
    <cellStyle name="Data   - Opmaakprofiel2 2 23 3 8 5" xfId="52231"/>
    <cellStyle name="Data   - Opmaakprofiel2 2 23 3 9" xfId="13224"/>
    <cellStyle name="Data   - Opmaakprofiel2 2 23 4" xfId="933"/>
    <cellStyle name="Data   - Opmaakprofiel2 2 23 4 2" xfId="2302"/>
    <cellStyle name="Data   - Opmaakprofiel2 2 23 4 2 2" xfId="8289"/>
    <cellStyle name="Data   - Opmaakprofiel2 2 23 4 2 2 2" xfId="20587"/>
    <cellStyle name="Data   - Opmaakprofiel2 2 23 4 2 2 3" xfId="32639"/>
    <cellStyle name="Data   - Opmaakprofiel2 2 23 4 2 2 4" xfId="31556"/>
    <cellStyle name="Data   - Opmaakprofiel2 2 23 4 2 2 5" xfId="53254"/>
    <cellStyle name="Data   - Opmaakprofiel2 2 23 4 2 3" xfId="13232"/>
    <cellStyle name="Data   - Opmaakprofiel2 2 23 4 2 4" xfId="25284"/>
    <cellStyle name="Data   - Opmaakprofiel2 2 23 4 2 5" xfId="46178"/>
    <cellStyle name="Data   - Opmaakprofiel2 2 23 4 2 6" xfId="39348"/>
    <cellStyle name="Data   - Opmaakprofiel2 2 23 4 3" xfId="2944"/>
    <cellStyle name="Data   - Opmaakprofiel2 2 23 4 3 2" xfId="8290"/>
    <cellStyle name="Data   - Opmaakprofiel2 2 23 4 3 2 2" xfId="20588"/>
    <cellStyle name="Data   - Opmaakprofiel2 2 23 4 3 2 3" xfId="32640"/>
    <cellStyle name="Data   - Opmaakprofiel2 2 23 4 3 2 4" xfId="26198"/>
    <cellStyle name="Data   - Opmaakprofiel2 2 23 4 3 2 5" xfId="53255"/>
    <cellStyle name="Data   - Opmaakprofiel2 2 23 4 3 3" xfId="13233"/>
    <cellStyle name="Data   - Opmaakprofiel2 2 23 4 3 4" xfId="25285"/>
    <cellStyle name="Data   - Opmaakprofiel2 2 23 4 3 5" xfId="40656"/>
    <cellStyle name="Data   - Opmaakprofiel2 2 23 4 3 6" xfId="45252"/>
    <cellStyle name="Data   - Opmaakprofiel2 2 23 4 4" xfId="3792"/>
    <cellStyle name="Data   - Opmaakprofiel2 2 23 4 4 2" xfId="8291"/>
    <cellStyle name="Data   - Opmaakprofiel2 2 23 4 4 2 2" xfId="20589"/>
    <cellStyle name="Data   - Opmaakprofiel2 2 23 4 4 2 3" xfId="32641"/>
    <cellStyle name="Data   - Opmaakprofiel2 2 23 4 4 2 4" xfId="31524"/>
    <cellStyle name="Data   - Opmaakprofiel2 2 23 4 4 2 5" xfId="53256"/>
    <cellStyle name="Data   - Opmaakprofiel2 2 23 4 4 3" xfId="13234"/>
    <cellStyle name="Data   - Opmaakprofiel2 2 23 4 4 4" xfId="25286"/>
    <cellStyle name="Data   - Opmaakprofiel2 2 23 4 4 5" xfId="46177"/>
    <cellStyle name="Data   - Opmaakprofiel2 2 23 4 4 6" xfId="39349"/>
    <cellStyle name="Data   - Opmaakprofiel2 2 23 4 5" xfId="4467"/>
    <cellStyle name="Data   - Opmaakprofiel2 2 23 4 5 2" xfId="8292"/>
    <cellStyle name="Data   - Opmaakprofiel2 2 23 4 5 2 2" xfId="20590"/>
    <cellStyle name="Data   - Opmaakprofiel2 2 23 4 5 2 3" xfId="32642"/>
    <cellStyle name="Data   - Opmaakprofiel2 2 23 4 5 2 4" xfId="43153"/>
    <cellStyle name="Data   - Opmaakprofiel2 2 23 4 5 2 5" xfId="53257"/>
    <cellStyle name="Data   - Opmaakprofiel2 2 23 4 5 3" xfId="13235"/>
    <cellStyle name="Data   - Opmaakprofiel2 2 23 4 5 4" xfId="25287"/>
    <cellStyle name="Data   - Opmaakprofiel2 2 23 4 5 5" xfId="40655"/>
    <cellStyle name="Data   - Opmaakprofiel2 2 23 4 5 6" xfId="39350"/>
    <cellStyle name="Data   - Opmaakprofiel2 2 23 4 6" xfId="4468"/>
    <cellStyle name="Data   - Opmaakprofiel2 2 23 4 6 2" xfId="8293"/>
    <cellStyle name="Data   - Opmaakprofiel2 2 23 4 6 2 2" xfId="20591"/>
    <cellStyle name="Data   - Opmaakprofiel2 2 23 4 6 2 3" xfId="32643"/>
    <cellStyle name="Data   - Opmaakprofiel2 2 23 4 6 2 4" xfId="26208"/>
    <cellStyle name="Data   - Opmaakprofiel2 2 23 4 6 2 5" xfId="53258"/>
    <cellStyle name="Data   - Opmaakprofiel2 2 23 4 6 3" xfId="13236"/>
    <cellStyle name="Data   - Opmaakprofiel2 2 23 4 6 4" xfId="25288"/>
    <cellStyle name="Data   - Opmaakprofiel2 2 23 4 6 5" xfId="46176"/>
    <cellStyle name="Data   - Opmaakprofiel2 2 23 4 6 6" xfId="39351"/>
    <cellStyle name="Data   - Opmaakprofiel2 2 23 4 7" xfId="4469"/>
    <cellStyle name="Data   - Opmaakprofiel2 2 23 4 7 2" xfId="13237"/>
    <cellStyle name="Data   - Opmaakprofiel2 2 23 4 7 3" xfId="25289"/>
    <cellStyle name="Data   - Opmaakprofiel2 2 23 4 7 4" xfId="40654"/>
    <cellStyle name="Data   - Opmaakprofiel2 2 23 4 7 5" xfId="45253"/>
    <cellStyle name="Data   - Opmaakprofiel2 2 23 4 8" xfId="7356"/>
    <cellStyle name="Data   - Opmaakprofiel2 2 23 4 8 2" xfId="19654"/>
    <cellStyle name="Data   - Opmaakprofiel2 2 23 4 8 3" xfId="41457"/>
    <cellStyle name="Data   - Opmaakprofiel2 2 23 4 8 4" xfId="43543"/>
    <cellStyle name="Data   - Opmaakprofiel2 2 23 4 8 5" xfId="52326"/>
    <cellStyle name="Data   - Opmaakprofiel2 2 23 4 9" xfId="13231"/>
    <cellStyle name="Data   - Opmaakprofiel2 2 23 5" xfId="1240"/>
    <cellStyle name="Data   - Opmaakprofiel2 2 23 5 2" xfId="2229"/>
    <cellStyle name="Data   - Opmaakprofiel2 2 23 5 2 2" xfId="8294"/>
    <cellStyle name="Data   - Opmaakprofiel2 2 23 5 2 2 2" xfId="20592"/>
    <cellStyle name="Data   - Opmaakprofiel2 2 23 5 2 2 3" xfId="32644"/>
    <cellStyle name="Data   - Opmaakprofiel2 2 23 5 2 2 4" xfId="43152"/>
    <cellStyle name="Data   - Opmaakprofiel2 2 23 5 2 2 5" xfId="53259"/>
    <cellStyle name="Data   - Opmaakprofiel2 2 23 5 2 3" xfId="13239"/>
    <cellStyle name="Data   - Opmaakprofiel2 2 23 5 2 4" xfId="25291"/>
    <cellStyle name="Data   - Opmaakprofiel2 2 23 5 2 5" xfId="40653"/>
    <cellStyle name="Data   - Opmaakprofiel2 2 23 5 2 6" xfId="41087"/>
    <cellStyle name="Data   - Opmaakprofiel2 2 23 5 3" xfId="3251"/>
    <cellStyle name="Data   - Opmaakprofiel2 2 23 5 3 2" xfId="8295"/>
    <cellStyle name="Data   - Opmaakprofiel2 2 23 5 3 2 2" xfId="20593"/>
    <cellStyle name="Data   - Opmaakprofiel2 2 23 5 3 2 3" xfId="32645"/>
    <cellStyle name="Data   - Opmaakprofiel2 2 23 5 3 2 4" xfId="34557"/>
    <cellStyle name="Data   - Opmaakprofiel2 2 23 5 3 2 5" xfId="53260"/>
    <cellStyle name="Data   - Opmaakprofiel2 2 23 5 3 3" xfId="13240"/>
    <cellStyle name="Data   - Opmaakprofiel2 2 23 5 3 4" xfId="25292"/>
    <cellStyle name="Data   - Opmaakprofiel2 2 23 5 3 5" xfId="40652"/>
    <cellStyle name="Data   - Opmaakprofiel2 2 23 5 3 6" xfId="41090"/>
    <cellStyle name="Data   - Opmaakprofiel2 2 23 5 4" xfId="4064"/>
    <cellStyle name="Data   - Opmaakprofiel2 2 23 5 4 2" xfId="8296"/>
    <cellStyle name="Data   - Opmaakprofiel2 2 23 5 4 2 2" xfId="20594"/>
    <cellStyle name="Data   - Opmaakprofiel2 2 23 5 4 2 3" xfId="32646"/>
    <cellStyle name="Data   - Opmaakprofiel2 2 23 5 4 2 4" xfId="43151"/>
    <cellStyle name="Data   - Opmaakprofiel2 2 23 5 4 2 5" xfId="53261"/>
    <cellStyle name="Data   - Opmaakprofiel2 2 23 5 4 3" xfId="13241"/>
    <cellStyle name="Data   - Opmaakprofiel2 2 23 5 4 4" xfId="25293"/>
    <cellStyle name="Data   - Opmaakprofiel2 2 23 5 4 5" xfId="40651"/>
    <cellStyle name="Data   - Opmaakprofiel2 2 23 5 4 6" xfId="45254"/>
    <cellStyle name="Data   - Opmaakprofiel2 2 23 5 5" xfId="4470"/>
    <cellStyle name="Data   - Opmaakprofiel2 2 23 5 5 2" xfId="8297"/>
    <cellStyle name="Data   - Opmaakprofiel2 2 23 5 5 2 2" xfId="20595"/>
    <cellStyle name="Data   - Opmaakprofiel2 2 23 5 5 2 3" xfId="32647"/>
    <cellStyle name="Data   - Opmaakprofiel2 2 23 5 5 2 4" xfId="26212"/>
    <cellStyle name="Data   - Opmaakprofiel2 2 23 5 5 2 5" xfId="53262"/>
    <cellStyle name="Data   - Opmaakprofiel2 2 23 5 5 3" xfId="13242"/>
    <cellStyle name="Data   - Opmaakprofiel2 2 23 5 5 4" xfId="25294"/>
    <cellStyle name="Data   - Opmaakprofiel2 2 23 5 5 5" xfId="46174"/>
    <cellStyle name="Data   - Opmaakprofiel2 2 23 5 5 6" xfId="39352"/>
    <cellStyle name="Data   - Opmaakprofiel2 2 23 5 6" xfId="4471"/>
    <cellStyle name="Data   - Opmaakprofiel2 2 23 5 6 2" xfId="8298"/>
    <cellStyle name="Data   - Opmaakprofiel2 2 23 5 6 2 2" xfId="20596"/>
    <cellStyle name="Data   - Opmaakprofiel2 2 23 5 6 2 3" xfId="32648"/>
    <cellStyle name="Data   - Opmaakprofiel2 2 23 5 6 2 4" xfId="43150"/>
    <cellStyle name="Data   - Opmaakprofiel2 2 23 5 6 2 5" xfId="53263"/>
    <cellStyle name="Data   - Opmaakprofiel2 2 23 5 6 3" xfId="13243"/>
    <cellStyle name="Data   - Opmaakprofiel2 2 23 5 6 4" xfId="25295"/>
    <cellStyle name="Data   - Opmaakprofiel2 2 23 5 6 5" xfId="40650"/>
    <cellStyle name="Data   - Opmaakprofiel2 2 23 5 6 6" xfId="45255"/>
    <cellStyle name="Data   - Opmaakprofiel2 2 23 5 7" xfId="4472"/>
    <cellStyle name="Data   - Opmaakprofiel2 2 23 5 7 2" xfId="13244"/>
    <cellStyle name="Data   - Opmaakprofiel2 2 23 5 7 3" xfId="25296"/>
    <cellStyle name="Data   - Opmaakprofiel2 2 23 5 7 4" xfId="46173"/>
    <cellStyle name="Data   - Opmaakprofiel2 2 23 5 7 5" xfId="39353"/>
    <cellStyle name="Data   - Opmaakprofiel2 2 23 5 8" xfId="7134"/>
    <cellStyle name="Data   - Opmaakprofiel2 2 23 5 8 2" xfId="19432"/>
    <cellStyle name="Data   - Opmaakprofiel2 2 23 5 8 3" xfId="41235"/>
    <cellStyle name="Data   - Opmaakprofiel2 2 23 5 8 4" xfId="43636"/>
    <cellStyle name="Data   - Opmaakprofiel2 2 23 5 8 5" xfId="52104"/>
    <cellStyle name="Data   - Opmaakprofiel2 2 23 5 9" xfId="13238"/>
    <cellStyle name="Data   - Opmaakprofiel2 2 23 6" xfId="1018"/>
    <cellStyle name="Data   - Opmaakprofiel2 2 23 6 2" xfId="1728"/>
    <cellStyle name="Data   - Opmaakprofiel2 2 23 6 2 2" xfId="8299"/>
    <cellStyle name="Data   - Opmaakprofiel2 2 23 6 2 2 2" xfId="20597"/>
    <cellStyle name="Data   - Opmaakprofiel2 2 23 6 2 2 3" xfId="32649"/>
    <cellStyle name="Data   - Opmaakprofiel2 2 23 6 2 2 4" xfId="31752"/>
    <cellStyle name="Data   - Opmaakprofiel2 2 23 6 2 2 5" xfId="53264"/>
    <cellStyle name="Data   - Opmaakprofiel2 2 23 6 2 3" xfId="13246"/>
    <cellStyle name="Data   - Opmaakprofiel2 2 23 6 2 4" xfId="25298"/>
    <cellStyle name="Data   - Opmaakprofiel2 2 23 6 2 5" xfId="46172"/>
    <cellStyle name="Data   - Opmaakprofiel2 2 23 6 2 6" xfId="39354"/>
    <cellStyle name="Data   - Opmaakprofiel2 2 23 6 3" xfId="3029"/>
    <cellStyle name="Data   - Opmaakprofiel2 2 23 6 3 2" xfId="8300"/>
    <cellStyle name="Data   - Opmaakprofiel2 2 23 6 3 2 2" xfId="20598"/>
    <cellStyle name="Data   - Opmaakprofiel2 2 23 6 3 2 3" xfId="32650"/>
    <cellStyle name="Data   - Opmaakprofiel2 2 23 6 3 2 4" xfId="43149"/>
    <cellStyle name="Data   - Opmaakprofiel2 2 23 6 3 2 5" xfId="53265"/>
    <cellStyle name="Data   - Opmaakprofiel2 2 23 6 3 3" xfId="13247"/>
    <cellStyle name="Data   - Opmaakprofiel2 2 23 6 3 4" xfId="25299"/>
    <cellStyle name="Data   - Opmaakprofiel2 2 23 6 3 5" xfId="40648"/>
    <cellStyle name="Data   - Opmaakprofiel2 2 23 6 3 6" xfId="45256"/>
    <cellStyle name="Data   - Opmaakprofiel2 2 23 6 4" xfId="3873"/>
    <cellStyle name="Data   - Opmaakprofiel2 2 23 6 4 2" xfId="8301"/>
    <cellStyle name="Data   - Opmaakprofiel2 2 23 6 4 2 2" xfId="20599"/>
    <cellStyle name="Data   - Opmaakprofiel2 2 23 6 4 2 3" xfId="32651"/>
    <cellStyle name="Data   - Opmaakprofiel2 2 23 6 4 2 4" xfId="26219"/>
    <cellStyle name="Data   - Opmaakprofiel2 2 23 6 4 2 5" xfId="53266"/>
    <cellStyle name="Data   - Opmaakprofiel2 2 23 6 4 3" xfId="13248"/>
    <cellStyle name="Data   - Opmaakprofiel2 2 23 6 4 4" xfId="25300"/>
    <cellStyle name="Data   - Opmaakprofiel2 2 23 6 4 5" xfId="46171"/>
    <cellStyle name="Data   - Opmaakprofiel2 2 23 6 4 6" xfId="39355"/>
    <cellStyle name="Data   - Opmaakprofiel2 2 23 6 5" xfId="4473"/>
    <cellStyle name="Data   - Opmaakprofiel2 2 23 6 5 2" xfId="8302"/>
    <cellStyle name="Data   - Opmaakprofiel2 2 23 6 5 2 2" xfId="20600"/>
    <cellStyle name="Data   - Opmaakprofiel2 2 23 6 5 2 3" xfId="32652"/>
    <cellStyle name="Data   - Opmaakprofiel2 2 23 6 5 2 4" xfId="34669"/>
    <cellStyle name="Data   - Opmaakprofiel2 2 23 6 5 2 5" xfId="53267"/>
    <cellStyle name="Data   - Opmaakprofiel2 2 23 6 5 3" xfId="13249"/>
    <cellStyle name="Data   - Opmaakprofiel2 2 23 6 5 4" xfId="25301"/>
    <cellStyle name="Data   - Opmaakprofiel2 2 23 6 5 5" xfId="40647"/>
    <cellStyle name="Data   - Opmaakprofiel2 2 23 6 5 6" xfId="41088"/>
    <cellStyle name="Data   - Opmaakprofiel2 2 23 6 6" xfId="4474"/>
    <cellStyle name="Data   - Opmaakprofiel2 2 23 6 6 2" xfId="8303"/>
    <cellStyle name="Data   - Opmaakprofiel2 2 23 6 6 2 2" xfId="20601"/>
    <cellStyle name="Data   - Opmaakprofiel2 2 23 6 6 2 3" xfId="32653"/>
    <cellStyle name="Data   - Opmaakprofiel2 2 23 6 6 2 4" xfId="26226"/>
    <cellStyle name="Data   - Opmaakprofiel2 2 23 6 6 2 5" xfId="53268"/>
    <cellStyle name="Data   - Opmaakprofiel2 2 23 6 6 3" xfId="13250"/>
    <cellStyle name="Data   - Opmaakprofiel2 2 23 6 6 4" xfId="25302"/>
    <cellStyle name="Data   - Opmaakprofiel2 2 23 6 6 5" xfId="46170"/>
    <cellStyle name="Data   - Opmaakprofiel2 2 23 6 6 6" xfId="39356"/>
    <cellStyle name="Data   - Opmaakprofiel2 2 23 6 7" xfId="4475"/>
    <cellStyle name="Data   - Opmaakprofiel2 2 23 6 7 2" xfId="13251"/>
    <cellStyle name="Data   - Opmaakprofiel2 2 23 6 7 3" xfId="25303"/>
    <cellStyle name="Data   - Opmaakprofiel2 2 23 6 7 4" xfId="40646"/>
    <cellStyle name="Data   - Opmaakprofiel2 2 23 6 7 5" xfId="39357"/>
    <cellStyle name="Data   - Opmaakprofiel2 2 23 6 8" xfId="7297"/>
    <cellStyle name="Data   - Opmaakprofiel2 2 23 6 8 2" xfId="19595"/>
    <cellStyle name="Data   - Opmaakprofiel2 2 23 6 8 3" xfId="41398"/>
    <cellStyle name="Data   - Opmaakprofiel2 2 23 6 8 4" xfId="36861"/>
    <cellStyle name="Data   - Opmaakprofiel2 2 23 6 8 5" xfId="52267"/>
    <cellStyle name="Data   - Opmaakprofiel2 2 23 6 9" xfId="13245"/>
    <cellStyle name="Data   - Opmaakprofiel2 2 23 7" xfId="208"/>
    <cellStyle name="Data   - Opmaakprofiel2 2 23 7 2" xfId="8304"/>
    <cellStyle name="Data   - Opmaakprofiel2 2 23 7 2 2" xfId="20602"/>
    <cellStyle name="Data   - Opmaakprofiel2 2 23 7 2 3" xfId="32654"/>
    <cellStyle name="Data   - Opmaakprofiel2 2 23 7 2 4" xfId="43148"/>
    <cellStyle name="Data   - Opmaakprofiel2 2 23 7 2 5" xfId="53269"/>
    <cellStyle name="Data   - Opmaakprofiel2 2 23 7 3" xfId="13252"/>
    <cellStyle name="Data   - Opmaakprofiel2 2 23 7 4" xfId="25304"/>
    <cellStyle name="Data   - Opmaakprofiel2 2 23 7 5" xfId="40645"/>
    <cellStyle name="Data   - Opmaakprofiel2 2 23 7 6" xfId="45257"/>
    <cellStyle name="Data   - Opmaakprofiel2 2 23 8" xfId="2832"/>
    <cellStyle name="Data   - Opmaakprofiel2 2 23 8 2" xfId="8305"/>
    <cellStyle name="Data   - Opmaakprofiel2 2 23 8 2 2" xfId="20603"/>
    <cellStyle name="Data   - Opmaakprofiel2 2 23 8 2 3" xfId="32655"/>
    <cellStyle name="Data   - Opmaakprofiel2 2 23 8 2 4" xfId="31901"/>
    <cellStyle name="Data   - Opmaakprofiel2 2 23 8 2 5" xfId="53270"/>
    <cellStyle name="Data   - Opmaakprofiel2 2 23 8 3" xfId="13253"/>
    <cellStyle name="Data   - Opmaakprofiel2 2 23 8 4" xfId="25305"/>
    <cellStyle name="Data   - Opmaakprofiel2 2 23 8 5" xfId="40644"/>
    <cellStyle name="Data   - Opmaakprofiel2 2 23 8 6" xfId="39358"/>
    <cellStyle name="Data   - Opmaakprofiel2 2 23 9" xfId="3690"/>
    <cellStyle name="Data   - Opmaakprofiel2 2 23 9 2" xfId="8306"/>
    <cellStyle name="Data   - Opmaakprofiel2 2 23 9 2 2" xfId="20604"/>
    <cellStyle name="Data   - Opmaakprofiel2 2 23 9 2 3" xfId="32656"/>
    <cellStyle name="Data   - Opmaakprofiel2 2 23 9 2 4" xfId="43147"/>
    <cellStyle name="Data   - Opmaakprofiel2 2 23 9 2 5" xfId="53271"/>
    <cellStyle name="Data   - Opmaakprofiel2 2 23 9 3" xfId="13254"/>
    <cellStyle name="Data   - Opmaakprofiel2 2 23 9 4" xfId="25306"/>
    <cellStyle name="Data   - Opmaakprofiel2 2 23 9 5" xfId="46169"/>
    <cellStyle name="Data   - Opmaakprofiel2 2 23 9 6" xfId="45258"/>
    <cellStyle name="Data   - Opmaakprofiel2 2 24" xfId="688"/>
    <cellStyle name="Data   - Opmaakprofiel2 2 24 10" xfId="4476"/>
    <cellStyle name="Data   - Opmaakprofiel2 2 24 10 2" xfId="8307"/>
    <cellStyle name="Data   - Opmaakprofiel2 2 24 10 2 2" xfId="20605"/>
    <cellStyle name="Data   - Opmaakprofiel2 2 24 10 2 3" xfId="32657"/>
    <cellStyle name="Data   - Opmaakprofiel2 2 24 10 2 4" xfId="26233"/>
    <cellStyle name="Data   - Opmaakprofiel2 2 24 10 2 5" xfId="53272"/>
    <cellStyle name="Data   - Opmaakprofiel2 2 24 10 3" xfId="13256"/>
    <cellStyle name="Data   - Opmaakprofiel2 2 24 10 4" xfId="25308"/>
    <cellStyle name="Data   - Opmaakprofiel2 2 24 10 5" xfId="46168"/>
    <cellStyle name="Data   - Opmaakprofiel2 2 24 10 6" xfId="45259"/>
    <cellStyle name="Data   - Opmaakprofiel2 2 24 11" xfId="4477"/>
    <cellStyle name="Data   - Opmaakprofiel2 2 24 11 2" xfId="8308"/>
    <cellStyle name="Data   - Opmaakprofiel2 2 24 11 2 2" xfId="20606"/>
    <cellStyle name="Data   - Opmaakprofiel2 2 24 11 2 3" xfId="32658"/>
    <cellStyle name="Data   - Opmaakprofiel2 2 24 11 2 4" xfId="31981"/>
    <cellStyle name="Data   - Opmaakprofiel2 2 24 11 2 5" xfId="53273"/>
    <cellStyle name="Data   - Opmaakprofiel2 2 24 11 3" xfId="13257"/>
    <cellStyle name="Data   - Opmaakprofiel2 2 24 11 4" xfId="25309"/>
    <cellStyle name="Data   - Opmaakprofiel2 2 24 11 5" xfId="40642"/>
    <cellStyle name="Data   - Opmaakprofiel2 2 24 11 6" xfId="39359"/>
    <cellStyle name="Data   - Opmaakprofiel2 2 24 12" xfId="4478"/>
    <cellStyle name="Data   - Opmaakprofiel2 2 24 12 2" xfId="13258"/>
    <cellStyle name="Data   - Opmaakprofiel2 2 24 12 3" xfId="25310"/>
    <cellStyle name="Data   - Opmaakprofiel2 2 24 12 4" xfId="40641"/>
    <cellStyle name="Data   - Opmaakprofiel2 2 24 12 5" xfId="45260"/>
    <cellStyle name="Data   - Opmaakprofiel2 2 24 13" xfId="7523"/>
    <cellStyle name="Data   - Opmaakprofiel2 2 24 13 2" xfId="19821"/>
    <cellStyle name="Data   - Opmaakprofiel2 2 24 13 3" xfId="41624"/>
    <cellStyle name="Data   - Opmaakprofiel2 2 24 13 4" xfId="32054"/>
    <cellStyle name="Data   - Opmaakprofiel2 2 24 13 5" xfId="52493"/>
    <cellStyle name="Data   - Opmaakprofiel2 2 24 14" xfId="13255"/>
    <cellStyle name="Data   - Opmaakprofiel2 2 24 2" xfId="861"/>
    <cellStyle name="Data   - Opmaakprofiel2 2 24 2 2" xfId="1438"/>
    <cellStyle name="Data   - Opmaakprofiel2 2 24 2 2 2" xfId="8309"/>
    <cellStyle name="Data   - Opmaakprofiel2 2 24 2 2 2 2" xfId="20607"/>
    <cellStyle name="Data   - Opmaakprofiel2 2 24 2 2 2 3" xfId="32659"/>
    <cellStyle name="Data   - Opmaakprofiel2 2 24 2 2 2 4" xfId="43146"/>
    <cellStyle name="Data   - Opmaakprofiel2 2 24 2 2 2 5" xfId="53274"/>
    <cellStyle name="Data   - Opmaakprofiel2 2 24 2 2 3" xfId="13260"/>
    <cellStyle name="Data   - Opmaakprofiel2 2 24 2 2 4" xfId="25312"/>
    <cellStyle name="Data   - Opmaakprofiel2 2 24 2 2 5" xfId="40640"/>
    <cellStyle name="Data   - Opmaakprofiel2 2 24 2 2 6" xfId="45261"/>
    <cellStyle name="Data   - Opmaakprofiel2 2 24 2 3" xfId="2872"/>
    <cellStyle name="Data   - Opmaakprofiel2 2 24 2 3 2" xfId="8310"/>
    <cellStyle name="Data   - Opmaakprofiel2 2 24 2 3 2 2" xfId="20608"/>
    <cellStyle name="Data   - Opmaakprofiel2 2 24 2 3 2 3" xfId="32660"/>
    <cellStyle name="Data   - Opmaakprofiel2 2 24 2 3 2 4" xfId="26240"/>
    <cellStyle name="Data   - Opmaakprofiel2 2 24 2 3 2 5" xfId="53275"/>
    <cellStyle name="Data   - Opmaakprofiel2 2 24 2 3 3" xfId="13261"/>
    <cellStyle name="Data   - Opmaakprofiel2 2 24 2 3 4" xfId="25313"/>
    <cellStyle name="Data   - Opmaakprofiel2 2 24 2 3 5" xfId="46166"/>
    <cellStyle name="Data   - Opmaakprofiel2 2 24 2 3 6" xfId="39360"/>
    <cellStyle name="Data   - Opmaakprofiel2 2 24 2 4" xfId="3725"/>
    <cellStyle name="Data   - Opmaakprofiel2 2 24 2 4 2" xfId="8311"/>
    <cellStyle name="Data   - Opmaakprofiel2 2 24 2 4 2 2" xfId="20609"/>
    <cellStyle name="Data   - Opmaakprofiel2 2 24 2 4 2 3" xfId="32661"/>
    <cellStyle name="Data   - Opmaakprofiel2 2 24 2 4 2 4" xfId="43145"/>
    <cellStyle name="Data   - Opmaakprofiel2 2 24 2 4 2 5" xfId="53276"/>
    <cellStyle name="Data   - Opmaakprofiel2 2 24 2 4 3" xfId="13262"/>
    <cellStyle name="Data   - Opmaakprofiel2 2 24 2 4 4" xfId="25314"/>
    <cellStyle name="Data   - Opmaakprofiel2 2 24 2 4 5" xfId="40639"/>
    <cellStyle name="Data   - Opmaakprofiel2 2 24 2 4 6" xfId="39361"/>
    <cellStyle name="Data   - Opmaakprofiel2 2 24 2 5" xfId="4479"/>
    <cellStyle name="Data   - Opmaakprofiel2 2 24 2 5 2" xfId="8312"/>
    <cellStyle name="Data   - Opmaakprofiel2 2 24 2 5 2 2" xfId="20610"/>
    <cellStyle name="Data   - Opmaakprofiel2 2 24 2 5 2 3" xfId="32662"/>
    <cellStyle name="Data   - Opmaakprofiel2 2 24 2 5 2 4" xfId="31474"/>
    <cellStyle name="Data   - Opmaakprofiel2 2 24 2 5 2 5" xfId="53277"/>
    <cellStyle name="Data   - Opmaakprofiel2 2 24 2 5 3" xfId="13263"/>
    <cellStyle name="Data   - Opmaakprofiel2 2 24 2 5 4" xfId="25315"/>
    <cellStyle name="Data   - Opmaakprofiel2 2 24 2 5 5" xfId="46165"/>
    <cellStyle name="Data   - Opmaakprofiel2 2 24 2 5 6" xfId="39362"/>
    <cellStyle name="Data   - Opmaakprofiel2 2 24 2 6" xfId="4480"/>
    <cellStyle name="Data   - Opmaakprofiel2 2 24 2 6 2" xfId="8313"/>
    <cellStyle name="Data   - Opmaakprofiel2 2 24 2 6 2 2" xfId="20611"/>
    <cellStyle name="Data   - Opmaakprofiel2 2 24 2 6 2 3" xfId="32663"/>
    <cellStyle name="Data   - Opmaakprofiel2 2 24 2 6 2 4" xfId="43144"/>
    <cellStyle name="Data   - Opmaakprofiel2 2 24 2 6 2 5" xfId="53278"/>
    <cellStyle name="Data   - Opmaakprofiel2 2 24 2 6 3" xfId="13264"/>
    <cellStyle name="Data   - Opmaakprofiel2 2 24 2 6 4" xfId="25316"/>
    <cellStyle name="Data   - Opmaakprofiel2 2 24 2 6 5" xfId="40638"/>
    <cellStyle name="Data   - Opmaakprofiel2 2 24 2 6 6" xfId="45262"/>
    <cellStyle name="Data   - Opmaakprofiel2 2 24 2 7" xfId="4481"/>
    <cellStyle name="Data   - Opmaakprofiel2 2 24 2 7 2" xfId="13265"/>
    <cellStyle name="Data   - Opmaakprofiel2 2 24 2 7 3" xfId="25317"/>
    <cellStyle name="Data   - Opmaakprofiel2 2 24 2 7 4" xfId="46164"/>
    <cellStyle name="Data   - Opmaakprofiel2 2 24 2 7 5" xfId="39363"/>
    <cellStyle name="Data   - Opmaakprofiel2 2 24 2 8" xfId="7404"/>
    <cellStyle name="Data   - Opmaakprofiel2 2 24 2 8 2" xfId="19702"/>
    <cellStyle name="Data   - Opmaakprofiel2 2 24 2 8 3" xfId="41505"/>
    <cellStyle name="Data   - Opmaakprofiel2 2 24 2 8 4" xfId="43523"/>
    <cellStyle name="Data   - Opmaakprofiel2 2 24 2 8 5" xfId="52374"/>
    <cellStyle name="Data   - Opmaakprofiel2 2 24 2 9" xfId="13259"/>
    <cellStyle name="Data   - Opmaakprofiel2 2 24 3" xfId="499"/>
    <cellStyle name="Data   - Opmaakprofiel2 2 24 3 2" xfId="2226"/>
    <cellStyle name="Data   - Opmaakprofiel2 2 24 3 2 2" xfId="8314"/>
    <cellStyle name="Data   - Opmaakprofiel2 2 24 3 2 2 2" xfId="20612"/>
    <cellStyle name="Data   - Opmaakprofiel2 2 24 3 2 2 3" xfId="32664"/>
    <cellStyle name="Data   - Opmaakprofiel2 2 24 3 2 2 4" xfId="26250"/>
    <cellStyle name="Data   - Opmaakprofiel2 2 24 3 2 2 5" xfId="53279"/>
    <cellStyle name="Data   - Opmaakprofiel2 2 24 3 2 3" xfId="13267"/>
    <cellStyle name="Data   - Opmaakprofiel2 2 24 3 2 4" xfId="25319"/>
    <cellStyle name="Data   - Opmaakprofiel2 2 24 3 2 5" xfId="40636"/>
    <cellStyle name="Data   - Opmaakprofiel2 2 24 3 2 6" xfId="39364"/>
    <cellStyle name="Data   - Opmaakprofiel2 2 24 3 3" xfId="2570"/>
    <cellStyle name="Data   - Opmaakprofiel2 2 24 3 3 2" xfId="8315"/>
    <cellStyle name="Data   - Opmaakprofiel2 2 24 3 3 2 2" xfId="20613"/>
    <cellStyle name="Data   - Opmaakprofiel2 2 24 3 3 2 3" xfId="32665"/>
    <cellStyle name="Data   - Opmaakprofiel2 2 24 3 3 2 4" xfId="31816"/>
    <cellStyle name="Data   - Opmaakprofiel2 2 24 3 3 2 5" xfId="53280"/>
    <cellStyle name="Data   - Opmaakprofiel2 2 24 3 3 3" xfId="13268"/>
    <cellStyle name="Data   - Opmaakprofiel2 2 24 3 3 4" xfId="25320"/>
    <cellStyle name="Data   - Opmaakprofiel2 2 24 3 3 5" xfId="46163"/>
    <cellStyle name="Data   - Opmaakprofiel2 2 24 3 3 6" xfId="45263"/>
    <cellStyle name="Data   - Opmaakprofiel2 2 24 3 4" xfId="3454"/>
    <cellStyle name="Data   - Opmaakprofiel2 2 24 3 4 2" xfId="8316"/>
    <cellStyle name="Data   - Opmaakprofiel2 2 24 3 4 2 2" xfId="20614"/>
    <cellStyle name="Data   - Opmaakprofiel2 2 24 3 4 2 3" xfId="32666"/>
    <cellStyle name="Data   - Opmaakprofiel2 2 24 3 4 2 4" xfId="43143"/>
    <cellStyle name="Data   - Opmaakprofiel2 2 24 3 4 2 5" xfId="53281"/>
    <cellStyle name="Data   - Opmaakprofiel2 2 24 3 4 3" xfId="13269"/>
    <cellStyle name="Data   - Opmaakprofiel2 2 24 3 4 4" xfId="25321"/>
    <cellStyle name="Data   - Opmaakprofiel2 2 24 3 4 5" xfId="40635"/>
    <cellStyle name="Data   - Opmaakprofiel2 2 24 3 4 6" xfId="39365"/>
    <cellStyle name="Data   - Opmaakprofiel2 2 24 3 5" xfId="4482"/>
    <cellStyle name="Data   - Opmaakprofiel2 2 24 3 5 2" xfId="8317"/>
    <cellStyle name="Data   - Opmaakprofiel2 2 24 3 5 2 2" xfId="20615"/>
    <cellStyle name="Data   - Opmaakprofiel2 2 24 3 5 2 3" xfId="32667"/>
    <cellStyle name="Data   - Opmaakprofiel2 2 24 3 5 2 4" xfId="26254"/>
    <cellStyle name="Data   - Opmaakprofiel2 2 24 3 5 2 5" xfId="53282"/>
    <cellStyle name="Data   - Opmaakprofiel2 2 24 3 5 3" xfId="13270"/>
    <cellStyle name="Data   - Opmaakprofiel2 2 24 3 5 4" xfId="25322"/>
    <cellStyle name="Data   - Opmaakprofiel2 2 24 3 5 5" xfId="46162"/>
    <cellStyle name="Data   - Opmaakprofiel2 2 24 3 5 6" xfId="45264"/>
    <cellStyle name="Data   - Opmaakprofiel2 2 24 3 6" xfId="4483"/>
    <cellStyle name="Data   - Opmaakprofiel2 2 24 3 6 2" xfId="8318"/>
    <cellStyle name="Data   - Opmaakprofiel2 2 24 3 6 2 2" xfId="20616"/>
    <cellStyle name="Data   - Opmaakprofiel2 2 24 3 6 2 3" xfId="32668"/>
    <cellStyle name="Data   - Opmaakprofiel2 2 24 3 6 2 4" xfId="43142"/>
    <cellStyle name="Data   - Opmaakprofiel2 2 24 3 6 2 5" xfId="53283"/>
    <cellStyle name="Data   - Opmaakprofiel2 2 24 3 6 3" xfId="13271"/>
    <cellStyle name="Data   - Opmaakprofiel2 2 24 3 6 4" xfId="25323"/>
    <cellStyle name="Data   - Opmaakprofiel2 2 24 3 6 5" xfId="40634"/>
    <cellStyle name="Data   - Opmaakprofiel2 2 24 3 6 6" xfId="39366"/>
    <cellStyle name="Data   - Opmaakprofiel2 2 24 3 7" xfId="4484"/>
    <cellStyle name="Data   - Opmaakprofiel2 2 24 3 7 2" xfId="13272"/>
    <cellStyle name="Data   - Opmaakprofiel2 2 24 3 7 3" xfId="25324"/>
    <cellStyle name="Data   - Opmaakprofiel2 2 24 3 7 4" xfId="46161"/>
    <cellStyle name="Data   - Opmaakprofiel2 2 24 3 7 5" xfId="45265"/>
    <cellStyle name="Data   - Opmaakprofiel2 2 24 3 8" xfId="7650"/>
    <cellStyle name="Data   - Opmaakprofiel2 2 24 3 8 2" xfId="19948"/>
    <cellStyle name="Data   - Opmaakprofiel2 2 24 3 8 3" xfId="41751"/>
    <cellStyle name="Data   - Opmaakprofiel2 2 24 3 8 4" xfId="43420"/>
    <cellStyle name="Data   - Opmaakprofiel2 2 24 3 8 5" xfId="52620"/>
    <cellStyle name="Data   - Opmaakprofiel2 2 24 3 9" xfId="13266"/>
    <cellStyle name="Data   - Opmaakprofiel2 2 24 4" xfId="1026"/>
    <cellStyle name="Data   - Opmaakprofiel2 2 24 4 2" xfId="2237"/>
    <cellStyle name="Data   - Opmaakprofiel2 2 24 4 2 2" xfId="8319"/>
    <cellStyle name="Data   - Opmaakprofiel2 2 24 4 2 2 2" xfId="20617"/>
    <cellStyle name="Data   - Opmaakprofiel2 2 24 4 2 2 3" xfId="32669"/>
    <cellStyle name="Data   - Opmaakprofiel2 2 24 4 2 2 4" xfId="34395"/>
    <cellStyle name="Data   - Opmaakprofiel2 2 24 4 2 2 5" xfId="53284"/>
    <cellStyle name="Data   - Opmaakprofiel2 2 24 4 2 3" xfId="13274"/>
    <cellStyle name="Data   - Opmaakprofiel2 2 24 4 2 4" xfId="25326"/>
    <cellStyle name="Data   - Opmaakprofiel2 2 24 4 2 5" xfId="46160"/>
    <cellStyle name="Data   - Opmaakprofiel2 2 24 4 2 6" xfId="39367"/>
    <cellStyle name="Data   - Opmaakprofiel2 2 24 4 3" xfId="3037"/>
    <cellStyle name="Data   - Opmaakprofiel2 2 24 4 3 2" xfId="8320"/>
    <cellStyle name="Data   - Opmaakprofiel2 2 24 4 3 2 2" xfId="20618"/>
    <cellStyle name="Data   - Opmaakprofiel2 2 24 4 3 2 3" xfId="32670"/>
    <cellStyle name="Data   - Opmaakprofiel2 2 24 4 3 2 4" xfId="43141"/>
    <cellStyle name="Data   - Opmaakprofiel2 2 24 4 3 2 5" xfId="53285"/>
    <cellStyle name="Data   - Opmaakprofiel2 2 24 4 3 3" xfId="13275"/>
    <cellStyle name="Data   - Opmaakprofiel2 2 24 4 3 4" xfId="25327"/>
    <cellStyle name="Data   - Opmaakprofiel2 2 24 4 3 5" xfId="40632"/>
    <cellStyle name="Data   - Opmaakprofiel2 2 24 4 3 6" xfId="39368"/>
    <cellStyle name="Data   - Opmaakprofiel2 2 24 4 4" xfId="3880"/>
    <cellStyle name="Data   - Opmaakprofiel2 2 24 4 4 2" xfId="8321"/>
    <cellStyle name="Data   - Opmaakprofiel2 2 24 4 4 2 2" xfId="20619"/>
    <cellStyle name="Data   - Opmaakprofiel2 2 24 4 4 2 3" xfId="32671"/>
    <cellStyle name="Data   - Opmaakprofiel2 2 24 4 4 2 4" xfId="26261"/>
    <cellStyle name="Data   - Opmaakprofiel2 2 24 4 4 2 5" xfId="53286"/>
    <cellStyle name="Data   - Opmaakprofiel2 2 24 4 4 3" xfId="13276"/>
    <cellStyle name="Data   - Opmaakprofiel2 2 24 4 4 4" xfId="25328"/>
    <cellStyle name="Data   - Opmaakprofiel2 2 24 4 4 5" xfId="46159"/>
    <cellStyle name="Data   - Opmaakprofiel2 2 24 4 4 6" xfId="45266"/>
    <cellStyle name="Data   - Opmaakprofiel2 2 24 4 5" xfId="4485"/>
    <cellStyle name="Data   - Opmaakprofiel2 2 24 4 5 2" xfId="8322"/>
    <cellStyle name="Data   - Opmaakprofiel2 2 24 4 5 2 2" xfId="20620"/>
    <cellStyle name="Data   - Opmaakprofiel2 2 24 4 5 2 3" xfId="32672"/>
    <cellStyle name="Data   - Opmaakprofiel2 2 24 4 5 2 4" xfId="43140"/>
    <cellStyle name="Data   - Opmaakprofiel2 2 24 4 5 2 5" xfId="53287"/>
    <cellStyle name="Data   - Opmaakprofiel2 2 24 4 5 3" xfId="13277"/>
    <cellStyle name="Data   - Opmaakprofiel2 2 24 4 5 4" xfId="25329"/>
    <cellStyle name="Data   - Opmaakprofiel2 2 24 4 5 5" xfId="40631"/>
    <cellStyle name="Data   - Opmaakprofiel2 2 24 4 5 6" xfId="39369"/>
    <cellStyle name="Data   - Opmaakprofiel2 2 24 4 6" xfId="4486"/>
    <cellStyle name="Data   - Opmaakprofiel2 2 24 4 6 2" xfId="8323"/>
    <cellStyle name="Data   - Opmaakprofiel2 2 24 4 6 2 2" xfId="20621"/>
    <cellStyle name="Data   - Opmaakprofiel2 2 24 4 6 2 3" xfId="32673"/>
    <cellStyle name="Data   - Opmaakprofiel2 2 24 4 6 2 4" xfId="31638"/>
    <cellStyle name="Data   - Opmaakprofiel2 2 24 4 6 2 5" xfId="53288"/>
    <cellStyle name="Data   - Opmaakprofiel2 2 24 4 6 3" xfId="13278"/>
    <cellStyle name="Data   - Opmaakprofiel2 2 24 4 6 4" xfId="25330"/>
    <cellStyle name="Data   - Opmaakprofiel2 2 24 4 6 5" xfId="40630"/>
    <cellStyle name="Data   - Opmaakprofiel2 2 24 4 6 6" xfId="45267"/>
    <cellStyle name="Data   - Opmaakprofiel2 2 24 4 7" xfId="4487"/>
    <cellStyle name="Data   - Opmaakprofiel2 2 24 4 7 2" xfId="13279"/>
    <cellStyle name="Data   - Opmaakprofiel2 2 24 4 7 3" xfId="25331"/>
    <cellStyle name="Data   - Opmaakprofiel2 2 24 4 7 4" xfId="40629"/>
    <cellStyle name="Data   - Opmaakprofiel2 2 24 4 7 5" xfId="39370"/>
    <cellStyle name="Data   - Opmaakprofiel2 2 24 4 8" xfId="7292"/>
    <cellStyle name="Data   - Opmaakprofiel2 2 24 4 8 2" xfId="19590"/>
    <cellStyle name="Data   - Opmaakprofiel2 2 24 4 8 3" xfId="41393"/>
    <cellStyle name="Data   - Opmaakprofiel2 2 24 4 8 4" xfId="43570"/>
    <cellStyle name="Data   - Opmaakprofiel2 2 24 4 8 5" xfId="52262"/>
    <cellStyle name="Data   - Opmaakprofiel2 2 24 4 9" xfId="13273"/>
    <cellStyle name="Data   - Opmaakprofiel2 2 24 5" xfId="844"/>
    <cellStyle name="Data   - Opmaakprofiel2 2 24 5 2" xfId="1451"/>
    <cellStyle name="Data   - Opmaakprofiel2 2 24 5 2 2" xfId="8324"/>
    <cellStyle name="Data   - Opmaakprofiel2 2 24 5 2 2 2" xfId="20622"/>
    <cellStyle name="Data   - Opmaakprofiel2 2 24 5 2 2 3" xfId="32674"/>
    <cellStyle name="Data   - Opmaakprofiel2 2 24 5 2 2 4" xfId="43139"/>
    <cellStyle name="Data   - Opmaakprofiel2 2 24 5 2 2 5" xfId="53289"/>
    <cellStyle name="Data   - Opmaakprofiel2 2 24 5 2 3" xfId="13281"/>
    <cellStyle name="Data   - Opmaakprofiel2 2 24 5 2 4" xfId="25333"/>
    <cellStyle name="Data   - Opmaakprofiel2 2 24 5 2 5" xfId="40628"/>
    <cellStyle name="Data   - Opmaakprofiel2 2 24 5 2 6" xfId="39371"/>
    <cellStyle name="Data   - Opmaakprofiel2 2 24 5 3" xfId="2855"/>
    <cellStyle name="Data   - Opmaakprofiel2 2 24 5 3 2" xfId="8325"/>
    <cellStyle name="Data   - Opmaakprofiel2 2 24 5 3 2 2" xfId="20623"/>
    <cellStyle name="Data   - Opmaakprofiel2 2 24 5 3 2 3" xfId="32675"/>
    <cellStyle name="Data   - Opmaakprofiel2 2 24 5 3 2 4" xfId="26268"/>
    <cellStyle name="Data   - Opmaakprofiel2 2 24 5 3 2 5" xfId="53290"/>
    <cellStyle name="Data   - Opmaakprofiel2 2 24 5 3 3" xfId="13282"/>
    <cellStyle name="Data   - Opmaakprofiel2 2 24 5 3 4" xfId="25334"/>
    <cellStyle name="Data   - Opmaakprofiel2 2 24 5 3 5" xfId="46158"/>
    <cellStyle name="Data   - Opmaakprofiel2 2 24 5 3 6" xfId="45268"/>
    <cellStyle name="Data   - Opmaakprofiel2 2 24 5 4" xfId="3709"/>
    <cellStyle name="Data   - Opmaakprofiel2 2 24 5 4 2" xfId="8326"/>
    <cellStyle name="Data   - Opmaakprofiel2 2 24 5 4 2 2" xfId="20624"/>
    <cellStyle name="Data   - Opmaakprofiel2 2 24 5 4 2 3" xfId="32676"/>
    <cellStyle name="Data   - Opmaakprofiel2 2 24 5 4 2 4" xfId="31586"/>
    <cellStyle name="Data   - Opmaakprofiel2 2 24 5 4 2 5" xfId="53291"/>
    <cellStyle name="Data   - Opmaakprofiel2 2 24 5 4 3" xfId="13283"/>
    <cellStyle name="Data   - Opmaakprofiel2 2 24 5 4 4" xfId="25335"/>
    <cellStyle name="Data   - Opmaakprofiel2 2 24 5 4 5" xfId="40627"/>
    <cellStyle name="Data   - Opmaakprofiel2 2 24 5 4 6" xfId="39372"/>
    <cellStyle name="Data   - Opmaakprofiel2 2 24 5 5" xfId="4488"/>
    <cellStyle name="Data   - Opmaakprofiel2 2 24 5 5 2" xfId="8327"/>
    <cellStyle name="Data   - Opmaakprofiel2 2 24 5 5 2 2" xfId="20625"/>
    <cellStyle name="Data   - Opmaakprofiel2 2 24 5 5 2 3" xfId="32677"/>
    <cellStyle name="Data   - Opmaakprofiel2 2 24 5 5 2 4" xfId="26275"/>
    <cellStyle name="Data   - Opmaakprofiel2 2 24 5 5 2 5" xfId="53292"/>
    <cellStyle name="Data   - Opmaakprofiel2 2 24 5 5 3" xfId="13284"/>
    <cellStyle name="Data   - Opmaakprofiel2 2 24 5 5 4" xfId="25336"/>
    <cellStyle name="Data   - Opmaakprofiel2 2 24 5 5 5" xfId="46157"/>
    <cellStyle name="Data   - Opmaakprofiel2 2 24 5 5 6" xfId="45269"/>
    <cellStyle name="Data   - Opmaakprofiel2 2 24 5 6" xfId="4489"/>
    <cellStyle name="Data   - Opmaakprofiel2 2 24 5 6 2" xfId="8328"/>
    <cellStyle name="Data   - Opmaakprofiel2 2 24 5 6 2 2" xfId="20626"/>
    <cellStyle name="Data   - Opmaakprofiel2 2 24 5 6 2 3" xfId="32678"/>
    <cellStyle name="Data   - Opmaakprofiel2 2 24 5 6 2 4" xfId="43138"/>
    <cellStyle name="Data   - Opmaakprofiel2 2 24 5 6 2 5" xfId="53293"/>
    <cellStyle name="Data   - Opmaakprofiel2 2 24 5 6 3" xfId="13285"/>
    <cellStyle name="Data   - Opmaakprofiel2 2 24 5 6 4" xfId="25337"/>
    <cellStyle name="Data   - Opmaakprofiel2 2 24 5 6 5" xfId="40626"/>
    <cellStyle name="Data   - Opmaakprofiel2 2 24 5 6 6" xfId="39373"/>
    <cellStyle name="Data   - Opmaakprofiel2 2 24 5 7" xfId="4490"/>
    <cellStyle name="Data   - Opmaakprofiel2 2 24 5 7 2" xfId="13286"/>
    <cellStyle name="Data   - Opmaakprofiel2 2 24 5 7 3" xfId="25338"/>
    <cellStyle name="Data   - Opmaakprofiel2 2 24 5 7 4" xfId="46156"/>
    <cellStyle name="Data   - Opmaakprofiel2 2 24 5 7 5" xfId="39374"/>
    <cellStyle name="Data   - Opmaakprofiel2 2 24 5 8" xfId="7417"/>
    <cellStyle name="Data   - Opmaakprofiel2 2 24 5 8 2" xfId="19715"/>
    <cellStyle name="Data   - Opmaakprofiel2 2 24 5 8 3" xfId="41518"/>
    <cellStyle name="Data   - Opmaakprofiel2 2 24 5 8 4" xfId="15568"/>
    <cellStyle name="Data   - Opmaakprofiel2 2 24 5 8 5" xfId="52387"/>
    <cellStyle name="Data   - Opmaakprofiel2 2 24 5 9" xfId="13280"/>
    <cellStyle name="Data   - Opmaakprofiel2 2 24 6" xfId="431"/>
    <cellStyle name="Data   - Opmaakprofiel2 2 24 6 2" xfId="2409"/>
    <cellStyle name="Data   - Opmaakprofiel2 2 24 6 2 2" xfId="8329"/>
    <cellStyle name="Data   - Opmaakprofiel2 2 24 6 2 2 2" xfId="20627"/>
    <cellStyle name="Data   - Opmaakprofiel2 2 24 6 2 2 3" xfId="32679"/>
    <cellStyle name="Data   - Opmaakprofiel2 2 24 6 2 2 4" xfId="31520"/>
    <cellStyle name="Data   - Opmaakprofiel2 2 24 6 2 2 5" xfId="53294"/>
    <cellStyle name="Data   - Opmaakprofiel2 2 24 6 2 3" xfId="13288"/>
    <cellStyle name="Data   - Opmaakprofiel2 2 24 6 2 4" xfId="25340"/>
    <cellStyle name="Data   - Opmaakprofiel2 2 24 6 2 5" xfId="46155"/>
    <cellStyle name="Data   - Opmaakprofiel2 2 24 6 2 6" xfId="39375"/>
    <cellStyle name="Data   - Opmaakprofiel2 2 24 6 3" xfId="2502"/>
    <cellStyle name="Data   - Opmaakprofiel2 2 24 6 3 2" xfId="8330"/>
    <cellStyle name="Data   - Opmaakprofiel2 2 24 6 3 2 2" xfId="20628"/>
    <cellStyle name="Data   - Opmaakprofiel2 2 24 6 3 2 3" xfId="32680"/>
    <cellStyle name="Data   - Opmaakprofiel2 2 24 6 3 2 4" xfId="43137"/>
    <cellStyle name="Data   - Opmaakprofiel2 2 24 6 3 2 5" xfId="53295"/>
    <cellStyle name="Data   - Opmaakprofiel2 2 24 6 3 3" xfId="13289"/>
    <cellStyle name="Data   - Opmaakprofiel2 2 24 6 3 4" xfId="25341"/>
    <cellStyle name="Data   - Opmaakprofiel2 2 24 6 3 5" xfId="40624"/>
    <cellStyle name="Data   - Opmaakprofiel2 2 24 6 3 6" xfId="45270"/>
    <cellStyle name="Data   - Opmaakprofiel2 2 24 6 4" xfId="2169"/>
    <cellStyle name="Data   - Opmaakprofiel2 2 24 6 4 2" xfId="8331"/>
    <cellStyle name="Data   - Opmaakprofiel2 2 24 6 4 2 2" xfId="20629"/>
    <cellStyle name="Data   - Opmaakprofiel2 2 24 6 4 2 3" xfId="32681"/>
    <cellStyle name="Data   - Opmaakprofiel2 2 24 6 4 2 4" xfId="26282"/>
    <cellStyle name="Data   - Opmaakprofiel2 2 24 6 4 2 5" xfId="53296"/>
    <cellStyle name="Data   - Opmaakprofiel2 2 24 6 4 3" xfId="13290"/>
    <cellStyle name="Data   - Opmaakprofiel2 2 24 6 4 4" xfId="25342"/>
    <cellStyle name="Data   - Opmaakprofiel2 2 24 6 4 5" xfId="40623"/>
    <cellStyle name="Data   - Opmaakprofiel2 2 24 6 4 6" xfId="39376"/>
    <cellStyle name="Data   - Opmaakprofiel2 2 24 6 5" xfId="4491"/>
    <cellStyle name="Data   - Opmaakprofiel2 2 24 6 5 2" xfId="8332"/>
    <cellStyle name="Data   - Opmaakprofiel2 2 24 6 5 2 2" xfId="20630"/>
    <cellStyle name="Data   - Opmaakprofiel2 2 24 6 5 2 3" xfId="32682"/>
    <cellStyle name="Data   - Opmaakprofiel2 2 24 6 5 2 4" xfId="43136"/>
    <cellStyle name="Data   - Opmaakprofiel2 2 24 6 5 2 5" xfId="53297"/>
    <cellStyle name="Data   - Opmaakprofiel2 2 24 6 5 3" xfId="13291"/>
    <cellStyle name="Data   - Opmaakprofiel2 2 24 6 5 4" xfId="25343"/>
    <cellStyle name="Data   - Opmaakprofiel2 2 24 6 5 5" xfId="40622"/>
    <cellStyle name="Data   - Opmaakprofiel2 2 24 6 5 6" xfId="45271"/>
    <cellStyle name="Data   - Opmaakprofiel2 2 24 6 6" xfId="4492"/>
    <cellStyle name="Data   - Opmaakprofiel2 2 24 6 6 2" xfId="8333"/>
    <cellStyle name="Data   - Opmaakprofiel2 2 24 6 6 2 2" xfId="20631"/>
    <cellStyle name="Data   - Opmaakprofiel2 2 24 6 6 2 3" xfId="32683"/>
    <cellStyle name="Data   - Opmaakprofiel2 2 24 6 6 2 4" xfId="32053"/>
    <cellStyle name="Data   - Opmaakprofiel2 2 24 6 6 2 5" xfId="53298"/>
    <cellStyle name="Data   - Opmaakprofiel2 2 24 6 6 3" xfId="13292"/>
    <cellStyle name="Data   - Opmaakprofiel2 2 24 6 6 4" xfId="25344"/>
    <cellStyle name="Data   - Opmaakprofiel2 2 24 6 6 5" xfId="46154"/>
    <cellStyle name="Data   - Opmaakprofiel2 2 24 6 6 6" xfId="39377"/>
    <cellStyle name="Data   - Opmaakprofiel2 2 24 6 7" xfId="4493"/>
    <cellStyle name="Data   - Opmaakprofiel2 2 24 6 7 2" xfId="13293"/>
    <cellStyle name="Data   - Opmaakprofiel2 2 24 6 7 3" xfId="25345"/>
    <cellStyle name="Data   - Opmaakprofiel2 2 24 6 7 4" xfId="40621"/>
    <cellStyle name="Data   - Opmaakprofiel2 2 24 6 7 5" xfId="39378"/>
    <cellStyle name="Data   - Opmaakprofiel2 2 24 6 8" xfId="10382"/>
    <cellStyle name="Data   - Opmaakprofiel2 2 24 6 8 2" xfId="22680"/>
    <cellStyle name="Data   - Opmaakprofiel2 2 24 6 8 3" xfId="44440"/>
    <cellStyle name="Data   - Opmaakprofiel2 2 24 6 8 4" xfId="42298"/>
    <cellStyle name="Data   - Opmaakprofiel2 2 24 6 8 5" xfId="55347"/>
    <cellStyle name="Data   - Opmaakprofiel2 2 24 6 9" xfId="13287"/>
    <cellStyle name="Data   - Opmaakprofiel2 2 24 7" xfId="1978"/>
    <cellStyle name="Data   - Opmaakprofiel2 2 24 7 2" xfId="8334"/>
    <cellStyle name="Data   - Opmaakprofiel2 2 24 7 2 2" xfId="20632"/>
    <cellStyle name="Data   - Opmaakprofiel2 2 24 7 2 3" xfId="32684"/>
    <cellStyle name="Data   - Opmaakprofiel2 2 24 7 2 4" xfId="43135"/>
    <cellStyle name="Data   - Opmaakprofiel2 2 24 7 2 5" xfId="53299"/>
    <cellStyle name="Data   - Opmaakprofiel2 2 24 7 3" xfId="13294"/>
    <cellStyle name="Data   - Opmaakprofiel2 2 24 7 4" xfId="25346"/>
    <cellStyle name="Data   - Opmaakprofiel2 2 24 7 5" xfId="46153"/>
    <cellStyle name="Data   - Opmaakprofiel2 2 24 7 6" xfId="39379"/>
    <cellStyle name="Data   - Opmaakprofiel2 2 24 8" xfId="2753"/>
    <cellStyle name="Data   - Opmaakprofiel2 2 24 8 2" xfId="8335"/>
    <cellStyle name="Data   - Opmaakprofiel2 2 24 8 2 2" xfId="20633"/>
    <cellStyle name="Data   - Opmaakprofiel2 2 24 8 2 3" xfId="32685"/>
    <cellStyle name="Data   - Opmaakprofiel2 2 24 8 2 4" xfId="26292"/>
    <cellStyle name="Data   - Opmaakprofiel2 2 24 8 2 5" xfId="53300"/>
    <cellStyle name="Data   - Opmaakprofiel2 2 24 8 3" xfId="13295"/>
    <cellStyle name="Data   - Opmaakprofiel2 2 24 8 4" xfId="25347"/>
    <cellStyle name="Data   - Opmaakprofiel2 2 24 8 5" xfId="40620"/>
    <cellStyle name="Data   - Opmaakprofiel2 2 24 8 6" xfId="39386"/>
    <cellStyle name="Data   - Opmaakprofiel2 2 24 9" xfId="3615"/>
    <cellStyle name="Data   - Opmaakprofiel2 2 24 9 2" xfId="8336"/>
    <cellStyle name="Data   - Opmaakprofiel2 2 24 9 2 2" xfId="20634"/>
    <cellStyle name="Data   - Opmaakprofiel2 2 24 9 2 3" xfId="32686"/>
    <cellStyle name="Data   - Opmaakprofiel2 2 24 9 2 4" xfId="43134"/>
    <cellStyle name="Data   - Opmaakprofiel2 2 24 9 2 5" xfId="53301"/>
    <cellStyle name="Data   - Opmaakprofiel2 2 24 9 3" xfId="13296"/>
    <cellStyle name="Data   - Opmaakprofiel2 2 24 9 4" xfId="25348"/>
    <cellStyle name="Data   - Opmaakprofiel2 2 24 9 5" xfId="46152"/>
    <cellStyle name="Data   - Opmaakprofiel2 2 24 9 6" xfId="45280"/>
    <cellStyle name="Data   - Opmaakprofiel2 2 25" xfId="512"/>
    <cellStyle name="Data   - Opmaakprofiel2 2 25 2" xfId="1476"/>
    <cellStyle name="Data   - Opmaakprofiel2 2 25 2 2" xfId="8337"/>
    <cellStyle name="Data   - Opmaakprofiel2 2 25 2 2 2" xfId="20635"/>
    <cellStyle name="Data   - Opmaakprofiel2 2 25 2 2 3" xfId="32687"/>
    <cellStyle name="Data   - Opmaakprofiel2 2 25 2 2 4" xfId="31834"/>
    <cellStyle name="Data   - Opmaakprofiel2 2 25 2 2 5" xfId="53302"/>
    <cellStyle name="Data   - Opmaakprofiel2 2 25 2 3" xfId="13298"/>
    <cellStyle name="Data   - Opmaakprofiel2 2 25 2 4" xfId="25350"/>
    <cellStyle name="Data   - Opmaakprofiel2 2 25 2 5" xfId="46151"/>
    <cellStyle name="Data   - Opmaakprofiel2 2 25 2 6" xfId="45286"/>
    <cellStyle name="Data   - Opmaakprofiel2 2 25 3" xfId="2583"/>
    <cellStyle name="Data   - Opmaakprofiel2 2 25 3 2" xfId="8338"/>
    <cellStyle name="Data   - Opmaakprofiel2 2 25 3 2 2" xfId="20636"/>
    <cellStyle name="Data   - Opmaakprofiel2 2 25 3 2 3" xfId="32688"/>
    <cellStyle name="Data   - Opmaakprofiel2 2 25 3 2 4" xfId="26296"/>
    <cellStyle name="Data   - Opmaakprofiel2 2 25 3 2 5" xfId="53303"/>
    <cellStyle name="Data   - Opmaakprofiel2 2 25 3 3" xfId="13299"/>
    <cellStyle name="Data   - Opmaakprofiel2 2 25 3 4" xfId="25351"/>
    <cellStyle name="Data   - Opmaakprofiel2 2 25 3 5" xfId="40618"/>
    <cellStyle name="Data   - Opmaakprofiel2 2 25 3 6" xfId="39401"/>
    <cellStyle name="Data   - Opmaakprofiel2 2 25 4" xfId="3466"/>
    <cellStyle name="Data   - Opmaakprofiel2 2 25 4 2" xfId="8339"/>
    <cellStyle name="Data   - Opmaakprofiel2 2 25 4 2 2" xfId="20637"/>
    <cellStyle name="Data   - Opmaakprofiel2 2 25 4 2 3" xfId="32689"/>
    <cellStyle name="Data   - Opmaakprofiel2 2 25 4 2 4" xfId="31719"/>
    <cellStyle name="Data   - Opmaakprofiel2 2 25 4 2 5" xfId="53304"/>
    <cellStyle name="Data   - Opmaakprofiel2 2 25 4 3" xfId="13300"/>
    <cellStyle name="Data   - Opmaakprofiel2 2 25 4 4" xfId="25352"/>
    <cellStyle name="Data   - Opmaakprofiel2 2 25 4 5" xfId="46150"/>
    <cellStyle name="Data   - Opmaakprofiel2 2 25 4 6" xfId="39405"/>
    <cellStyle name="Data   - Opmaakprofiel2 2 25 5" xfId="4494"/>
    <cellStyle name="Data   - Opmaakprofiel2 2 25 5 2" xfId="8340"/>
    <cellStyle name="Data   - Opmaakprofiel2 2 25 5 2 2" xfId="20638"/>
    <cellStyle name="Data   - Opmaakprofiel2 2 25 5 2 3" xfId="32690"/>
    <cellStyle name="Data   - Opmaakprofiel2 2 25 5 2 4" xfId="43133"/>
    <cellStyle name="Data   - Opmaakprofiel2 2 25 5 2 5" xfId="53305"/>
    <cellStyle name="Data   - Opmaakprofiel2 2 25 5 3" xfId="13301"/>
    <cellStyle name="Data   - Opmaakprofiel2 2 25 5 4" xfId="25353"/>
    <cellStyle name="Data   - Opmaakprofiel2 2 25 5 5" xfId="40617"/>
    <cellStyle name="Data   - Opmaakprofiel2 2 25 5 6" xfId="39409"/>
    <cellStyle name="Data   - Opmaakprofiel2 2 25 6" xfId="4495"/>
    <cellStyle name="Data   - Opmaakprofiel2 2 25 6 2" xfId="8341"/>
    <cellStyle name="Data   - Opmaakprofiel2 2 25 6 2 2" xfId="20639"/>
    <cellStyle name="Data   - Opmaakprofiel2 2 25 6 2 3" xfId="32691"/>
    <cellStyle name="Data   - Opmaakprofiel2 2 25 6 2 4" xfId="26303"/>
    <cellStyle name="Data   - Opmaakprofiel2 2 25 6 2 5" xfId="53306"/>
    <cellStyle name="Data   - Opmaakprofiel2 2 25 6 3" xfId="13302"/>
    <cellStyle name="Data   - Opmaakprofiel2 2 25 6 4" xfId="25354"/>
    <cellStyle name="Data   - Opmaakprofiel2 2 25 6 5" xfId="40616"/>
    <cellStyle name="Data   - Opmaakprofiel2 2 25 6 6" xfId="45297"/>
    <cellStyle name="Data   - Opmaakprofiel2 2 25 7" xfId="4496"/>
    <cellStyle name="Data   - Opmaakprofiel2 2 25 7 2" xfId="13303"/>
    <cellStyle name="Data   - Opmaakprofiel2 2 25 7 3" xfId="25355"/>
    <cellStyle name="Data   - Opmaakprofiel2 2 25 7 4" xfId="40615"/>
    <cellStyle name="Data   - Opmaakprofiel2 2 25 7 5" xfId="39417"/>
    <cellStyle name="Data   - Opmaakprofiel2 2 25 8" xfId="10332"/>
    <cellStyle name="Data   - Opmaakprofiel2 2 25 8 2" xfId="22630"/>
    <cellStyle name="Data   - Opmaakprofiel2 2 25 8 3" xfId="44391"/>
    <cellStyle name="Data   - Opmaakprofiel2 2 25 8 4" xfId="42319"/>
    <cellStyle name="Data   - Opmaakprofiel2 2 25 8 5" xfId="55297"/>
    <cellStyle name="Data   - Opmaakprofiel2 2 25 9" xfId="13297"/>
    <cellStyle name="Data   - Opmaakprofiel2 2 26" xfId="522"/>
    <cellStyle name="Data   - Opmaakprofiel2 2 26 2" xfId="1667"/>
    <cellStyle name="Data   - Opmaakprofiel2 2 26 2 2" xfId="8342"/>
    <cellStyle name="Data   - Opmaakprofiel2 2 26 2 2 2" xfId="20640"/>
    <cellStyle name="Data   - Opmaakprofiel2 2 26 2 2 3" xfId="32692"/>
    <cellStyle name="Data   - Opmaakprofiel2 2 26 2 2 4" xfId="43132"/>
    <cellStyle name="Data   - Opmaakprofiel2 2 26 2 2 5" xfId="53307"/>
    <cellStyle name="Data   - Opmaakprofiel2 2 26 2 3" xfId="13305"/>
    <cellStyle name="Data   - Opmaakprofiel2 2 26 2 4" xfId="25357"/>
    <cellStyle name="Data   - Opmaakprofiel2 2 26 2 5" xfId="40614"/>
    <cellStyle name="Data   - Opmaakprofiel2 2 26 2 6" xfId="39424"/>
    <cellStyle name="Data   - Opmaakprofiel2 2 26 3" xfId="2593"/>
    <cellStyle name="Data   - Opmaakprofiel2 2 26 3 2" xfId="8343"/>
    <cellStyle name="Data   - Opmaakprofiel2 2 26 3 2 2" xfId="20641"/>
    <cellStyle name="Data   - Opmaakprofiel2 2 26 3 2 3" xfId="32693"/>
    <cellStyle name="Data   - Opmaakprofiel2 2 26 3 2 4" xfId="31652"/>
    <cellStyle name="Data   - Opmaakprofiel2 2 26 3 2 5" xfId="53308"/>
    <cellStyle name="Data   - Opmaakprofiel2 2 26 3 3" xfId="13306"/>
    <cellStyle name="Data   - Opmaakprofiel2 2 26 3 4" xfId="25358"/>
    <cellStyle name="Data   - Opmaakprofiel2 2 26 3 5" xfId="46148"/>
    <cellStyle name="Data   - Opmaakprofiel2 2 26 3 6" xfId="45310"/>
    <cellStyle name="Data   - Opmaakprofiel2 2 26 4" xfId="3474"/>
    <cellStyle name="Data   - Opmaakprofiel2 2 26 4 2" xfId="8344"/>
    <cellStyle name="Data   - Opmaakprofiel2 2 26 4 2 2" xfId="20642"/>
    <cellStyle name="Data   - Opmaakprofiel2 2 26 4 2 3" xfId="32694"/>
    <cellStyle name="Data   - Opmaakprofiel2 2 26 4 2 4" xfId="43131"/>
    <cellStyle name="Data   - Opmaakprofiel2 2 26 4 2 5" xfId="53309"/>
    <cellStyle name="Data   - Opmaakprofiel2 2 26 4 3" xfId="13307"/>
    <cellStyle name="Data   - Opmaakprofiel2 2 26 4 4" xfId="25359"/>
    <cellStyle name="Data   - Opmaakprofiel2 2 26 4 5" xfId="40613"/>
    <cellStyle name="Data   - Opmaakprofiel2 2 26 4 6" xfId="39432"/>
    <cellStyle name="Data   - Opmaakprofiel2 2 26 5" xfId="4497"/>
    <cellStyle name="Data   - Opmaakprofiel2 2 26 5 2" xfId="8345"/>
    <cellStyle name="Data   - Opmaakprofiel2 2 26 5 2 2" xfId="20643"/>
    <cellStyle name="Data   - Opmaakprofiel2 2 26 5 2 3" xfId="32695"/>
    <cellStyle name="Data   - Opmaakprofiel2 2 26 5 2 4" xfId="26310"/>
    <cellStyle name="Data   - Opmaakprofiel2 2 26 5 2 5" xfId="53310"/>
    <cellStyle name="Data   - Opmaakprofiel2 2 26 5 3" xfId="13308"/>
    <cellStyle name="Data   - Opmaakprofiel2 2 26 5 4" xfId="25360"/>
    <cellStyle name="Data   - Opmaakprofiel2 2 26 5 5" xfId="46147"/>
    <cellStyle name="Data   - Opmaakprofiel2 2 26 5 6" xfId="39436"/>
    <cellStyle name="Data   - Opmaakprofiel2 2 26 6" xfId="4498"/>
    <cellStyle name="Data   - Opmaakprofiel2 2 26 6 2" xfId="8346"/>
    <cellStyle name="Data   - Opmaakprofiel2 2 26 6 2 2" xfId="20644"/>
    <cellStyle name="Data   - Opmaakprofiel2 2 26 6 2 3" xfId="32696"/>
    <cellStyle name="Data   - Opmaakprofiel2 2 26 6 2 4" xfId="43130"/>
    <cellStyle name="Data   - Opmaakprofiel2 2 26 6 2 5" xfId="53311"/>
    <cellStyle name="Data   - Opmaakprofiel2 2 26 6 3" xfId="13309"/>
    <cellStyle name="Data   - Opmaakprofiel2 2 26 6 4" xfId="25361"/>
    <cellStyle name="Data   - Opmaakprofiel2 2 26 6 5" xfId="40612"/>
    <cellStyle name="Data   - Opmaakprofiel2 2 26 6 6" xfId="39440"/>
    <cellStyle name="Data   - Opmaakprofiel2 2 26 7" xfId="4499"/>
    <cellStyle name="Data   - Opmaakprofiel2 2 26 7 2" xfId="13310"/>
    <cellStyle name="Data   - Opmaakprofiel2 2 26 7 3" xfId="25362"/>
    <cellStyle name="Data   - Opmaakprofiel2 2 26 7 4" xfId="46146"/>
    <cellStyle name="Data   - Opmaakprofiel2 2 26 7 5" xfId="45321"/>
    <cellStyle name="Data   - Opmaakprofiel2 2 26 8" xfId="7635"/>
    <cellStyle name="Data   - Opmaakprofiel2 2 26 8 2" xfId="19933"/>
    <cellStyle name="Data   - Opmaakprofiel2 2 26 8 3" xfId="41736"/>
    <cellStyle name="Data   - Opmaakprofiel2 2 26 8 4" xfId="24961"/>
    <cellStyle name="Data   - Opmaakprofiel2 2 26 8 5" xfId="52605"/>
    <cellStyle name="Data   - Opmaakprofiel2 2 26 9" xfId="13304"/>
    <cellStyle name="Data   - Opmaakprofiel2 2 27" xfId="532"/>
    <cellStyle name="Data   - Opmaakprofiel2 2 27 2" xfId="1920"/>
    <cellStyle name="Data   - Opmaakprofiel2 2 27 2 2" xfId="8347"/>
    <cellStyle name="Data   - Opmaakprofiel2 2 27 2 2 2" xfId="20645"/>
    <cellStyle name="Data   - Opmaakprofiel2 2 27 2 2 3" xfId="32697"/>
    <cellStyle name="Data   - Opmaakprofiel2 2 27 2 2 4" xfId="34250"/>
    <cellStyle name="Data   - Opmaakprofiel2 2 27 2 2 5" xfId="53312"/>
    <cellStyle name="Data   - Opmaakprofiel2 2 27 2 3" xfId="13312"/>
    <cellStyle name="Data   - Opmaakprofiel2 2 27 2 4" xfId="25364"/>
    <cellStyle name="Data   - Opmaakprofiel2 2 27 2 5" xfId="46145"/>
    <cellStyle name="Data   - Opmaakprofiel2 2 27 2 6" xfId="45327"/>
    <cellStyle name="Data   - Opmaakprofiel2 2 27 3" xfId="2603"/>
    <cellStyle name="Data   - Opmaakprofiel2 2 27 3 2" xfId="8348"/>
    <cellStyle name="Data   - Opmaakprofiel2 2 27 3 2 2" xfId="20646"/>
    <cellStyle name="Data   - Opmaakprofiel2 2 27 3 2 3" xfId="32698"/>
    <cellStyle name="Data   - Opmaakprofiel2 2 27 3 2 4" xfId="43129"/>
    <cellStyle name="Data   - Opmaakprofiel2 2 27 3 2 5" xfId="53313"/>
    <cellStyle name="Data   - Opmaakprofiel2 2 27 3 3" xfId="13313"/>
    <cellStyle name="Data   - Opmaakprofiel2 2 27 3 4" xfId="25365"/>
    <cellStyle name="Data   - Opmaakprofiel2 2 27 3 5" xfId="40610"/>
    <cellStyle name="Data   - Opmaakprofiel2 2 27 3 6" xfId="39455"/>
    <cellStyle name="Data   - Opmaakprofiel2 2 27 4" xfId="3483"/>
    <cellStyle name="Data   - Opmaakprofiel2 2 27 4 2" xfId="8349"/>
    <cellStyle name="Data   - Opmaakprofiel2 2 27 4 2 2" xfId="20647"/>
    <cellStyle name="Data   - Opmaakprofiel2 2 27 4 2 3" xfId="32699"/>
    <cellStyle name="Data   - Opmaakprofiel2 2 27 4 2 4" xfId="26317"/>
    <cellStyle name="Data   - Opmaakprofiel2 2 27 4 2 5" xfId="53314"/>
    <cellStyle name="Data   - Opmaakprofiel2 2 27 4 3" xfId="13314"/>
    <cellStyle name="Data   - Opmaakprofiel2 2 27 4 4" xfId="25366"/>
    <cellStyle name="Data   - Opmaakprofiel2 2 27 4 5" xfId="40609"/>
    <cellStyle name="Data   - Opmaakprofiel2 2 27 4 6" xfId="45333"/>
    <cellStyle name="Data   - Opmaakprofiel2 2 27 5" xfId="4500"/>
    <cellStyle name="Data   - Opmaakprofiel2 2 27 5 2" xfId="8350"/>
    <cellStyle name="Data   - Opmaakprofiel2 2 27 5 2 2" xfId="20648"/>
    <cellStyle name="Data   - Opmaakprofiel2 2 27 5 2 3" xfId="32700"/>
    <cellStyle name="Data   - Opmaakprofiel2 2 27 5 2 4" xfId="31537"/>
    <cellStyle name="Data   - Opmaakprofiel2 2 27 5 2 5" xfId="53315"/>
    <cellStyle name="Data   - Opmaakprofiel2 2 27 5 3" xfId="13315"/>
    <cellStyle name="Data   - Opmaakprofiel2 2 27 5 4" xfId="25367"/>
    <cellStyle name="Data   - Opmaakprofiel2 2 27 5 5" xfId="40608"/>
    <cellStyle name="Data   - Opmaakprofiel2 2 27 5 6" xfId="39464"/>
    <cellStyle name="Data   - Opmaakprofiel2 2 27 6" xfId="4501"/>
    <cellStyle name="Data   - Opmaakprofiel2 2 27 6 2" xfId="8351"/>
    <cellStyle name="Data   - Opmaakprofiel2 2 27 6 2 2" xfId="20649"/>
    <cellStyle name="Data   - Opmaakprofiel2 2 27 6 2 3" xfId="32701"/>
    <cellStyle name="Data   - Opmaakprofiel2 2 27 6 2 4" xfId="26324"/>
    <cellStyle name="Data   - Opmaakprofiel2 2 27 6 2 5" xfId="53316"/>
    <cellStyle name="Data   - Opmaakprofiel2 2 27 6 3" xfId="13316"/>
    <cellStyle name="Data   - Opmaakprofiel2 2 27 6 4" xfId="25368"/>
    <cellStyle name="Data   - Opmaakprofiel2 2 27 6 5" xfId="46144"/>
    <cellStyle name="Data   - Opmaakprofiel2 2 27 6 6" xfId="45339"/>
    <cellStyle name="Data   - Opmaakprofiel2 2 27 7" xfId="4502"/>
    <cellStyle name="Data   - Opmaakprofiel2 2 27 7 2" xfId="13317"/>
    <cellStyle name="Data   - Opmaakprofiel2 2 27 7 3" xfId="25369"/>
    <cellStyle name="Data   - Opmaakprofiel2 2 27 7 4" xfId="40607"/>
    <cellStyle name="Data   - Opmaakprofiel2 2 27 7 5" xfId="39472"/>
    <cellStyle name="Data   - Opmaakprofiel2 2 27 8" xfId="7628"/>
    <cellStyle name="Data   - Opmaakprofiel2 2 27 8 2" xfId="19926"/>
    <cellStyle name="Data   - Opmaakprofiel2 2 27 8 3" xfId="41729"/>
    <cellStyle name="Data   - Opmaakprofiel2 2 27 8 4" xfId="43429"/>
    <cellStyle name="Data   - Opmaakprofiel2 2 27 8 5" xfId="52598"/>
    <cellStyle name="Data   - Opmaakprofiel2 2 27 9" xfId="13311"/>
    <cellStyle name="Data   - Opmaakprofiel2 2 28" xfId="956"/>
    <cellStyle name="Data   - Opmaakprofiel2 2 28 2" xfId="2466"/>
    <cellStyle name="Data   - Opmaakprofiel2 2 28 2 2" xfId="8352"/>
    <cellStyle name="Data   - Opmaakprofiel2 2 28 2 2 2" xfId="20650"/>
    <cellStyle name="Data   - Opmaakprofiel2 2 28 2 2 3" xfId="32702"/>
    <cellStyle name="Data   - Opmaakprofiel2 2 28 2 2 4" xfId="43128"/>
    <cellStyle name="Data   - Opmaakprofiel2 2 28 2 2 5" xfId="53317"/>
    <cellStyle name="Data   - Opmaakprofiel2 2 28 2 3" xfId="13319"/>
    <cellStyle name="Data   - Opmaakprofiel2 2 28 2 4" xfId="25371"/>
    <cellStyle name="Data   - Opmaakprofiel2 2 28 2 5" xfId="40606"/>
    <cellStyle name="Data   - Opmaakprofiel2 2 28 2 6" xfId="39480"/>
    <cellStyle name="Data   - Opmaakprofiel2 2 28 3" xfId="2967"/>
    <cellStyle name="Data   - Opmaakprofiel2 2 28 3 2" xfId="8353"/>
    <cellStyle name="Data   - Opmaakprofiel2 2 28 3 2 2" xfId="20651"/>
    <cellStyle name="Data   - Opmaakprofiel2 2 28 3 2 3" xfId="32703"/>
    <cellStyle name="Data   - Opmaakprofiel2 2 28 3 2 4" xfId="31467"/>
    <cellStyle name="Data   - Opmaakprofiel2 2 28 3 2 5" xfId="53318"/>
    <cellStyle name="Data   - Opmaakprofiel2 2 28 3 3" xfId="13320"/>
    <cellStyle name="Data   - Opmaakprofiel2 2 28 3 4" xfId="25372"/>
    <cellStyle name="Data   - Opmaakprofiel2 2 28 3 5" xfId="46142"/>
    <cellStyle name="Data   - Opmaakprofiel2 2 28 3 6" xfId="39488"/>
    <cellStyle name="Data   - Opmaakprofiel2 2 28 4" xfId="3813"/>
    <cellStyle name="Data   - Opmaakprofiel2 2 28 4 2" xfId="8354"/>
    <cellStyle name="Data   - Opmaakprofiel2 2 28 4 2 2" xfId="20652"/>
    <cellStyle name="Data   - Opmaakprofiel2 2 28 4 2 3" xfId="32704"/>
    <cellStyle name="Data   - Opmaakprofiel2 2 28 4 2 4" xfId="43127"/>
    <cellStyle name="Data   - Opmaakprofiel2 2 28 4 2 5" xfId="53319"/>
    <cellStyle name="Data   - Opmaakprofiel2 2 28 4 3" xfId="13321"/>
    <cellStyle name="Data   - Opmaakprofiel2 2 28 4 4" xfId="25373"/>
    <cellStyle name="Data   - Opmaakprofiel2 2 28 4 5" xfId="40605"/>
    <cellStyle name="Data   - Opmaakprofiel2 2 28 4 6" xfId="45352"/>
    <cellStyle name="Data   - Opmaakprofiel2 2 28 5" xfId="4503"/>
    <cellStyle name="Data   - Opmaakprofiel2 2 28 5 2" xfId="8355"/>
    <cellStyle name="Data   - Opmaakprofiel2 2 28 5 2 2" xfId="20653"/>
    <cellStyle name="Data   - Opmaakprofiel2 2 28 5 2 3" xfId="32705"/>
    <cellStyle name="Data   - Opmaakprofiel2 2 28 5 2 4" xfId="26334"/>
    <cellStyle name="Data   - Opmaakprofiel2 2 28 5 2 5" xfId="53320"/>
    <cellStyle name="Data   - Opmaakprofiel2 2 28 5 3" xfId="13322"/>
    <cellStyle name="Data   - Opmaakprofiel2 2 28 5 4" xfId="25374"/>
    <cellStyle name="Data   - Opmaakprofiel2 2 28 5 5" xfId="46141"/>
    <cellStyle name="Data   - Opmaakprofiel2 2 28 5 6" xfId="45356"/>
    <cellStyle name="Data   - Opmaakprofiel2 2 28 6" xfId="4504"/>
    <cellStyle name="Data   - Opmaakprofiel2 2 28 6 2" xfId="8356"/>
    <cellStyle name="Data   - Opmaakprofiel2 2 28 6 2 2" xfId="20654"/>
    <cellStyle name="Data   - Opmaakprofiel2 2 28 6 2 3" xfId="32706"/>
    <cellStyle name="Data   - Opmaakprofiel2 2 28 6 2 4" xfId="43126"/>
    <cellStyle name="Data   - Opmaakprofiel2 2 28 6 2 5" xfId="53321"/>
    <cellStyle name="Data   - Opmaakprofiel2 2 28 6 3" xfId="13323"/>
    <cellStyle name="Data   - Opmaakprofiel2 2 28 6 4" xfId="25375"/>
    <cellStyle name="Data   - Opmaakprofiel2 2 28 6 5" xfId="40604"/>
    <cellStyle name="Data   - Opmaakprofiel2 2 28 6 6" xfId="39498"/>
    <cellStyle name="Data   - Opmaakprofiel2 2 28 7" xfId="4505"/>
    <cellStyle name="Data   - Opmaakprofiel2 2 28 7 2" xfId="13324"/>
    <cellStyle name="Data   - Opmaakprofiel2 2 28 7 3" xfId="25376"/>
    <cellStyle name="Data   - Opmaakprofiel2 2 28 7 4" xfId="46140"/>
    <cellStyle name="Data   - Opmaakprofiel2 2 28 7 5" xfId="45362"/>
    <cellStyle name="Data   - Opmaakprofiel2 2 28 8" xfId="7341"/>
    <cellStyle name="Data   - Opmaakprofiel2 2 28 8 2" xfId="19639"/>
    <cellStyle name="Data   - Opmaakprofiel2 2 28 8 3" xfId="41442"/>
    <cellStyle name="Data   - Opmaakprofiel2 2 28 8 4" xfId="36835"/>
    <cellStyle name="Data   - Opmaakprofiel2 2 28 8 5" xfId="52311"/>
    <cellStyle name="Data   - Opmaakprofiel2 2 28 9" xfId="13318"/>
    <cellStyle name="Data   - Opmaakprofiel2 2 29" xfId="509"/>
    <cellStyle name="Data   - Opmaakprofiel2 2 29 2" xfId="1494"/>
    <cellStyle name="Data   - Opmaakprofiel2 2 29 2 2" xfId="8357"/>
    <cellStyle name="Data   - Opmaakprofiel2 2 29 2 2 2" xfId="20655"/>
    <cellStyle name="Data   - Opmaakprofiel2 2 29 2 2 3" xfId="32707"/>
    <cellStyle name="Data   - Opmaakprofiel2 2 29 2 2 4" xfId="31865"/>
    <cellStyle name="Data   - Opmaakprofiel2 2 29 2 2 5" xfId="53322"/>
    <cellStyle name="Data   - Opmaakprofiel2 2 29 2 3" xfId="13326"/>
    <cellStyle name="Data   - Opmaakprofiel2 2 29 2 4" xfId="25378"/>
    <cellStyle name="Data   - Opmaakprofiel2 2 29 2 5" xfId="40602"/>
    <cellStyle name="Data   - Opmaakprofiel2 2 29 2 6" xfId="45368"/>
    <cellStyle name="Data   - Opmaakprofiel2 2 29 3" xfId="2580"/>
    <cellStyle name="Data   - Opmaakprofiel2 2 29 3 2" xfId="8358"/>
    <cellStyle name="Data   - Opmaakprofiel2 2 29 3 2 2" xfId="20656"/>
    <cellStyle name="Data   - Opmaakprofiel2 2 29 3 2 3" xfId="32708"/>
    <cellStyle name="Data   - Opmaakprofiel2 2 29 3 2 4" xfId="43125"/>
    <cellStyle name="Data   - Opmaakprofiel2 2 29 3 2 5" xfId="53323"/>
    <cellStyle name="Data   - Opmaakprofiel2 2 29 3 3" xfId="13327"/>
    <cellStyle name="Data   - Opmaakprofiel2 2 29 3 4" xfId="25379"/>
    <cellStyle name="Data   - Opmaakprofiel2 2 29 3 5" xfId="40601"/>
    <cellStyle name="Data   - Opmaakprofiel2 2 29 3 6" xfId="45370"/>
    <cellStyle name="Data   - Opmaakprofiel2 2 29 4" xfId="3463"/>
    <cellStyle name="Data   - Opmaakprofiel2 2 29 4 2" xfId="8359"/>
    <cellStyle name="Data   - Opmaakprofiel2 2 29 4 2 2" xfId="20657"/>
    <cellStyle name="Data   - Opmaakprofiel2 2 29 4 2 3" xfId="32709"/>
    <cellStyle name="Data   - Opmaakprofiel2 2 29 4 2 4" xfId="26338"/>
    <cellStyle name="Data   - Opmaakprofiel2 2 29 4 2 5" xfId="53324"/>
    <cellStyle name="Data   - Opmaakprofiel2 2 29 4 3" xfId="13328"/>
    <cellStyle name="Data   - Opmaakprofiel2 2 29 4 4" xfId="25380"/>
    <cellStyle name="Data   - Opmaakprofiel2 2 29 4 5" xfId="46139"/>
    <cellStyle name="Data   - Opmaakprofiel2 2 29 4 6" xfId="45374"/>
    <cellStyle name="Data   - Opmaakprofiel2 2 29 5" xfId="4506"/>
    <cellStyle name="Data   - Opmaakprofiel2 2 29 5 2" xfId="8360"/>
    <cellStyle name="Data   - Opmaakprofiel2 2 29 5 2 2" xfId="20658"/>
    <cellStyle name="Data   - Opmaakprofiel2 2 29 5 2 3" xfId="32710"/>
    <cellStyle name="Data   - Opmaakprofiel2 2 29 5 2 4" xfId="43124"/>
    <cellStyle name="Data   - Opmaakprofiel2 2 29 5 2 5" xfId="53325"/>
    <cellStyle name="Data   - Opmaakprofiel2 2 29 5 3" xfId="13329"/>
    <cellStyle name="Data   - Opmaakprofiel2 2 29 5 4" xfId="25381"/>
    <cellStyle name="Data   - Opmaakprofiel2 2 29 5 5" xfId="40600"/>
    <cellStyle name="Data   - Opmaakprofiel2 2 29 5 6" xfId="39522"/>
    <cellStyle name="Data   - Opmaakprofiel2 2 29 6" xfId="4507"/>
    <cellStyle name="Data   - Opmaakprofiel2 2 29 6 2" xfId="8361"/>
    <cellStyle name="Data   - Opmaakprofiel2 2 29 6 2 2" xfId="20659"/>
    <cellStyle name="Data   - Opmaakprofiel2 2 29 6 2 3" xfId="32711"/>
    <cellStyle name="Data   - Opmaakprofiel2 2 29 6 2 4" xfId="34439"/>
    <cellStyle name="Data   - Opmaakprofiel2 2 29 6 2 5" xfId="53326"/>
    <cellStyle name="Data   - Opmaakprofiel2 2 29 6 3" xfId="13330"/>
    <cellStyle name="Data   - Opmaakprofiel2 2 29 6 4" xfId="25382"/>
    <cellStyle name="Data   - Opmaakprofiel2 2 29 6 5" xfId="46138"/>
    <cellStyle name="Data   - Opmaakprofiel2 2 29 6 6" xfId="45380"/>
    <cellStyle name="Data   - Opmaakprofiel2 2 29 7" xfId="4508"/>
    <cellStyle name="Data   - Opmaakprofiel2 2 29 7 2" xfId="13331"/>
    <cellStyle name="Data   - Opmaakprofiel2 2 29 7 3" xfId="25383"/>
    <cellStyle name="Data   - Opmaakprofiel2 2 29 7 4" xfId="40599"/>
    <cellStyle name="Data   - Opmaakprofiel2 2 29 7 5" xfId="39530"/>
    <cellStyle name="Data   - Opmaakprofiel2 2 29 8" xfId="10334"/>
    <cellStyle name="Data   - Opmaakprofiel2 2 29 8 2" xfId="22632"/>
    <cellStyle name="Data   - Opmaakprofiel2 2 29 8 3" xfId="44392"/>
    <cellStyle name="Data   - Opmaakprofiel2 2 29 8 4" xfId="42318"/>
    <cellStyle name="Data   - Opmaakprofiel2 2 29 8 5" xfId="55299"/>
    <cellStyle name="Data   - Opmaakprofiel2 2 29 9" xfId="13325"/>
    <cellStyle name="Data   - Opmaakprofiel2 2 3" xfId="354"/>
    <cellStyle name="Data   - Opmaakprofiel2 2 3 10" xfId="2144"/>
    <cellStyle name="Data   - Opmaakprofiel2 2 3 10 2" xfId="8362"/>
    <cellStyle name="Data   - Opmaakprofiel2 2 3 10 2 2" xfId="20660"/>
    <cellStyle name="Data   - Opmaakprofiel2 2 3 10 2 3" xfId="32712"/>
    <cellStyle name="Data   - Opmaakprofiel2 2 3 10 2 4" xfId="26345"/>
    <cellStyle name="Data   - Opmaakprofiel2 2 3 10 2 5" xfId="53327"/>
    <cellStyle name="Data   - Opmaakprofiel2 2 3 10 3" xfId="13333"/>
    <cellStyle name="Data   - Opmaakprofiel2 2 3 10 4" xfId="25385"/>
    <cellStyle name="Data   - Opmaakprofiel2 2 3 10 5" xfId="40598"/>
    <cellStyle name="Data   - Opmaakprofiel2 2 3 10 6" xfId="45387"/>
    <cellStyle name="Data   - Opmaakprofiel2 2 3 11" xfId="2470"/>
    <cellStyle name="Data   - Opmaakprofiel2 2 3 11 2" xfId="8363"/>
    <cellStyle name="Data   - Opmaakprofiel2 2 3 11 2 2" xfId="20661"/>
    <cellStyle name="Data   - Opmaakprofiel2 2 3 11 2 3" xfId="32713"/>
    <cellStyle name="Data   - Opmaakprofiel2 2 3 11 2 4" xfId="34617"/>
    <cellStyle name="Data   - Opmaakprofiel2 2 3 11 2 5" xfId="53328"/>
    <cellStyle name="Data   - Opmaakprofiel2 2 3 11 3" xfId="13334"/>
    <cellStyle name="Data   - Opmaakprofiel2 2 3 11 4" xfId="25386"/>
    <cellStyle name="Data   - Opmaakprofiel2 2 3 11 5" xfId="46137"/>
    <cellStyle name="Data   - Opmaakprofiel2 2 3 11 6" xfId="45391"/>
    <cellStyle name="Data   - Opmaakprofiel2 2 3 12" xfId="2146"/>
    <cellStyle name="Data   - Opmaakprofiel2 2 3 12 2" xfId="8364"/>
    <cellStyle name="Data   - Opmaakprofiel2 2 3 12 2 2" xfId="20662"/>
    <cellStyle name="Data   - Opmaakprofiel2 2 3 12 2 3" xfId="32714"/>
    <cellStyle name="Data   - Opmaakprofiel2 2 3 12 2 4" xfId="43123"/>
    <cellStyle name="Data   - Opmaakprofiel2 2 3 12 2 5" xfId="53329"/>
    <cellStyle name="Data   - Opmaakprofiel2 2 3 12 3" xfId="13335"/>
    <cellStyle name="Data   - Opmaakprofiel2 2 3 12 4" xfId="25387"/>
    <cellStyle name="Data   - Opmaakprofiel2 2 3 12 5" xfId="40597"/>
    <cellStyle name="Data   - Opmaakprofiel2 2 3 12 6" xfId="39545"/>
    <cellStyle name="Data   - Opmaakprofiel2 2 3 13" xfId="4509"/>
    <cellStyle name="Data   - Opmaakprofiel2 2 3 13 2" xfId="8365"/>
    <cellStyle name="Data   - Opmaakprofiel2 2 3 13 2 2" xfId="20663"/>
    <cellStyle name="Data   - Opmaakprofiel2 2 3 13 2 3" xfId="32715"/>
    <cellStyle name="Data   - Opmaakprofiel2 2 3 13 2 4" xfId="26352"/>
    <cellStyle name="Data   - Opmaakprofiel2 2 3 13 2 5" xfId="53330"/>
    <cellStyle name="Data   - Opmaakprofiel2 2 3 13 3" xfId="13336"/>
    <cellStyle name="Data   - Opmaakprofiel2 2 3 13 4" xfId="25388"/>
    <cellStyle name="Data   - Opmaakprofiel2 2 3 13 5" xfId="46136"/>
    <cellStyle name="Data   - Opmaakprofiel2 2 3 13 6" xfId="45397"/>
    <cellStyle name="Data   - Opmaakprofiel2 2 3 14" xfId="4510"/>
    <cellStyle name="Data   - Opmaakprofiel2 2 3 14 2" xfId="8366"/>
    <cellStyle name="Data   - Opmaakprofiel2 2 3 14 2 2" xfId="20664"/>
    <cellStyle name="Data   - Opmaakprofiel2 2 3 14 2 3" xfId="32716"/>
    <cellStyle name="Data   - Opmaakprofiel2 2 3 14 2 4" xfId="43122"/>
    <cellStyle name="Data   - Opmaakprofiel2 2 3 14 2 5" xfId="53331"/>
    <cellStyle name="Data   - Opmaakprofiel2 2 3 14 3" xfId="13337"/>
    <cellStyle name="Data   - Opmaakprofiel2 2 3 14 4" xfId="25389"/>
    <cellStyle name="Data   - Opmaakprofiel2 2 3 14 5" xfId="40596"/>
    <cellStyle name="Data   - Opmaakprofiel2 2 3 14 6" xfId="39553"/>
    <cellStyle name="Data   - Opmaakprofiel2 2 3 15" xfId="4511"/>
    <cellStyle name="Data   - Opmaakprofiel2 2 3 15 2" xfId="13338"/>
    <cellStyle name="Data   - Opmaakprofiel2 2 3 15 3" xfId="25390"/>
    <cellStyle name="Data   - Opmaakprofiel2 2 3 15 4" xfId="40595"/>
    <cellStyle name="Data   - Opmaakprofiel2 2 3 15 5" xfId="45403"/>
    <cellStyle name="Data   - Opmaakprofiel2 2 3 16" xfId="7746"/>
    <cellStyle name="Data   - Opmaakprofiel2 2 3 16 2" xfId="20044"/>
    <cellStyle name="Data   - Opmaakprofiel2 2 3 16 3" xfId="41847"/>
    <cellStyle name="Data   - Opmaakprofiel2 2 3 16 4" xfId="43381"/>
    <cellStyle name="Data   - Opmaakprofiel2 2 3 16 5" xfId="52716"/>
    <cellStyle name="Data   - Opmaakprofiel2 2 3 17" xfId="13332"/>
    <cellStyle name="Data   - Opmaakprofiel2 2 3 2" xfId="632"/>
    <cellStyle name="Data   - Opmaakprofiel2 2 3 2 2" xfId="2256"/>
    <cellStyle name="Data   - Opmaakprofiel2 2 3 2 2 2" xfId="8367"/>
    <cellStyle name="Data   - Opmaakprofiel2 2 3 2 2 2 2" xfId="20665"/>
    <cellStyle name="Data   - Opmaakprofiel2 2 3 2 2 2 3" xfId="32717"/>
    <cellStyle name="Data   - Opmaakprofiel2 2 3 2 2 2 4" xfId="32030"/>
    <cellStyle name="Data   - Opmaakprofiel2 2 3 2 2 2 5" xfId="53332"/>
    <cellStyle name="Data   - Opmaakprofiel2 2 3 2 2 3" xfId="13340"/>
    <cellStyle name="Data   - Opmaakprofiel2 2 3 2 2 4" xfId="25392"/>
    <cellStyle name="Data   - Opmaakprofiel2 2 3 2 2 5" xfId="46135"/>
    <cellStyle name="Data   - Opmaakprofiel2 2 3 2 2 6" xfId="45408"/>
    <cellStyle name="Data   - Opmaakprofiel2 2 3 2 3" xfId="2698"/>
    <cellStyle name="Data   - Opmaakprofiel2 2 3 2 3 2" xfId="8368"/>
    <cellStyle name="Data   - Opmaakprofiel2 2 3 2 3 2 2" xfId="20666"/>
    <cellStyle name="Data   - Opmaakprofiel2 2 3 2 3 2 3" xfId="32718"/>
    <cellStyle name="Data   - Opmaakprofiel2 2 3 2 3 2 4" xfId="43121"/>
    <cellStyle name="Data   - Opmaakprofiel2 2 3 2 3 2 5" xfId="53333"/>
    <cellStyle name="Data   - Opmaakprofiel2 2 3 2 3 3" xfId="13341"/>
    <cellStyle name="Data   - Opmaakprofiel2 2 3 2 3 4" xfId="25393"/>
    <cellStyle name="Data   - Opmaakprofiel2 2 3 2 3 5" xfId="40593"/>
    <cellStyle name="Data   - Opmaakprofiel2 2 3 2 3 6" xfId="39570"/>
    <cellStyle name="Data   - Opmaakprofiel2 2 3 2 4" xfId="3570"/>
    <cellStyle name="Data   - Opmaakprofiel2 2 3 2 4 2" xfId="8369"/>
    <cellStyle name="Data   - Opmaakprofiel2 2 3 2 4 2 2" xfId="20667"/>
    <cellStyle name="Data   - Opmaakprofiel2 2 3 2 4 2 3" xfId="32719"/>
    <cellStyle name="Data   - Opmaakprofiel2 2 3 2 4 2 4" xfId="26359"/>
    <cellStyle name="Data   - Opmaakprofiel2 2 3 2 4 2 5" xfId="53334"/>
    <cellStyle name="Data   - Opmaakprofiel2 2 3 2 4 3" xfId="13342"/>
    <cellStyle name="Data   - Opmaakprofiel2 2 3 2 4 4" xfId="25394"/>
    <cellStyle name="Data   - Opmaakprofiel2 2 3 2 4 5" xfId="46134"/>
    <cellStyle name="Data   - Opmaakprofiel2 2 3 2 4 6" xfId="45414"/>
    <cellStyle name="Data   - Opmaakprofiel2 2 3 2 5" xfId="4512"/>
    <cellStyle name="Data   - Opmaakprofiel2 2 3 2 5 2" xfId="8370"/>
    <cellStyle name="Data   - Opmaakprofiel2 2 3 2 5 2 2" xfId="20668"/>
    <cellStyle name="Data   - Opmaakprofiel2 2 3 2 5 2 3" xfId="32720"/>
    <cellStyle name="Data   - Opmaakprofiel2 2 3 2 5 2 4" xfId="43120"/>
    <cellStyle name="Data   - Opmaakprofiel2 2 3 2 5 2 5" xfId="53335"/>
    <cellStyle name="Data   - Opmaakprofiel2 2 3 2 5 3" xfId="13343"/>
    <cellStyle name="Data   - Opmaakprofiel2 2 3 2 5 4" xfId="25395"/>
    <cellStyle name="Data   - Opmaakprofiel2 2 3 2 5 5" xfId="40592"/>
    <cellStyle name="Data   - Opmaakprofiel2 2 3 2 5 6" xfId="39578"/>
    <cellStyle name="Data   - Opmaakprofiel2 2 3 2 6" xfId="4513"/>
    <cellStyle name="Data   - Opmaakprofiel2 2 3 2 6 2" xfId="8371"/>
    <cellStyle name="Data   - Opmaakprofiel2 2 3 2 6 2 2" xfId="20669"/>
    <cellStyle name="Data   - Opmaakprofiel2 2 3 2 6 2 3" xfId="32721"/>
    <cellStyle name="Data   - Opmaakprofiel2 2 3 2 6 2 4" xfId="31732"/>
    <cellStyle name="Data   - Opmaakprofiel2 2 3 2 6 2 5" xfId="53336"/>
    <cellStyle name="Data   - Opmaakprofiel2 2 3 2 6 3" xfId="13344"/>
    <cellStyle name="Data   - Opmaakprofiel2 2 3 2 6 4" xfId="25396"/>
    <cellStyle name="Data   - Opmaakprofiel2 2 3 2 6 5" xfId="46133"/>
    <cellStyle name="Data   - Opmaakprofiel2 2 3 2 6 6" xfId="39582"/>
    <cellStyle name="Data   - Opmaakprofiel2 2 3 2 7" xfId="4514"/>
    <cellStyle name="Data   - Opmaakprofiel2 2 3 2 7 2" xfId="13345"/>
    <cellStyle name="Data   - Opmaakprofiel2 2 3 2 7 3" xfId="25397"/>
    <cellStyle name="Data   - Opmaakprofiel2 2 3 2 7 4" xfId="40591"/>
    <cellStyle name="Data   - Opmaakprofiel2 2 3 2 7 5" xfId="45421"/>
    <cellStyle name="Data   - Opmaakprofiel2 2 3 2 8" xfId="10251"/>
    <cellStyle name="Data   - Opmaakprofiel2 2 3 2 8 2" xfId="22549"/>
    <cellStyle name="Data   - Opmaakprofiel2 2 3 2 8 3" xfId="44310"/>
    <cellStyle name="Data   - Opmaakprofiel2 2 3 2 8 4" xfId="28920"/>
    <cellStyle name="Data   - Opmaakprofiel2 2 3 2 8 5" xfId="55216"/>
    <cellStyle name="Data   - Opmaakprofiel2 2 3 2 9" xfId="13339"/>
    <cellStyle name="Data   - Opmaakprofiel2 2 3 3" xfId="433"/>
    <cellStyle name="Data   - Opmaakprofiel2 2 3 3 2" xfId="1717"/>
    <cellStyle name="Data   - Opmaakprofiel2 2 3 3 2 2" xfId="8372"/>
    <cellStyle name="Data   - Opmaakprofiel2 2 3 3 2 2 2" xfId="20670"/>
    <cellStyle name="Data   - Opmaakprofiel2 2 3 3 2 2 3" xfId="32722"/>
    <cellStyle name="Data   - Opmaakprofiel2 2 3 3 2 2 4" xfId="43119"/>
    <cellStyle name="Data   - Opmaakprofiel2 2 3 3 2 2 5" xfId="53337"/>
    <cellStyle name="Data   - Opmaakprofiel2 2 3 3 2 3" xfId="13347"/>
    <cellStyle name="Data   - Opmaakprofiel2 2 3 3 2 4" xfId="25399"/>
    <cellStyle name="Data   - Opmaakprofiel2 2 3 3 2 5" xfId="40590"/>
    <cellStyle name="Data   - Opmaakprofiel2 2 3 3 2 6" xfId="39594"/>
    <cellStyle name="Data   - Opmaakprofiel2 2 3 3 3" xfId="2504"/>
    <cellStyle name="Data   - Opmaakprofiel2 2 3 3 3 2" xfId="8373"/>
    <cellStyle name="Data   - Opmaakprofiel2 2 3 3 3 2 2" xfId="20671"/>
    <cellStyle name="Data   - Opmaakprofiel2 2 3 3 3 2 3" xfId="32723"/>
    <cellStyle name="Data   - Opmaakprofiel2 2 3 3 3 2 4" xfId="26366"/>
    <cellStyle name="Data   - Opmaakprofiel2 2 3 3 3 2 5" xfId="53338"/>
    <cellStyle name="Data   - Opmaakprofiel2 2 3 3 3 3" xfId="13348"/>
    <cellStyle name="Data   - Opmaakprofiel2 2 3 3 3 4" xfId="25400"/>
    <cellStyle name="Data   - Opmaakprofiel2 2 3 3 3 5" xfId="46131"/>
    <cellStyle name="Data   - Opmaakprofiel2 2 3 3 3 6" xfId="45430"/>
    <cellStyle name="Data   - Opmaakprofiel2 2 3 3 4" xfId="2019"/>
    <cellStyle name="Data   - Opmaakprofiel2 2 3 3 4 2" xfId="8374"/>
    <cellStyle name="Data   - Opmaakprofiel2 2 3 3 4 2 2" xfId="20672"/>
    <cellStyle name="Data   - Opmaakprofiel2 2 3 3 4 2 3" xfId="32724"/>
    <cellStyle name="Data   - Opmaakprofiel2 2 3 3 4 2 4" xfId="31666"/>
    <cellStyle name="Data   - Opmaakprofiel2 2 3 3 4 2 5" xfId="53339"/>
    <cellStyle name="Data   - Opmaakprofiel2 2 3 3 4 3" xfId="13349"/>
    <cellStyle name="Data   - Opmaakprofiel2 2 3 3 4 4" xfId="25401"/>
    <cellStyle name="Data   - Opmaakprofiel2 2 3 3 4 5" xfId="40589"/>
    <cellStyle name="Data   - Opmaakprofiel2 2 3 3 4 6" xfId="39602"/>
    <cellStyle name="Data   - Opmaakprofiel2 2 3 3 5" xfId="4515"/>
    <cellStyle name="Data   - Opmaakprofiel2 2 3 3 5 2" xfId="8375"/>
    <cellStyle name="Data   - Opmaakprofiel2 2 3 3 5 2 2" xfId="20673"/>
    <cellStyle name="Data   - Opmaakprofiel2 2 3 3 5 2 3" xfId="32725"/>
    <cellStyle name="Data   - Opmaakprofiel2 2 3 3 5 2 4" xfId="26376"/>
    <cellStyle name="Data   - Opmaakprofiel2 2 3 3 5 2 5" xfId="53340"/>
    <cellStyle name="Data   - Opmaakprofiel2 2 3 3 5 3" xfId="13350"/>
    <cellStyle name="Data   - Opmaakprofiel2 2 3 3 5 4" xfId="25402"/>
    <cellStyle name="Data   - Opmaakprofiel2 2 3 3 5 5" xfId="40588"/>
    <cellStyle name="Data   - Opmaakprofiel2 2 3 3 5 6" xfId="45436"/>
    <cellStyle name="Data   - Opmaakprofiel2 2 3 3 6" xfId="4516"/>
    <cellStyle name="Data   - Opmaakprofiel2 2 3 3 6 2" xfId="8376"/>
    <cellStyle name="Data   - Opmaakprofiel2 2 3 3 6 2 2" xfId="20674"/>
    <cellStyle name="Data   - Opmaakprofiel2 2 3 3 6 2 3" xfId="32726"/>
    <cellStyle name="Data   - Opmaakprofiel2 2 3 3 6 2 4" xfId="43118"/>
    <cellStyle name="Data   - Opmaakprofiel2 2 3 3 6 2 5" xfId="53341"/>
    <cellStyle name="Data   - Opmaakprofiel2 2 3 3 6 3" xfId="13351"/>
    <cellStyle name="Data   - Opmaakprofiel2 2 3 3 6 4" xfId="25403"/>
    <cellStyle name="Data   - Opmaakprofiel2 2 3 3 6 5" xfId="40587"/>
    <cellStyle name="Data   - Opmaakprofiel2 2 3 3 6 6" xfId="45438"/>
    <cellStyle name="Data   - Opmaakprofiel2 2 3 3 7" xfId="4517"/>
    <cellStyle name="Data   - Opmaakprofiel2 2 3 3 7 2" xfId="13352"/>
    <cellStyle name="Data   - Opmaakprofiel2 2 3 3 7 3" xfId="25404"/>
    <cellStyle name="Data   - Opmaakprofiel2 2 3 3 7 4" xfId="46130"/>
    <cellStyle name="Data   - Opmaakprofiel2 2 3 3 7 5" xfId="39617"/>
    <cellStyle name="Data   - Opmaakprofiel2 2 3 3 8" xfId="10385"/>
    <cellStyle name="Data   - Opmaakprofiel2 2 3 3 8 2" xfId="22683"/>
    <cellStyle name="Data   - Opmaakprofiel2 2 3 3 8 3" xfId="44443"/>
    <cellStyle name="Data   - Opmaakprofiel2 2 3 3 8 4" xfId="29193"/>
    <cellStyle name="Data   - Opmaakprofiel2 2 3 3 8 5" xfId="55350"/>
    <cellStyle name="Data   - Opmaakprofiel2 2 3 3 9" xfId="13346"/>
    <cellStyle name="Data   - Opmaakprofiel2 2 3 4" xfId="579"/>
    <cellStyle name="Data   - Opmaakprofiel2 2 3 4 2" xfId="2393"/>
    <cellStyle name="Data   - Opmaakprofiel2 2 3 4 2 2" xfId="8377"/>
    <cellStyle name="Data   - Opmaakprofiel2 2 3 4 2 2 2" xfId="20675"/>
    <cellStyle name="Data   - Opmaakprofiel2 2 3 4 2 2 3" xfId="32727"/>
    <cellStyle name="Data   - Opmaakprofiel2 2 3 4 2 2 4" xfId="31872"/>
    <cellStyle name="Data   - Opmaakprofiel2 2 3 4 2 2 5" xfId="53342"/>
    <cellStyle name="Data   - Opmaakprofiel2 2 3 4 2 3" xfId="13354"/>
    <cellStyle name="Data   - Opmaakprofiel2 2 3 4 2 4" xfId="25406"/>
    <cellStyle name="Data   - Opmaakprofiel2 2 3 4 2 5" xfId="46129"/>
    <cellStyle name="Data   - Opmaakprofiel2 2 3 4 2 6" xfId="39625"/>
    <cellStyle name="Data   - Opmaakprofiel2 2 3 4 3" xfId="2650"/>
    <cellStyle name="Data   - Opmaakprofiel2 2 3 4 3 2" xfId="8378"/>
    <cellStyle name="Data   - Opmaakprofiel2 2 3 4 3 2 2" xfId="20676"/>
    <cellStyle name="Data   - Opmaakprofiel2 2 3 4 3 2 3" xfId="32728"/>
    <cellStyle name="Data   - Opmaakprofiel2 2 3 4 3 2 4" xfId="43117"/>
    <cellStyle name="Data   - Opmaakprofiel2 2 3 4 3 2 5" xfId="53343"/>
    <cellStyle name="Data   - Opmaakprofiel2 2 3 4 3 3" xfId="13355"/>
    <cellStyle name="Data   - Opmaakprofiel2 2 3 4 3 4" xfId="25407"/>
    <cellStyle name="Data   - Opmaakprofiel2 2 3 4 3 5" xfId="40585"/>
    <cellStyle name="Data   - Opmaakprofiel2 2 3 4 3 6" xfId="39629"/>
    <cellStyle name="Data   - Opmaakprofiel2 2 3 4 4" xfId="3527"/>
    <cellStyle name="Data   - Opmaakprofiel2 2 3 4 4 2" xfId="8379"/>
    <cellStyle name="Data   - Opmaakprofiel2 2 3 4 4 2 2" xfId="20677"/>
    <cellStyle name="Data   - Opmaakprofiel2 2 3 4 4 2 3" xfId="32729"/>
    <cellStyle name="Data   - Opmaakprofiel2 2 3 4 4 2 4" xfId="26380"/>
    <cellStyle name="Data   - Opmaakprofiel2 2 3 4 4 2 5" xfId="53344"/>
    <cellStyle name="Data   - Opmaakprofiel2 2 3 4 4 3" xfId="13356"/>
    <cellStyle name="Data   - Opmaakprofiel2 2 3 4 4 4" xfId="25408"/>
    <cellStyle name="Data   - Opmaakprofiel2 2 3 4 4 5" xfId="46128"/>
    <cellStyle name="Data   - Opmaakprofiel2 2 3 4 4 6" xfId="39633"/>
    <cellStyle name="Data   - Opmaakprofiel2 2 3 4 5" xfId="4518"/>
    <cellStyle name="Data   - Opmaakprofiel2 2 3 4 5 2" xfId="8380"/>
    <cellStyle name="Data   - Opmaakprofiel2 2 3 4 5 2 2" xfId="20678"/>
    <cellStyle name="Data   - Opmaakprofiel2 2 3 4 5 2 3" xfId="32730"/>
    <cellStyle name="Data   - Opmaakprofiel2 2 3 4 5 2 4" xfId="34442"/>
    <cellStyle name="Data   - Opmaakprofiel2 2 3 4 5 2 5" xfId="53345"/>
    <cellStyle name="Data   - Opmaakprofiel2 2 3 4 5 3" xfId="13357"/>
    <cellStyle name="Data   - Opmaakprofiel2 2 3 4 5 4" xfId="25409"/>
    <cellStyle name="Data   - Opmaakprofiel2 2 3 4 5 5" xfId="40584"/>
    <cellStyle name="Data   - Opmaakprofiel2 2 3 4 5 6" xfId="39635"/>
    <cellStyle name="Data   - Opmaakprofiel2 2 3 4 6" xfId="4519"/>
    <cellStyle name="Data   - Opmaakprofiel2 2 3 4 6 2" xfId="8381"/>
    <cellStyle name="Data   - Opmaakprofiel2 2 3 4 6 2 2" xfId="20679"/>
    <cellStyle name="Data   - Opmaakprofiel2 2 3 4 6 2 3" xfId="32731"/>
    <cellStyle name="Data   - Opmaakprofiel2 2 3 4 6 2 4" xfId="43116"/>
    <cellStyle name="Data   - Opmaakprofiel2 2 3 4 6 2 5" xfId="53346"/>
    <cellStyle name="Data   - Opmaakprofiel2 2 3 4 6 3" xfId="13358"/>
    <cellStyle name="Data   - Opmaakprofiel2 2 3 4 6 4" xfId="25410"/>
    <cellStyle name="Data   - Opmaakprofiel2 2 3 4 6 5" xfId="46127"/>
    <cellStyle name="Data   - Opmaakprofiel2 2 3 4 6 6" xfId="45460"/>
    <cellStyle name="Data   - Opmaakprofiel2 2 3 4 7" xfId="4520"/>
    <cellStyle name="Data   - Opmaakprofiel2 2 3 4 7 2" xfId="13359"/>
    <cellStyle name="Data   - Opmaakprofiel2 2 3 4 7 3" xfId="25411"/>
    <cellStyle name="Data   - Opmaakprofiel2 2 3 4 7 4" xfId="40583"/>
    <cellStyle name="Data   - Opmaakprofiel2 2 3 4 7 5" xfId="39646"/>
    <cellStyle name="Data   - Opmaakprofiel2 2 3 4 8" xfId="7596"/>
    <cellStyle name="Data   - Opmaakprofiel2 2 3 4 8 2" xfId="19894"/>
    <cellStyle name="Data   - Opmaakprofiel2 2 3 4 8 3" xfId="41697"/>
    <cellStyle name="Data   - Opmaakprofiel2 2 3 4 8 4" xfId="43443"/>
    <cellStyle name="Data   - Opmaakprofiel2 2 3 4 8 5" xfId="52566"/>
    <cellStyle name="Data   - Opmaakprofiel2 2 3 4 9" xfId="13353"/>
    <cellStyle name="Data   - Opmaakprofiel2 2 3 5" xfId="542"/>
    <cellStyle name="Data   - Opmaakprofiel2 2 3 5 2" xfId="2337"/>
    <cellStyle name="Data   - Opmaakprofiel2 2 3 5 2 2" xfId="8382"/>
    <cellStyle name="Data   - Opmaakprofiel2 2 3 5 2 2 2" xfId="20680"/>
    <cellStyle name="Data   - Opmaakprofiel2 2 3 5 2 2 3" xfId="32732"/>
    <cellStyle name="Data   - Opmaakprofiel2 2 3 5 2 2 4" xfId="26387"/>
    <cellStyle name="Data   - Opmaakprofiel2 2 3 5 2 2 5" xfId="53347"/>
    <cellStyle name="Data   - Opmaakprofiel2 2 3 5 2 3" xfId="13361"/>
    <cellStyle name="Data   - Opmaakprofiel2 2 3 5 2 4" xfId="25413"/>
    <cellStyle name="Data   - Opmaakprofiel2 2 3 5 2 5" xfId="40582"/>
    <cellStyle name="Data   - Opmaakprofiel2 2 3 5 2 6" xfId="39653"/>
    <cellStyle name="Data   - Opmaakprofiel2 2 3 5 3" xfId="2613"/>
    <cellStyle name="Data   - Opmaakprofiel2 2 3 5 3 2" xfId="8383"/>
    <cellStyle name="Data   - Opmaakprofiel2 2 3 5 3 2 2" xfId="20681"/>
    <cellStyle name="Data   - Opmaakprofiel2 2 3 5 3 2 3" xfId="32733"/>
    <cellStyle name="Data   - Opmaakprofiel2 2 3 5 3 2 4" xfId="43115"/>
    <cellStyle name="Data   - Opmaakprofiel2 2 3 5 3 2 5" xfId="53348"/>
    <cellStyle name="Data   - Opmaakprofiel2 2 3 5 3 3" xfId="13362"/>
    <cellStyle name="Data   - Opmaakprofiel2 2 3 5 3 4" xfId="25414"/>
    <cellStyle name="Data   - Opmaakprofiel2 2 3 5 3 5" xfId="40581"/>
    <cellStyle name="Data   - Opmaakprofiel2 2 3 5 3 6" xfId="39657"/>
    <cellStyle name="Data   - Opmaakprofiel2 2 3 5 4" xfId="3492"/>
    <cellStyle name="Data   - Opmaakprofiel2 2 3 5 4 2" xfId="8384"/>
    <cellStyle name="Data   - Opmaakprofiel2 2 3 5 4 2 2" xfId="20682"/>
    <cellStyle name="Data   - Opmaakprofiel2 2 3 5 4 2 3" xfId="32734"/>
    <cellStyle name="Data   - Opmaakprofiel2 2 3 5 4 2 4" xfId="31930"/>
    <cellStyle name="Data   - Opmaakprofiel2 2 3 5 4 2 5" xfId="53349"/>
    <cellStyle name="Data   - Opmaakprofiel2 2 3 5 4 3" xfId="13363"/>
    <cellStyle name="Data   - Opmaakprofiel2 2 3 5 4 4" xfId="25415"/>
    <cellStyle name="Data   - Opmaakprofiel2 2 3 5 4 5" xfId="40580"/>
    <cellStyle name="Data   - Opmaakprofiel2 2 3 5 4 6" xfId="39661"/>
    <cellStyle name="Data   - Opmaakprofiel2 2 3 5 5" xfId="4521"/>
    <cellStyle name="Data   - Opmaakprofiel2 2 3 5 5 2" xfId="8385"/>
    <cellStyle name="Data   - Opmaakprofiel2 2 3 5 5 2 2" xfId="20683"/>
    <cellStyle name="Data   - Opmaakprofiel2 2 3 5 5 2 3" xfId="32735"/>
    <cellStyle name="Data   - Opmaakprofiel2 2 3 5 5 2 4" xfId="43114"/>
    <cellStyle name="Data   - Opmaakprofiel2 2 3 5 5 2 5" xfId="53350"/>
    <cellStyle name="Data   - Opmaakprofiel2 2 3 5 5 3" xfId="13364"/>
    <cellStyle name="Data   - Opmaakprofiel2 2 3 5 5 4" xfId="25416"/>
    <cellStyle name="Data   - Opmaakprofiel2 2 3 5 5 5" xfId="46125"/>
    <cellStyle name="Data   - Opmaakprofiel2 2 3 5 5 6" xfId="39665"/>
    <cellStyle name="Data   - Opmaakprofiel2 2 3 5 6" xfId="4522"/>
    <cellStyle name="Data   - Opmaakprofiel2 2 3 5 6 2" xfId="8386"/>
    <cellStyle name="Data   - Opmaakprofiel2 2 3 5 6 2 2" xfId="20684"/>
    <cellStyle name="Data   - Opmaakprofiel2 2 3 5 6 2 3" xfId="32736"/>
    <cellStyle name="Data   - Opmaakprofiel2 2 3 5 6 2 4" xfId="26394"/>
    <cellStyle name="Data   - Opmaakprofiel2 2 3 5 6 2 5" xfId="53351"/>
    <cellStyle name="Data   - Opmaakprofiel2 2 3 5 6 3" xfId="13365"/>
    <cellStyle name="Data   - Opmaakprofiel2 2 3 5 6 4" xfId="25417"/>
    <cellStyle name="Data   - Opmaakprofiel2 2 3 5 6 5" xfId="40579"/>
    <cellStyle name="Data   - Opmaakprofiel2 2 3 5 6 6" xfId="39669"/>
    <cellStyle name="Data   - Opmaakprofiel2 2 3 5 7" xfId="4523"/>
    <cellStyle name="Data   - Opmaakprofiel2 2 3 5 7 2" xfId="13366"/>
    <cellStyle name="Data   - Opmaakprofiel2 2 3 5 7 3" xfId="25418"/>
    <cellStyle name="Data   - Opmaakprofiel2 2 3 5 7 4" xfId="46124"/>
    <cellStyle name="Data   - Opmaakprofiel2 2 3 5 7 5" xfId="45483"/>
    <cellStyle name="Data   - Opmaakprofiel2 2 3 5 8" xfId="10311"/>
    <cellStyle name="Data   - Opmaakprofiel2 2 3 5 8 2" xfId="22609"/>
    <cellStyle name="Data   - Opmaakprofiel2 2 3 5 8 3" xfId="44370"/>
    <cellStyle name="Data   - Opmaakprofiel2 2 3 5 8 4" xfId="34319"/>
    <cellStyle name="Data   - Opmaakprofiel2 2 3 5 8 5" xfId="55276"/>
    <cellStyle name="Data   - Opmaakprofiel2 2 3 5 9" xfId="13360"/>
    <cellStyle name="Data   - Opmaakprofiel2 2 3 6" xfId="462"/>
    <cellStyle name="Data   - Opmaakprofiel2 2 3 6 2" xfId="2331"/>
    <cellStyle name="Data   - Opmaakprofiel2 2 3 6 2 2" xfId="8387"/>
    <cellStyle name="Data   - Opmaakprofiel2 2 3 6 2 2 2" xfId="20685"/>
    <cellStyle name="Data   - Opmaakprofiel2 2 3 6 2 2 3" xfId="32737"/>
    <cellStyle name="Data   - Opmaakprofiel2 2 3 6 2 2 4" xfId="32016"/>
    <cellStyle name="Data   - Opmaakprofiel2 2 3 6 2 2 5" xfId="53352"/>
    <cellStyle name="Data   - Opmaakprofiel2 2 3 6 2 3" xfId="13368"/>
    <cellStyle name="Data   - Opmaakprofiel2 2 3 6 2 4" xfId="25420"/>
    <cellStyle name="Data   - Opmaakprofiel2 2 3 6 2 5" xfId="46123"/>
    <cellStyle name="Data   - Opmaakprofiel2 2 3 6 2 6" xfId="45489"/>
    <cellStyle name="Data   - Opmaakprofiel2 2 3 6 3" xfId="2533"/>
    <cellStyle name="Data   - Opmaakprofiel2 2 3 6 3 2" xfId="8388"/>
    <cellStyle name="Data   - Opmaakprofiel2 2 3 6 3 2 2" xfId="20686"/>
    <cellStyle name="Data   - Opmaakprofiel2 2 3 6 3 2 3" xfId="32738"/>
    <cellStyle name="Data   - Opmaakprofiel2 2 3 6 3 2 4" xfId="43113"/>
    <cellStyle name="Data   - Opmaakprofiel2 2 3 6 3 2 5" xfId="53353"/>
    <cellStyle name="Data   - Opmaakprofiel2 2 3 6 3 3" xfId="13369"/>
    <cellStyle name="Data   - Opmaakprofiel2 2 3 6 3 4" xfId="25421"/>
    <cellStyle name="Data   - Opmaakprofiel2 2 3 6 3 5" xfId="40577"/>
    <cellStyle name="Data   - Opmaakprofiel2 2 3 6 3 6" xfId="39684"/>
    <cellStyle name="Data   - Opmaakprofiel2 2 3 6 4" xfId="3421"/>
    <cellStyle name="Data   - Opmaakprofiel2 2 3 6 4 2" xfId="8389"/>
    <cellStyle name="Data   - Opmaakprofiel2 2 3 6 4 2 2" xfId="20687"/>
    <cellStyle name="Data   - Opmaakprofiel2 2 3 6 4 2 3" xfId="32739"/>
    <cellStyle name="Data   - Opmaakprofiel2 2 3 6 4 2 4" xfId="26401"/>
    <cellStyle name="Data   - Opmaakprofiel2 2 3 6 4 2 5" xfId="53354"/>
    <cellStyle name="Data   - Opmaakprofiel2 2 3 6 4 3" xfId="13370"/>
    <cellStyle name="Data   - Opmaakprofiel2 2 3 6 4 4" xfId="25422"/>
    <cellStyle name="Data   - Opmaakprofiel2 2 3 6 4 5" xfId="46122"/>
    <cellStyle name="Data   - Opmaakprofiel2 2 3 6 4 6" xfId="45495"/>
    <cellStyle name="Data   - Opmaakprofiel2 2 3 6 5" xfId="4524"/>
    <cellStyle name="Data   - Opmaakprofiel2 2 3 6 5 2" xfId="8390"/>
    <cellStyle name="Data   - Opmaakprofiel2 2 3 6 5 2 2" xfId="20688"/>
    <cellStyle name="Data   - Opmaakprofiel2 2 3 6 5 2 3" xfId="32740"/>
    <cellStyle name="Data   - Opmaakprofiel2 2 3 6 5 2 4" xfId="43112"/>
    <cellStyle name="Data   - Opmaakprofiel2 2 3 6 5 2 5" xfId="53355"/>
    <cellStyle name="Data   - Opmaakprofiel2 2 3 6 5 3" xfId="13371"/>
    <cellStyle name="Data   - Opmaakprofiel2 2 3 6 5 4" xfId="25423"/>
    <cellStyle name="Data   - Opmaakprofiel2 2 3 6 5 5" xfId="40576"/>
    <cellStyle name="Data   - Opmaakprofiel2 2 3 6 5 6" xfId="39693"/>
    <cellStyle name="Data   - Opmaakprofiel2 2 3 6 6" xfId="4525"/>
    <cellStyle name="Data   - Opmaakprofiel2 2 3 6 6 2" xfId="8391"/>
    <cellStyle name="Data   - Opmaakprofiel2 2 3 6 6 2 2" xfId="20689"/>
    <cellStyle name="Data   - Opmaakprofiel2 2 3 6 6 2 3" xfId="32741"/>
    <cellStyle name="Data   - Opmaakprofiel2 2 3 6 6 2 4" xfId="31721"/>
    <cellStyle name="Data   - Opmaakprofiel2 2 3 6 6 2 5" xfId="53356"/>
    <cellStyle name="Data   - Opmaakprofiel2 2 3 6 6 3" xfId="13372"/>
    <cellStyle name="Data   - Opmaakprofiel2 2 3 6 6 4" xfId="25424"/>
    <cellStyle name="Data   - Opmaakprofiel2 2 3 6 6 5" xfId="46121"/>
    <cellStyle name="Data   - Opmaakprofiel2 2 3 6 6 6" xfId="45501"/>
    <cellStyle name="Data   - Opmaakprofiel2 2 3 6 7" xfId="4526"/>
    <cellStyle name="Data   - Opmaakprofiel2 2 3 6 7 2" xfId="13373"/>
    <cellStyle name="Data   - Opmaakprofiel2 2 3 6 7 3" xfId="25425"/>
    <cellStyle name="Data   - Opmaakprofiel2 2 3 6 7 4" xfId="40575"/>
    <cellStyle name="Data   - Opmaakprofiel2 2 3 6 7 5" xfId="39701"/>
    <cellStyle name="Data   - Opmaakprofiel2 2 3 6 8" xfId="10365"/>
    <cellStyle name="Data   - Opmaakprofiel2 2 3 6 8 2" xfId="22663"/>
    <cellStyle name="Data   - Opmaakprofiel2 2 3 6 8 3" xfId="44423"/>
    <cellStyle name="Data   - Opmaakprofiel2 2 3 6 8 4" xfId="29148"/>
    <cellStyle name="Data   - Opmaakprofiel2 2 3 6 8 5" xfId="55330"/>
    <cellStyle name="Data   - Opmaakprofiel2 2 3 6 9" xfId="13367"/>
    <cellStyle name="Data   - Opmaakprofiel2 2 3 7" xfId="955"/>
    <cellStyle name="Data   - Opmaakprofiel2 2 3 7 2" xfId="2333"/>
    <cellStyle name="Data   - Opmaakprofiel2 2 3 7 2 2" xfId="8392"/>
    <cellStyle name="Data   - Opmaakprofiel2 2 3 7 2 2 2" xfId="20690"/>
    <cellStyle name="Data   - Opmaakprofiel2 2 3 7 2 2 3" xfId="32742"/>
    <cellStyle name="Data   - Opmaakprofiel2 2 3 7 2 2 4" xfId="43111"/>
    <cellStyle name="Data   - Opmaakprofiel2 2 3 7 2 2 5" xfId="53357"/>
    <cellStyle name="Data   - Opmaakprofiel2 2 3 7 2 3" xfId="13375"/>
    <cellStyle name="Data   - Opmaakprofiel2 2 3 7 2 4" xfId="25427"/>
    <cellStyle name="Data   - Opmaakprofiel2 2 3 7 2 5" xfId="40573"/>
    <cellStyle name="Data   - Opmaakprofiel2 2 3 7 2 6" xfId="39709"/>
    <cellStyle name="Data   - Opmaakprofiel2 2 3 7 3" xfId="2966"/>
    <cellStyle name="Data   - Opmaakprofiel2 2 3 7 3 2" xfId="8393"/>
    <cellStyle name="Data   - Opmaakprofiel2 2 3 7 3 2 2" xfId="20691"/>
    <cellStyle name="Data   - Opmaakprofiel2 2 3 7 3 2 3" xfId="32743"/>
    <cellStyle name="Data   - Opmaakprofiel2 2 3 7 3 2 4" xfId="26408"/>
    <cellStyle name="Data   - Opmaakprofiel2 2 3 7 3 2 5" xfId="53358"/>
    <cellStyle name="Data   - Opmaakprofiel2 2 3 7 3 3" xfId="13376"/>
    <cellStyle name="Data   - Opmaakprofiel2 2 3 7 3 4" xfId="25428"/>
    <cellStyle name="Data   - Opmaakprofiel2 2 3 7 3 5" xfId="46120"/>
    <cellStyle name="Data   - Opmaakprofiel2 2 3 7 3 6" xfId="39713"/>
    <cellStyle name="Data   - Opmaakprofiel2 2 3 7 4" xfId="3812"/>
    <cellStyle name="Data   - Opmaakprofiel2 2 3 7 4 2" xfId="8394"/>
    <cellStyle name="Data   - Opmaakprofiel2 2 3 7 4 2 2" xfId="20692"/>
    <cellStyle name="Data   - Opmaakprofiel2 2 3 7 4 2 3" xfId="32744"/>
    <cellStyle name="Data   - Opmaakprofiel2 2 3 7 4 2 4" xfId="43110"/>
    <cellStyle name="Data   - Opmaakprofiel2 2 3 7 4 2 5" xfId="53359"/>
    <cellStyle name="Data   - Opmaakprofiel2 2 3 7 4 3" xfId="13377"/>
    <cellStyle name="Data   - Opmaakprofiel2 2 3 7 4 4" xfId="25429"/>
    <cellStyle name="Data   - Opmaakprofiel2 2 3 7 4 5" xfId="40572"/>
    <cellStyle name="Data   - Opmaakprofiel2 2 3 7 4 6" xfId="39717"/>
    <cellStyle name="Data   - Opmaakprofiel2 2 3 7 5" xfId="4527"/>
    <cellStyle name="Data   - Opmaakprofiel2 2 3 7 5 2" xfId="8395"/>
    <cellStyle name="Data   - Opmaakprofiel2 2 3 7 5 2 2" xfId="20693"/>
    <cellStyle name="Data   - Opmaakprofiel2 2 3 7 5 2 3" xfId="32745"/>
    <cellStyle name="Data   - Opmaakprofiel2 2 3 7 5 2 4" xfId="31444"/>
    <cellStyle name="Data   - Opmaakprofiel2 2 3 7 5 2 5" xfId="53360"/>
    <cellStyle name="Data   - Opmaakprofiel2 2 3 7 5 3" xfId="13378"/>
    <cellStyle name="Data   - Opmaakprofiel2 2 3 7 5 4" xfId="25430"/>
    <cellStyle name="Data   - Opmaakprofiel2 2 3 7 5 5" xfId="46119"/>
    <cellStyle name="Data   - Opmaakprofiel2 2 3 7 5 6" xfId="39723"/>
    <cellStyle name="Data   - Opmaakprofiel2 2 3 7 6" xfId="4528"/>
    <cellStyle name="Data   - Opmaakprofiel2 2 3 7 6 2" xfId="8396"/>
    <cellStyle name="Data   - Opmaakprofiel2 2 3 7 6 2 2" xfId="20694"/>
    <cellStyle name="Data   - Opmaakprofiel2 2 3 7 6 2 3" xfId="32746"/>
    <cellStyle name="Data   - Opmaakprofiel2 2 3 7 6 2 4" xfId="43109"/>
    <cellStyle name="Data   - Opmaakprofiel2 2 3 7 6 2 5" xfId="53361"/>
    <cellStyle name="Data   - Opmaakprofiel2 2 3 7 6 3" xfId="13379"/>
    <cellStyle name="Data   - Opmaakprofiel2 2 3 7 6 4" xfId="25431"/>
    <cellStyle name="Data   - Opmaakprofiel2 2 3 7 6 5" xfId="40571"/>
    <cellStyle name="Data   - Opmaakprofiel2 2 3 7 6 6" xfId="39727"/>
    <cellStyle name="Data   - Opmaakprofiel2 2 3 7 7" xfId="4529"/>
    <cellStyle name="Data   - Opmaakprofiel2 2 3 7 7 2" xfId="13380"/>
    <cellStyle name="Data   - Opmaakprofiel2 2 3 7 7 3" xfId="25432"/>
    <cellStyle name="Data   - Opmaakprofiel2 2 3 7 7 4" xfId="46118"/>
    <cellStyle name="Data   - Opmaakprofiel2 2 3 7 7 5" xfId="39731"/>
    <cellStyle name="Data   - Opmaakprofiel2 2 3 7 8" xfId="7342"/>
    <cellStyle name="Data   - Opmaakprofiel2 2 3 7 8 2" xfId="19640"/>
    <cellStyle name="Data   - Opmaakprofiel2 2 3 7 8 3" xfId="41443"/>
    <cellStyle name="Data   - Opmaakprofiel2 2 3 7 8 4" xfId="43549"/>
    <cellStyle name="Data   - Opmaakprofiel2 2 3 7 8 5" xfId="52312"/>
    <cellStyle name="Data   - Opmaakprofiel2 2 3 7 9" xfId="13374"/>
    <cellStyle name="Data   - Opmaakprofiel2 2 3 8" xfId="1325"/>
    <cellStyle name="Data   - Opmaakprofiel2 2 3 8 2" xfId="2155"/>
    <cellStyle name="Data   - Opmaakprofiel2 2 3 8 2 2" xfId="8397"/>
    <cellStyle name="Data   - Opmaakprofiel2 2 3 8 2 2 2" xfId="20695"/>
    <cellStyle name="Data   - Opmaakprofiel2 2 3 8 2 2 3" xfId="32747"/>
    <cellStyle name="Data   - Opmaakprofiel2 2 3 8 2 2 4" xfId="26418"/>
    <cellStyle name="Data   - Opmaakprofiel2 2 3 8 2 2 5" xfId="53362"/>
    <cellStyle name="Data   - Opmaakprofiel2 2 3 8 2 3" xfId="13382"/>
    <cellStyle name="Data   - Opmaakprofiel2 2 3 8 2 4" xfId="25434"/>
    <cellStyle name="Data   - Opmaakprofiel2 2 3 8 2 5" xfId="46117"/>
    <cellStyle name="Data   - Opmaakprofiel2 2 3 8 2 6" xfId="39739"/>
    <cellStyle name="Data   - Opmaakprofiel2 2 3 8 3" xfId="3336"/>
    <cellStyle name="Data   - Opmaakprofiel2 2 3 8 3 2" xfId="8398"/>
    <cellStyle name="Data   - Opmaakprofiel2 2 3 8 3 2 2" xfId="20696"/>
    <cellStyle name="Data   - Opmaakprofiel2 2 3 8 3 2 3" xfId="32748"/>
    <cellStyle name="Data   - Opmaakprofiel2 2 3 8 3 2 4" xfId="31852"/>
    <cellStyle name="Data   - Opmaakprofiel2 2 3 8 3 2 5" xfId="53363"/>
    <cellStyle name="Data   - Opmaakprofiel2 2 3 8 3 3" xfId="13383"/>
    <cellStyle name="Data   - Opmaakprofiel2 2 3 8 3 4" xfId="25435"/>
    <cellStyle name="Data   - Opmaakprofiel2 2 3 8 3 5" xfId="40570"/>
    <cellStyle name="Data   - Opmaakprofiel2 2 3 8 3 6" xfId="39742"/>
    <cellStyle name="Data   - Opmaakprofiel2 2 3 8 4" xfId="4117"/>
    <cellStyle name="Data   - Opmaakprofiel2 2 3 8 4 2" xfId="8399"/>
    <cellStyle name="Data   - Opmaakprofiel2 2 3 8 4 2 2" xfId="20697"/>
    <cellStyle name="Data   - Opmaakprofiel2 2 3 8 4 2 3" xfId="32749"/>
    <cellStyle name="Data   - Opmaakprofiel2 2 3 8 4 2 4" xfId="26422"/>
    <cellStyle name="Data   - Opmaakprofiel2 2 3 8 4 2 5" xfId="53364"/>
    <cellStyle name="Data   - Opmaakprofiel2 2 3 8 4 3" xfId="13384"/>
    <cellStyle name="Data   - Opmaakprofiel2 2 3 8 4 4" xfId="25436"/>
    <cellStyle name="Data   - Opmaakprofiel2 2 3 8 4 5" xfId="46116"/>
    <cellStyle name="Data   - Opmaakprofiel2 2 3 8 4 6" xfId="39747"/>
    <cellStyle name="Data   - Opmaakprofiel2 2 3 8 5" xfId="4530"/>
    <cellStyle name="Data   - Opmaakprofiel2 2 3 8 5 2" xfId="8400"/>
    <cellStyle name="Data   - Opmaakprofiel2 2 3 8 5 2 2" xfId="20698"/>
    <cellStyle name="Data   - Opmaakprofiel2 2 3 8 5 2 3" xfId="32750"/>
    <cellStyle name="Data   - Opmaakprofiel2 2 3 8 5 2 4" xfId="43108"/>
    <cellStyle name="Data   - Opmaakprofiel2 2 3 8 5 2 5" xfId="53365"/>
    <cellStyle name="Data   - Opmaakprofiel2 2 3 8 5 3" xfId="13385"/>
    <cellStyle name="Data   - Opmaakprofiel2 2 3 8 5 4" xfId="25437"/>
    <cellStyle name="Data   - Opmaakprofiel2 2 3 8 5 5" xfId="40569"/>
    <cellStyle name="Data   - Opmaakprofiel2 2 3 8 5 6" xfId="39752"/>
    <cellStyle name="Data   - Opmaakprofiel2 2 3 8 6" xfId="4531"/>
    <cellStyle name="Data   - Opmaakprofiel2 2 3 8 6 2" xfId="8401"/>
    <cellStyle name="Data   - Opmaakprofiel2 2 3 8 6 2 2" xfId="20699"/>
    <cellStyle name="Data   - Opmaakprofiel2 2 3 8 6 2 3" xfId="32751"/>
    <cellStyle name="Data   - Opmaakprofiel2 2 3 8 6 2 4" xfId="31735"/>
    <cellStyle name="Data   - Opmaakprofiel2 2 3 8 6 2 5" xfId="53366"/>
    <cellStyle name="Data   - Opmaakprofiel2 2 3 8 6 3" xfId="13386"/>
    <cellStyle name="Data   - Opmaakprofiel2 2 3 8 6 4" xfId="25438"/>
    <cellStyle name="Data   - Opmaakprofiel2 2 3 8 6 5" xfId="40568"/>
    <cellStyle name="Data   - Opmaakprofiel2 2 3 8 6 6" xfId="39759"/>
    <cellStyle name="Data   - Opmaakprofiel2 2 3 8 7" xfId="4532"/>
    <cellStyle name="Data   - Opmaakprofiel2 2 3 8 7 2" xfId="13387"/>
    <cellStyle name="Data   - Opmaakprofiel2 2 3 8 7 3" xfId="25439"/>
    <cellStyle name="Data   - Opmaakprofiel2 2 3 8 7 4" xfId="40567"/>
    <cellStyle name="Data   - Opmaakprofiel2 2 3 8 7 5" xfId="39764"/>
    <cellStyle name="Data   - Opmaakprofiel2 2 3 8 8" xfId="7054"/>
    <cellStyle name="Data   - Opmaakprofiel2 2 3 8 8 2" xfId="19352"/>
    <cellStyle name="Data   - Opmaakprofiel2 2 3 8 8 3" xfId="41155"/>
    <cellStyle name="Data   - Opmaakprofiel2 2 3 8 8 4" xfId="37002"/>
    <cellStyle name="Data   - Opmaakprofiel2 2 3 8 8 5" xfId="52025"/>
    <cellStyle name="Data   - Opmaakprofiel2 2 3 8 9" xfId="13381"/>
    <cellStyle name="Data   - Opmaakprofiel2 2 3 9" xfId="1381"/>
    <cellStyle name="Data   - Opmaakprofiel2 2 3 9 2" xfId="182"/>
    <cellStyle name="Data   - Opmaakprofiel2 2 3 9 2 2" xfId="8402"/>
    <cellStyle name="Data   - Opmaakprofiel2 2 3 9 2 2 2" xfId="20700"/>
    <cellStyle name="Data   - Opmaakprofiel2 2 3 9 2 2 3" xfId="32752"/>
    <cellStyle name="Data   - Opmaakprofiel2 2 3 9 2 2 4" xfId="43107"/>
    <cellStyle name="Data   - Opmaakprofiel2 2 3 9 2 2 5" xfId="53367"/>
    <cellStyle name="Data   - Opmaakprofiel2 2 3 9 2 3" xfId="13389"/>
    <cellStyle name="Data   - Opmaakprofiel2 2 3 9 2 4" xfId="25441"/>
    <cellStyle name="Data   - Opmaakprofiel2 2 3 9 2 5" xfId="40566"/>
    <cellStyle name="Data   - Opmaakprofiel2 2 3 9 2 6" xfId="45544"/>
    <cellStyle name="Data   - Opmaakprofiel2 2 3 9 3" xfId="3392"/>
    <cellStyle name="Data   - Opmaakprofiel2 2 3 9 3 2" xfId="8403"/>
    <cellStyle name="Data   - Opmaakprofiel2 2 3 9 3 2 2" xfId="20701"/>
    <cellStyle name="Data   - Opmaakprofiel2 2 3 9 3 2 3" xfId="32753"/>
    <cellStyle name="Data   - Opmaakprofiel2 2 3 9 3 2 4" xfId="26429"/>
    <cellStyle name="Data   - Opmaakprofiel2 2 3 9 3 2 5" xfId="53368"/>
    <cellStyle name="Data   - Opmaakprofiel2 2 3 9 3 3" xfId="13390"/>
    <cellStyle name="Data   - Opmaakprofiel2 2 3 9 3 4" xfId="25442"/>
    <cellStyle name="Data   - Opmaakprofiel2 2 3 9 3 5" xfId="46114"/>
    <cellStyle name="Data   - Opmaakprofiel2 2 3 9 3 6" xfId="45548"/>
    <cellStyle name="Data   - Opmaakprofiel2 2 3 9 4" xfId="4153"/>
    <cellStyle name="Data   - Opmaakprofiel2 2 3 9 4 2" xfId="8404"/>
    <cellStyle name="Data   - Opmaakprofiel2 2 3 9 4 2 2" xfId="20702"/>
    <cellStyle name="Data   - Opmaakprofiel2 2 3 9 4 2 3" xfId="32754"/>
    <cellStyle name="Data   - Opmaakprofiel2 2 3 9 4 2 4" xfId="43106"/>
    <cellStyle name="Data   - Opmaakprofiel2 2 3 9 4 2 5" xfId="53369"/>
    <cellStyle name="Data   - Opmaakprofiel2 2 3 9 4 3" xfId="13391"/>
    <cellStyle name="Data   - Opmaakprofiel2 2 3 9 4 4" xfId="25443"/>
    <cellStyle name="Data   - Opmaakprofiel2 2 3 9 4 5" xfId="40565"/>
    <cellStyle name="Data   - Opmaakprofiel2 2 3 9 4 6" xfId="39781"/>
    <cellStyle name="Data   - Opmaakprofiel2 2 3 9 5" xfId="4533"/>
    <cellStyle name="Data   - Opmaakprofiel2 2 3 9 5 2" xfId="8405"/>
    <cellStyle name="Data   - Opmaakprofiel2 2 3 9 5 2 2" xfId="20703"/>
    <cellStyle name="Data   - Opmaakprofiel2 2 3 9 5 2 3" xfId="32755"/>
    <cellStyle name="Data   - Opmaakprofiel2 2 3 9 5 2 4" xfId="34360"/>
    <cellStyle name="Data   - Opmaakprofiel2 2 3 9 5 2 5" xfId="53370"/>
    <cellStyle name="Data   - Opmaakprofiel2 2 3 9 5 3" xfId="13392"/>
    <cellStyle name="Data   - Opmaakprofiel2 2 3 9 5 4" xfId="25444"/>
    <cellStyle name="Data   - Opmaakprofiel2 2 3 9 5 5" xfId="46113"/>
    <cellStyle name="Data   - Opmaakprofiel2 2 3 9 5 6" xfId="45554"/>
    <cellStyle name="Data   - Opmaakprofiel2 2 3 9 6" xfId="4534"/>
    <cellStyle name="Data   - Opmaakprofiel2 2 3 9 6 2" xfId="8406"/>
    <cellStyle name="Data   - Opmaakprofiel2 2 3 9 6 2 2" xfId="20704"/>
    <cellStyle name="Data   - Opmaakprofiel2 2 3 9 6 2 3" xfId="32756"/>
    <cellStyle name="Data   - Opmaakprofiel2 2 3 9 6 2 4" xfId="43105"/>
    <cellStyle name="Data   - Opmaakprofiel2 2 3 9 6 2 5" xfId="53371"/>
    <cellStyle name="Data   - Opmaakprofiel2 2 3 9 6 3" xfId="13393"/>
    <cellStyle name="Data   - Opmaakprofiel2 2 3 9 6 4" xfId="25445"/>
    <cellStyle name="Data   - Opmaakprofiel2 2 3 9 6 5" xfId="40564"/>
    <cellStyle name="Data   - Opmaakprofiel2 2 3 9 6 6" xfId="39789"/>
    <cellStyle name="Data   - Opmaakprofiel2 2 3 9 7" xfId="4535"/>
    <cellStyle name="Data   - Opmaakprofiel2 2 3 9 7 2" xfId="13394"/>
    <cellStyle name="Data   - Opmaakprofiel2 2 3 9 7 3" xfId="25446"/>
    <cellStyle name="Data   - Opmaakprofiel2 2 3 9 7 4" xfId="46112"/>
    <cellStyle name="Data   - Opmaakprofiel2 2 3 9 7 5" xfId="39793"/>
    <cellStyle name="Data   - Opmaakprofiel2 2 3 9 8" xfId="7006"/>
    <cellStyle name="Data   - Opmaakprofiel2 2 3 9 8 2" xfId="19304"/>
    <cellStyle name="Data   - Opmaakprofiel2 2 3 9 8 3" xfId="41107"/>
    <cellStyle name="Data   - Opmaakprofiel2 2 3 9 8 4" xfId="37030"/>
    <cellStyle name="Data   - Opmaakprofiel2 2 3 9 8 5" xfId="51977"/>
    <cellStyle name="Data   - Opmaakprofiel2 2 3 9 9" xfId="13388"/>
    <cellStyle name="Data   - Opmaakprofiel2 2 30" xfId="1121"/>
    <cellStyle name="Data   - Opmaakprofiel2 2 30 2" xfId="1757"/>
    <cellStyle name="Data   - Opmaakprofiel2 2 30 2 2" xfId="8407"/>
    <cellStyle name="Data   - Opmaakprofiel2 2 30 2 2 2" xfId="20705"/>
    <cellStyle name="Data   - Opmaakprofiel2 2 30 2 2 3" xfId="32757"/>
    <cellStyle name="Data   - Opmaakprofiel2 2 30 2 2 4" xfId="26436"/>
    <cellStyle name="Data   - Opmaakprofiel2 2 30 2 2 5" xfId="53372"/>
    <cellStyle name="Data   - Opmaakprofiel2 2 30 2 3" xfId="13396"/>
    <cellStyle name="Data   - Opmaakprofiel2 2 30 2 4" xfId="25448"/>
    <cellStyle name="Data   - Opmaakprofiel2 2 30 2 5" xfId="46111"/>
    <cellStyle name="Data   - Opmaakprofiel2 2 30 2 6" xfId="39801"/>
    <cellStyle name="Data   - Opmaakprofiel2 2 30 3" xfId="3132"/>
    <cellStyle name="Data   - Opmaakprofiel2 2 30 3 2" xfId="8408"/>
    <cellStyle name="Data   - Opmaakprofiel2 2 30 3 2 2" xfId="20706"/>
    <cellStyle name="Data   - Opmaakprofiel2 2 30 3 2 3" xfId="32758"/>
    <cellStyle name="Data   - Opmaakprofiel2 2 30 3 2 4" xfId="43104"/>
    <cellStyle name="Data   - Opmaakprofiel2 2 30 3 2 5" xfId="53373"/>
    <cellStyle name="Data   - Opmaakprofiel2 2 30 3 3" xfId="13397"/>
    <cellStyle name="Data   - Opmaakprofiel2 2 30 3 4" xfId="25449"/>
    <cellStyle name="Data   - Opmaakprofiel2 2 30 3 5" xfId="40562"/>
    <cellStyle name="Data   - Opmaakprofiel2 2 30 3 6" xfId="39805"/>
    <cellStyle name="Data   - Opmaakprofiel2 2 30 4" xfId="3966"/>
    <cellStyle name="Data   - Opmaakprofiel2 2 30 4 2" xfId="8409"/>
    <cellStyle name="Data   - Opmaakprofiel2 2 30 4 2 2" xfId="20707"/>
    <cellStyle name="Data   - Opmaakprofiel2 2 30 4 2 3" xfId="32759"/>
    <cellStyle name="Data   - Opmaakprofiel2 2 30 4 2 4" xfId="31640"/>
    <cellStyle name="Data   - Opmaakprofiel2 2 30 4 2 5" xfId="53374"/>
    <cellStyle name="Data   - Opmaakprofiel2 2 30 4 3" xfId="13398"/>
    <cellStyle name="Data   - Opmaakprofiel2 2 30 4 4" xfId="25450"/>
    <cellStyle name="Data   - Opmaakprofiel2 2 30 4 5" xfId="40561"/>
    <cellStyle name="Data   - Opmaakprofiel2 2 30 4 6" xfId="45570"/>
    <cellStyle name="Data   - Opmaakprofiel2 2 30 5" xfId="4536"/>
    <cellStyle name="Data   - Opmaakprofiel2 2 30 5 2" xfId="8410"/>
    <cellStyle name="Data   - Opmaakprofiel2 2 30 5 2 2" xfId="20708"/>
    <cellStyle name="Data   - Opmaakprofiel2 2 30 5 2 3" xfId="32760"/>
    <cellStyle name="Data   - Opmaakprofiel2 2 30 5 2 4" xfId="26443"/>
    <cellStyle name="Data   - Opmaakprofiel2 2 30 5 2 5" xfId="53375"/>
    <cellStyle name="Data   - Opmaakprofiel2 2 30 5 3" xfId="13399"/>
    <cellStyle name="Data   - Opmaakprofiel2 2 30 5 4" xfId="25451"/>
    <cellStyle name="Data   - Opmaakprofiel2 2 30 5 5" xfId="40560"/>
    <cellStyle name="Data   - Opmaakprofiel2 2 30 5 6" xfId="39813"/>
    <cellStyle name="Data   - Opmaakprofiel2 2 30 6" xfId="4537"/>
    <cellStyle name="Data   - Opmaakprofiel2 2 30 6 2" xfId="8411"/>
    <cellStyle name="Data   - Opmaakprofiel2 2 30 6 2 2" xfId="20709"/>
    <cellStyle name="Data   - Opmaakprofiel2 2 30 6 2 3" xfId="32761"/>
    <cellStyle name="Data   - Opmaakprofiel2 2 30 6 2 4" xfId="31551"/>
    <cellStyle name="Data   - Opmaakprofiel2 2 30 6 2 5" xfId="53376"/>
    <cellStyle name="Data   - Opmaakprofiel2 2 30 6 3" xfId="13400"/>
    <cellStyle name="Data   - Opmaakprofiel2 2 30 6 4" xfId="25452"/>
    <cellStyle name="Data   - Opmaakprofiel2 2 30 6 5" xfId="46110"/>
    <cellStyle name="Data   - Opmaakprofiel2 2 30 6 6" xfId="45576"/>
    <cellStyle name="Data   - Opmaakprofiel2 2 30 7" xfId="4538"/>
    <cellStyle name="Data   - Opmaakprofiel2 2 30 7 2" xfId="13401"/>
    <cellStyle name="Data   - Opmaakprofiel2 2 30 7 3" xfId="25453"/>
    <cellStyle name="Data   - Opmaakprofiel2 2 30 7 4" xfId="40559"/>
    <cellStyle name="Data   - Opmaakprofiel2 2 30 7 5" xfId="45578"/>
    <cellStyle name="Data   - Opmaakprofiel2 2 30 8" xfId="7228"/>
    <cellStyle name="Data   - Opmaakprofiel2 2 30 8 2" xfId="19526"/>
    <cellStyle name="Data   - Opmaakprofiel2 2 30 8 3" xfId="41329"/>
    <cellStyle name="Data   - Opmaakprofiel2 2 30 8 4" xfId="36901"/>
    <cellStyle name="Data   - Opmaakprofiel2 2 30 8 5" xfId="52198"/>
    <cellStyle name="Data   - Opmaakprofiel2 2 30 9" xfId="13395"/>
    <cellStyle name="Data   - Opmaakprofiel2 2 31" xfId="841"/>
    <cellStyle name="Data   - Opmaakprofiel2 2 31 2" xfId="1505"/>
    <cellStyle name="Data   - Opmaakprofiel2 2 31 2 2" xfId="8412"/>
    <cellStyle name="Data   - Opmaakprofiel2 2 31 2 2 2" xfId="20710"/>
    <cellStyle name="Data   - Opmaakprofiel2 2 31 2 2 3" xfId="32762"/>
    <cellStyle name="Data   - Opmaakprofiel2 2 31 2 2 4" xfId="43103"/>
    <cellStyle name="Data   - Opmaakprofiel2 2 31 2 2 5" xfId="53377"/>
    <cellStyle name="Data   - Opmaakprofiel2 2 31 2 3" xfId="13403"/>
    <cellStyle name="Data   - Opmaakprofiel2 2 31 2 4" xfId="25455"/>
    <cellStyle name="Data   - Opmaakprofiel2 2 31 2 5" xfId="40558"/>
    <cellStyle name="Data   - Opmaakprofiel2 2 31 2 6" xfId="39830"/>
    <cellStyle name="Data   - Opmaakprofiel2 2 31 3" xfId="2852"/>
    <cellStyle name="Data   - Opmaakprofiel2 2 31 3 2" xfId="8413"/>
    <cellStyle name="Data   - Opmaakprofiel2 2 31 3 2 2" xfId="20711"/>
    <cellStyle name="Data   - Opmaakprofiel2 2 31 3 2 3" xfId="32763"/>
    <cellStyle name="Data   - Opmaakprofiel2 2 31 3 2 4" xfId="26450"/>
    <cellStyle name="Data   - Opmaakprofiel2 2 31 3 2 5" xfId="53378"/>
    <cellStyle name="Data   - Opmaakprofiel2 2 31 3 3" xfId="13404"/>
    <cellStyle name="Data   - Opmaakprofiel2 2 31 3 4" xfId="25456"/>
    <cellStyle name="Data   - Opmaakprofiel2 2 31 3 5" xfId="46108"/>
    <cellStyle name="Data   - Opmaakprofiel2 2 31 3 6" xfId="45587"/>
    <cellStyle name="Data   - Opmaakprofiel2 2 31 4" xfId="3706"/>
    <cellStyle name="Data   - Opmaakprofiel2 2 31 4 2" xfId="8414"/>
    <cellStyle name="Data   - Opmaakprofiel2 2 31 4 2 2" xfId="20712"/>
    <cellStyle name="Data   - Opmaakprofiel2 2 31 4 2 3" xfId="32764"/>
    <cellStyle name="Data   - Opmaakprofiel2 2 31 4 2 4" xfId="43102"/>
    <cellStyle name="Data   - Opmaakprofiel2 2 31 4 2 5" xfId="53379"/>
    <cellStyle name="Data   - Opmaakprofiel2 2 31 4 3" xfId="13405"/>
    <cellStyle name="Data   - Opmaakprofiel2 2 31 4 4" xfId="25457"/>
    <cellStyle name="Data   - Opmaakprofiel2 2 31 4 5" xfId="40557"/>
    <cellStyle name="Data   - Opmaakprofiel2 2 31 4 6" xfId="39838"/>
    <cellStyle name="Data   - Opmaakprofiel2 2 31 5" xfId="4539"/>
    <cellStyle name="Data   - Opmaakprofiel2 2 31 5 2" xfId="8415"/>
    <cellStyle name="Data   - Opmaakprofiel2 2 31 5 2 2" xfId="20713"/>
    <cellStyle name="Data   - Opmaakprofiel2 2 31 5 2 3" xfId="32765"/>
    <cellStyle name="Data   - Opmaakprofiel2 2 31 5 2 4" xfId="31972"/>
    <cellStyle name="Data   - Opmaakprofiel2 2 31 5 2 5" xfId="53380"/>
    <cellStyle name="Data   - Opmaakprofiel2 2 31 5 3" xfId="13406"/>
    <cellStyle name="Data   - Opmaakprofiel2 2 31 5 4" xfId="25458"/>
    <cellStyle name="Data   - Opmaakprofiel2 2 31 5 5" xfId="46107"/>
    <cellStyle name="Data   - Opmaakprofiel2 2 31 5 6" xfId="39842"/>
    <cellStyle name="Data   - Opmaakprofiel2 2 31 6" xfId="4540"/>
    <cellStyle name="Data   - Opmaakprofiel2 2 31 6 2" xfId="8416"/>
    <cellStyle name="Data   - Opmaakprofiel2 2 31 6 2 2" xfId="20714"/>
    <cellStyle name="Data   - Opmaakprofiel2 2 31 6 2 3" xfId="32766"/>
    <cellStyle name="Data   - Opmaakprofiel2 2 31 6 2 4" xfId="43101"/>
    <cellStyle name="Data   - Opmaakprofiel2 2 31 6 2 5" xfId="53381"/>
    <cellStyle name="Data   - Opmaakprofiel2 2 31 6 3" xfId="13407"/>
    <cellStyle name="Data   - Opmaakprofiel2 2 31 6 4" xfId="25459"/>
    <cellStyle name="Data   - Opmaakprofiel2 2 31 6 5" xfId="40556"/>
    <cellStyle name="Data   - Opmaakprofiel2 2 31 6 6" xfId="39844"/>
    <cellStyle name="Data   - Opmaakprofiel2 2 31 7" xfId="4541"/>
    <cellStyle name="Data   - Opmaakprofiel2 2 31 7 2" xfId="13408"/>
    <cellStyle name="Data   - Opmaakprofiel2 2 31 7 3" xfId="25460"/>
    <cellStyle name="Data   - Opmaakprofiel2 2 31 7 4" xfId="46106"/>
    <cellStyle name="Data   - Opmaakprofiel2 2 31 7 5" xfId="39848"/>
    <cellStyle name="Data   - Opmaakprofiel2 2 31 8" xfId="7420"/>
    <cellStyle name="Data   - Opmaakprofiel2 2 31 8 2" xfId="19718"/>
    <cellStyle name="Data   - Opmaakprofiel2 2 31 8 3" xfId="41521"/>
    <cellStyle name="Data   - Opmaakprofiel2 2 31 8 4" xfId="43516"/>
    <cellStyle name="Data   - Opmaakprofiel2 2 31 8 5" xfId="52390"/>
    <cellStyle name="Data   - Opmaakprofiel2 2 31 9" xfId="13402"/>
    <cellStyle name="Data   - Opmaakprofiel2 2 32" xfId="1083"/>
    <cellStyle name="Data   - Opmaakprofiel2 2 32 2" xfId="1559"/>
    <cellStyle name="Data   - Opmaakprofiel2 2 32 2 2" xfId="8417"/>
    <cellStyle name="Data   - Opmaakprofiel2 2 32 2 2 2" xfId="20715"/>
    <cellStyle name="Data   - Opmaakprofiel2 2 32 2 2 3" xfId="32767"/>
    <cellStyle name="Data   - Opmaakprofiel2 2 32 2 2 4" xfId="26460"/>
    <cellStyle name="Data   - Opmaakprofiel2 2 32 2 2 5" xfId="53382"/>
    <cellStyle name="Data   - Opmaakprofiel2 2 32 2 3" xfId="13410"/>
    <cellStyle name="Data   - Opmaakprofiel2 2 32 2 4" xfId="25462"/>
    <cellStyle name="Data   - Opmaakprofiel2 2 32 2 5" xfId="40554"/>
    <cellStyle name="Data   - Opmaakprofiel2 2 32 2 6" xfId="39857"/>
    <cellStyle name="Data   - Opmaakprofiel2 2 32 3" xfId="3094"/>
    <cellStyle name="Data   - Opmaakprofiel2 2 32 3 2" xfId="8418"/>
    <cellStyle name="Data   - Opmaakprofiel2 2 32 3 2 2" xfId="20716"/>
    <cellStyle name="Data   - Opmaakprofiel2 2 32 3 2 3" xfId="32768"/>
    <cellStyle name="Data   - Opmaakprofiel2 2 32 3 2 4" xfId="43100"/>
    <cellStyle name="Data   - Opmaakprofiel2 2 32 3 2 5" xfId="53383"/>
    <cellStyle name="Data   - Opmaakprofiel2 2 32 3 3" xfId="13411"/>
    <cellStyle name="Data   - Opmaakprofiel2 2 32 3 4" xfId="25463"/>
    <cellStyle name="Data   - Opmaakprofiel2 2 32 3 5" xfId="40553"/>
    <cellStyle name="Data   - Opmaakprofiel2 2 32 3 6" xfId="45605"/>
    <cellStyle name="Data   - Opmaakprofiel2 2 32 4" xfId="3931"/>
    <cellStyle name="Data   - Opmaakprofiel2 2 32 4 2" xfId="8419"/>
    <cellStyle name="Data   - Opmaakprofiel2 2 32 4 2 2" xfId="20717"/>
    <cellStyle name="Data   - Opmaakprofiel2 2 32 4 2 3" xfId="32769"/>
    <cellStyle name="Data   - Opmaakprofiel2 2 32 4 2 4" xfId="34494"/>
    <cellStyle name="Data   - Opmaakprofiel2 2 32 4 2 5" xfId="53384"/>
    <cellStyle name="Data   - Opmaakprofiel2 2 32 4 3" xfId="13412"/>
    <cellStyle name="Data   - Opmaakprofiel2 2 32 4 4" xfId="25464"/>
    <cellStyle name="Data   - Opmaakprofiel2 2 32 4 5" xfId="46105"/>
    <cellStyle name="Data   - Opmaakprofiel2 2 32 4 6" xfId="39865"/>
    <cellStyle name="Data   - Opmaakprofiel2 2 32 5" xfId="4542"/>
    <cellStyle name="Data   - Opmaakprofiel2 2 32 5 2" xfId="8420"/>
    <cellStyle name="Data   - Opmaakprofiel2 2 32 5 2 2" xfId="20718"/>
    <cellStyle name="Data   - Opmaakprofiel2 2 32 5 2 3" xfId="32770"/>
    <cellStyle name="Data   - Opmaakprofiel2 2 32 5 2 4" xfId="43099"/>
    <cellStyle name="Data   - Opmaakprofiel2 2 32 5 2 5" xfId="53385"/>
    <cellStyle name="Data   - Opmaakprofiel2 2 32 5 3" xfId="13413"/>
    <cellStyle name="Data   - Opmaakprofiel2 2 32 5 4" xfId="25465"/>
    <cellStyle name="Data   - Opmaakprofiel2 2 32 5 5" xfId="40552"/>
    <cellStyle name="Data   - Opmaakprofiel2 2 32 5 6" xfId="45611"/>
    <cellStyle name="Data   - Opmaakprofiel2 2 32 6" xfId="4543"/>
    <cellStyle name="Data   - Opmaakprofiel2 2 32 6 2" xfId="8421"/>
    <cellStyle name="Data   - Opmaakprofiel2 2 32 6 2 2" xfId="20719"/>
    <cellStyle name="Data   - Opmaakprofiel2 2 32 6 2 3" xfId="32771"/>
    <cellStyle name="Data   - Opmaakprofiel2 2 32 6 2 4" xfId="26464"/>
    <cellStyle name="Data   - Opmaakprofiel2 2 32 6 2 5" xfId="53386"/>
    <cellStyle name="Data   - Opmaakprofiel2 2 32 6 3" xfId="13414"/>
    <cellStyle name="Data   - Opmaakprofiel2 2 32 6 4" xfId="25466"/>
    <cellStyle name="Data   - Opmaakprofiel2 2 32 6 5" xfId="46104"/>
    <cellStyle name="Data   - Opmaakprofiel2 2 32 6 6" xfId="39873"/>
    <cellStyle name="Data   - Opmaakprofiel2 2 32 7" xfId="4544"/>
    <cellStyle name="Data   - Opmaakprofiel2 2 32 7 2" xfId="13415"/>
    <cellStyle name="Data   - Opmaakprofiel2 2 32 7 3" xfId="25467"/>
    <cellStyle name="Data   - Opmaakprofiel2 2 32 7 4" xfId="40551"/>
    <cellStyle name="Data   - Opmaakprofiel2 2 32 7 5" xfId="39877"/>
    <cellStyle name="Data   - Opmaakprofiel2 2 32 8" xfId="9945"/>
    <cellStyle name="Data   - Opmaakprofiel2 2 32 8 2" xfId="22243"/>
    <cellStyle name="Data   - Opmaakprofiel2 2 32 8 3" xfId="44008"/>
    <cellStyle name="Data   - Opmaakprofiel2 2 32 8 4" xfId="31439"/>
    <cellStyle name="Data   - Opmaakprofiel2 2 32 8 5" xfId="54910"/>
    <cellStyle name="Data   - Opmaakprofiel2 2 32 9" xfId="13409"/>
    <cellStyle name="Data   - Opmaakprofiel2 2 33" xfId="1353"/>
    <cellStyle name="Data   - Opmaakprofiel2 2 33 2" xfId="1535"/>
    <cellStyle name="Data   - Opmaakprofiel2 2 33 2 2" xfId="8422"/>
    <cellStyle name="Data   - Opmaakprofiel2 2 33 2 2 2" xfId="20720"/>
    <cellStyle name="Data   - Opmaakprofiel2 2 33 2 2 3" xfId="32772"/>
    <cellStyle name="Data   - Opmaakprofiel2 2 33 2 2 4" xfId="31693"/>
    <cellStyle name="Data   - Opmaakprofiel2 2 33 2 2 5" xfId="53387"/>
    <cellStyle name="Data   - Opmaakprofiel2 2 33 2 3" xfId="13417"/>
    <cellStyle name="Data   - Opmaakprofiel2 2 33 2 4" xfId="25469"/>
    <cellStyle name="Data   - Opmaakprofiel2 2 33 2 5" xfId="40550"/>
    <cellStyle name="Data   - Opmaakprofiel2 2 33 2 6" xfId="39884"/>
    <cellStyle name="Data   - Opmaakprofiel2 2 33 3" xfId="3364"/>
    <cellStyle name="Data   - Opmaakprofiel2 2 33 3 2" xfId="8423"/>
    <cellStyle name="Data   - Opmaakprofiel2 2 33 3 2 2" xfId="20721"/>
    <cellStyle name="Data   - Opmaakprofiel2 2 33 3 2 3" xfId="32773"/>
    <cellStyle name="Data   - Opmaakprofiel2 2 33 3 2 4" xfId="26471"/>
    <cellStyle name="Data   - Opmaakprofiel2 2 33 3 2 5" xfId="53388"/>
    <cellStyle name="Data   - Opmaakprofiel2 2 33 3 3" xfId="13418"/>
    <cellStyle name="Data   - Opmaakprofiel2 2 33 3 4" xfId="25470"/>
    <cellStyle name="Data   - Opmaakprofiel2 2 33 3 5" xfId="46102"/>
    <cellStyle name="Data   - Opmaakprofiel2 2 33 3 6" xfId="39888"/>
    <cellStyle name="Data   - Opmaakprofiel2 2 33 4" xfId="4125"/>
    <cellStyle name="Data   - Opmaakprofiel2 2 33 4 2" xfId="8424"/>
    <cellStyle name="Data   - Opmaakprofiel2 2 33 4 2 2" xfId="20722"/>
    <cellStyle name="Data   - Opmaakprofiel2 2 33 4 2 3" xfId="32774"/>
    <cellStyle name="Data   - Opmaakprofiel2 2 33 4 2 4" xfId="43098"/>
    <cellStyle name="Data   - Opmaakprofiel2 2 33 4 2 5" xfId="53389"/>
    <cellStyle name="Data   - Opmaakprofiel2 2 33 4 3" xfId="13419"/>
    <cellStyle name="Data   - Opmaakprofiel2 2 33 4 4" xfId="25471"/>
    <cellStyle name="Data   - Opmaakprofiel2 2 33 4 5" xfId="40549"/>
    <cellStyle name="Data   - Opmaakprofiel2 2 33 4 6" xfId="45628"/>
    <cellStyle name="Data   - Opmaakprofiel2 2 33 5" xfId="4545"/>
    <cellStyle name="Data   - Opmaakprofiel2 2 33 5 2" xfId="8425"/>
    <cellStyle name="Data   - Opmaakprofiel2 2 33 5 2 2" xfId="20723"/>
    <cellStyle name="Data   - Opmaakprofiel2 2 33 5 2 3" xfId="32775"/>
    <cellStyle name="Data   - Opmaakprofiel2 2 33 5 2 4" xfId="31626"/>
    <cellStyle name="Data   - Opmaakprofiel2 2 33 5 2 5" xfId="53390"/>
    <cellStyle name="Data   - Opmaakprofiel2 2 33 5 3" xfId="13420"/>
    <cellStyle name="Data   - Opmaakprofiel2 2 33 5 4" xfId="25472"/>
    <cellStyle name="Data   - Opmaakprofiel2 2 33 5 5" xfId="46101"/>
    <cellStyle name="Data   - Opmaakprofiel2 2 33 5 6" xfId="39896"/>
    <cellStyle name="Data   - Opmaakprofiel2 2 33 6" xfId="4546"/>
    <cellStyle name="Data   - Opmaakprofiel2 2 33 6 2" xfId="8426"/>
    <cellStyle name="Data   - Opmaakprofiel2 2 33 6 2 2" xfId="20724"/>
    <cellStyle name="Data   - Opmaakprofiel2 2 33 6 2 3" xfId="32776"/>
    <cellStyle name="Data   - Opmaakprofiel2 2 33 6 2 4" xfId="43097"/>
    <cellStyle name="Data   - Opmaakprofiel2 2 33 6 2 5" xfId="53391"/>
    <cellStyle name="Data   - Opmaakprofiel2 2 33 6 3" xfId="13421"/>
    <cellStyle name="Data   - Opmaakprofiel2 2 33 6 4" xfId="25473"/>
    <cellStyle name="Data   - Opmaakprofiel2 2 33 6 5" xfId="40548"/>
    <cellStyle name="Data   - Opmaakprofiel2 2 33 6 6" xfId="45634"/>
    <cellStyle name="Data   - Opmaakprofiel2 2 33 7" xfId="4547"/>
    <cellStyle name="Data   - Opmaakprofiel2 2 33 7 2" xfId="13422"/>
    <cellStyle name="Data   - Opmaakprofiel2 2 33 7 3" xfId="25474"/>
    <cellStyle name="Data   - Opmaakprofiel2 2 33 7 4" xfId="40547"/>
    <cellStyle name="Data   - Opmaakprofiel2 2 33 7 5" xfId="39905"/>
    <cellStyle name="Data   - Opmaakprofiel2 2 33 8" xfId="7030"/>
    <cellStyle name="Data   - Opmaakprofiel2 2 33 8 2" xfId="19328"/>
    <cellStyle name="Data   - Opmaakprofiel2 2 33 8 3" xfId="41131"/>
    <cellStyle name="Data   - Opmaakprofiel2 2 33 8 4" xfId="37016"/>
    <cellStyle name="Data   - Opmaakprofiel2 2 33 8 5" xfId="52001"/>
    <cellStyle name="Data   - Opmaakprofiel2 2 33 9" xfId="13416"/>
    <cellStyle name="Data   - Opmaakprofiel2 2 34" xfId="1352"/>
    <cellStyle name="Data   - Opmaakprofiel2 2 34 2" xfId="1416"/>
    <cellStyle name="Data   - Opmaakprofiel2 2 34 2 2" xfId="8427"/>
    <cellStyle name="Data   - Opmaakprofiel2 2 34 2 2 2" xfId="20725"/>
    <cellStyle name="Data   - Opmaakprofiel2 2 34 2 2 3" xfId="32777"/>
    <cellStyle name="Data   - Opmaakprofiel2 2 34 2 2 4" xfId="26478"/>
    <cellStyle name="Data   - Opmaakprofiel2 2 34 2 2 5" xfId="53392"/>
    <cellStyle name="Data   - Opmaakprofiel2 2 34 2 3" xfId="13424"/>
    <cellStyle name="Data   - Opmaakprofiel2 2 34 2 4" xfId="25476"/>
    <cellStyle name="Data   - Opmaakprofiel2 2 34 2 5" xfId="46100"/>
    <cellStyle name="Data   - Opmaakprofiel2 2 34 2 6" xfId="39916"/>
    <cellStyle name="Data   - Opmaakprofiel2 2 34 3" xfId="3363"/>
    <cellStyle name="Data   - Opmaakprofiel2 2 34 3 2" xfId="8428"/>
    <cellStyle name="Data   - Opmaakprofiel2 2 34 3 2 2" xfId="20726"/>
    <cellStyle name="Data   - Opmaakprofiel2 2 34 3 2 3" xfId="32778"/>
    <cellStyle name="Data   - Opmaakprofiel2 2 34 3 2 4" xfId="43096"/>
    <cellStyle name="Data   - Opmaakprofiel2 2 34 3 2 5" xfId="53393"/>
    <cellStyle name="Data   - Opmaakprofiel2 2 34 3 3" xfId="13425"/>
    <cellStyle name="Data   - Opmaakprofiel2 2 34 3 4" xfId="25477"/>
    <cellStyle name="Data   - Opmaakprofiel2 2 34 3 5" xfId="40545"/>
    <cellStyle name="Data   - Opmaakprofiel2 2 34 3 6" xfId="45645"/>
    <cellStyle name="Data   - Opmaakprofiel2 2 34 4" xfId="4124"/>
    <cellStyle name="Data   - Opmaakprofiel2 2 34 4 2" xfId="8429"/>
    <cellStyle name="Data   - Opmaakprofiel2 2 34 4 2 2" xfId="20727"/>
    <cellStyle name="Data   - Opmaakprofiel2 2 34 4 2 3" xfId="32779"/>
    <cellStyle name="Data   - Opmaakprofiel2 2 34 4 2 4" xfId="31568"/>
    <cellStyle name="Data   - Opmaakprofiel2 2 34 4 2 5" xfId="53394"/>
    <cellStyle name="Data   - Opmaakprofiel2 2 34 4 3" xfId="13426"/>
    <cellStyle name="Data   - Opmaakprofiel2 2 34 4 4" xfId="25478"/>
    <cellStyle name="Data   - Opmaakprofiel2 2 34 4 5" xfId="46099"/>
    <cellStyle name="Data   - Opmaakprofiel2 2 34 4 6" xfId="45649"/>
    <cellStyle name="Data   - Opmaakprofiel2 2 34 5" xfId="4548"/>
    <cellStyle name="Data   - Opmaakprofiel2 2 34 5 2" xfId="8430"/>
    <cellStyle name="Data   - Opmaakprofiel2 2 34 5 2 2" xfId="20728"/>
    <cellStyle name="Data   - Opmaakprofiel2 2 34 5 2 3" xfId="32780"/>
    <cellStyle name="Data   - Opmaakprofiel2 2 34 5 2 4" xfId="43095"/>
    <cellStyle name="Data   - Opmaakprofiel2 2 34 5 2 5" xfId="53395"/>
    <cellStyle name="Data   - Opmaakprofiel2 2 34 5 3" xfId="13427"/>
    <cellStyle name="Data   - Opmaakprofiel2 2 34 5 4" xfId="25479"/>
    <cellStyle name="Data   - Opmaakprofiel2 2 34 5 5" xfId="40544"/>
    <cellStyle name="Data   - Opmaakprofiel2 2 34 5 6" xfId="45652"/>
    <cellStyle name="Data   - Opmaakprofiel2 2 34 6" xfId="4549"/>
    <cellStyle name="Data   - Opmaakprofiel2 2 34 6 2" xfId="8431"/>
    <cellStyle name="Data   - Opmaakprofiel2 2 34 6 2 2" xfId="20729"/>
    <cellStyle name="Data   - Opmaakprofiel2 2 34 6 2 3" xfId="32781"/>
    <cellStyle name="Data   - Opmaakprofiel2 2 34 6 2 4" xfId="26485"/>
    <cellStyle name="Data   - Opmaakprofiel2 2 34 6 2 5" xfId="53396"/>
    <cellStyle name="Data   - Opmaakprofiel2 2 34 6 3" xfId="13428"/>
    <cellStyle name="Data   - Opmaakprofiel2 2 34 6 4" xfId="25480"/>
    <cellStyle name="Data   - Opmaakprofiel2 2 34 6 5" xfId="46098"/>
    <cellStyle name="Data   - Opmaakprofiel2 2 34 6 6" xfId="45655"/>
    <cellStyle name="Data   - Opmaakprofiel2 2 34 7" xfId="4550"/>
    <cellStyle name="Data   - Opmaakprofiel2 2 34 7 2" xfId="13429"/>
    <cellStyle name="Data   - Opmaakprofiel2 2 34 7 3" xfId="25481"/>
    <cellStyle name="Data   - Opmaakprofiel2 2 34 7 4" xfId="40543"/>
    <cellStyle name="Data   - Opmaakprofiel2 2 34 7 5" xfId="39935"/>
    <cellStyle name="Data   - Opmaakprofiel2 2 34 8" xfId="7031"/>
    <cellStyle name="Data   - Opmaakprofiel2 2 34 8 2" xfId="19329"/>
    <cellStyle name="Data   - Opmaakprofiel2 2 34 8 3" xfId="41132"/>
    <cellStyle name="Data   - Opmaakprofiel2 2 34 8 4" xfId="43679"/>
    <cellStyle name="Data   - Opmaakprofiel2 2 34 8 5" xfId="52002"/>
    <cellStyle name="Data   - Opmaakprofiel2 2 34 9" xfId="13423"/>
    <cellStyle name="Data   - Opmaakprofiel2 2 35" xfId="1387"/>
    <cellStyle name="Data   - Opmaakprofiel2 2 35 2" xfId="199"/>
    <cellStyle name="Data   - Opmaakprofiel2 2 35 2 2" xfId="8432"/>
    <cellStyle name="Data   - Opmaakprofiel2 2 35 2 2 2" xfId="20730"/>
    <cellStyle name="Data   - Opmaakprofiel2 2 35 2 2 3" xfId="32782"/>
    <cellStyle name="Data   - Opmaakprofiel2 2 35 2 2 4" xfId="43094"/>
    <cellStyle name="Data   - Opmaakprofiel2 2 35 2 2 5" xfId="53397"/>
    <cellStyle name="Data   - Opmaakprofiel2 2 35 2 3" xfId="13431"/>
    <cellStyle name="Data   - Opmaakprofiel2 2 35 2 4" xfId="25483"/>
    <cellStyle name="Data   - Opmaakprofiel2 2 35 2 5" xfId="40542"/>
    <cellStyle name="Data   - Opmaakprofiel2 2 35 2 6" xfId="45662"/>
    <cellStyle name="Data   - Opmaakprofiel2 2 35 3" xfId="3398"/>
    <cellStyle name="Data   - Opmaakprofiel2 2 35 3 2" xfId="8433"/>
    <cellStyle name="Data   - Opmaakprofiel2 2 35 3 2 2" xfId="20731"/>
    <cellStyle name="Data   - Opmaakprofiel2 2 35 3 2 3" xfId="32783"/>
    <cellStyle name="Data   - Opmaakprofiel2 2 35 3 2 4" xfId="31504"/>
    <cellStyle name="Data   - Opmaakprofiel2 2 35 3 2 5" xfId="53398"/>
    <cellStyle name="Data   - Opmaakprofiel2 2 35 3 3" xfId="13432"/>
    <cellStyle name="Data   - Opmaakprofiel2 2 35 3 4" xfId="25484"/>
    <cellStyle name="Data   - Opmaakprofiel2 2 35 3 5" xfId="46097"/>
    <cellStyle name="Data   - Opmaakprofiel2 2 35 3 6" xfId="45666"/>
    <cellStyle name="Data   - Opmaakprofiel2 2 35 4" xfId="4159"/>
    <cellStyle name="Data   - Opmaakprofiel2 2 35 4 2" xfId="8434"/>
    <cellStyle name="Data   - Opmaakprofiel2 2 35 4 2 2" xfId="20732"/>
    <cellStyle name="Data   - Opmaakprofiel2 2 35 4 2 3" xfId="32784"/>
    <cellStyle name="Data   - Opmaakprofiel2 2 35 4 2 4" xfId="26492"/>
    <cellStyle name="Data   - Opmaakprofiel2 2 35 4 2 5" xfId="53399"/>
    <cellStyle name="Data   - Opmaakprofiel2 2 35 4 3" xfId="13433"/>
    <cellStyle name="Data   - Opmaakprofiel2 2 35 4 4" xfId="25485"/>
    <cellStyle name="Data   - Opmaakprofiel2 2 35 4 5" xfId="40541"/>
    <cellStyle name="Data   - Opmaakprofiel2 2 35 4 6" xfId="39950"/>
    <cellStyle name="Data   - Opmaakprofiel2 2 35 5" xfId="4551"/>
    <cellStyle name="Data   - Opmaakprofiel2 2 35 5 2" xfId="8435"/>
    <cellStyle name="Data   - Opmaakprofiel2 2 35 5 2 2" xfId="20733"/>
    <cellStyle name="Data   - Opmaakprofiel2 2 35 5 2 3" xfId="32785"/>
    <cellStyle name="Data   - Opmaakprofiel2 2 35 5 2 4" xfId="31570"/>
    <cellStyle name="Data   - Opmaakprofiel2 2 35 5 2 5" xfId="53400"/>
    <cellStyle name="Data   - Opmaakprofiel2 2 35 5 3" xfId="13434"/>
    <cellStyle name="Data   - Opmaakprofiel2 2 35 5 4" xfId="25486"/>
    <cellStyle name="Data   - Opmaakprofiel2 2 35 5 5" xfId="40540"/>
    <cellStyle name="Data   - Opmaakprofiel2 2 35 5 6" xfId="45672"/>
    <cellStyle name="Data   - Opmaakprofiel2 2 35 6" xfId="4552"/>
    <cellStyle name="Data   - Opmaakprofiel2 2 35 6 2" xfId="8436"/>
    <cellStyle name="Data   - Opmaakprofiel2 2 35 6 2 2" xfId="20734"/>
    <cellStyle name="Data   - Opmaakprofiel2 2 35 6 2 3" xfId="32786"/>
    <cellStyle name="Data   - Opmaakprofiel2 2 35 6 2 4" xfId="43093"/>
    <cellStyle name="Data   - Opmaakprofiel2 2 35 6 2 5" xfId="53401"/>
    <cellStyle name="Data   - Opmaakprofiel2 2 35 6 3" xfId="13435"/>
    <cellStyle name="Data   - Opmaakprofiel2 2 35 6 4" xfId="25487"/>
    <cellStyle name="Data   - Opmaakprofiel2 2 35 6 5" xfId="40539"/>
    <cellStyle name="Data   - Opmaakprofiel2 2 35 6 6" xfId="39958"/>
    <cellStyle name="Data   - Opmaakprofiel2 2 35 7" xfId="4553"/>
    <cellStyle name="Data   - Opmaakprofiel2 2 35 7 2" xfId="13436"/>
    <cellStyle name="Data   - Opmaakprofiel2 2 35 7 3" xfId="25488"/>
    <cellStyle name="Data   - Opmaakprofiel2 2 35 7 4" xfId="46096"/>
    <cellStyle name="Data   - Opmaakprofiel2 2 35 7 5" xfId="45678"/>
    <cellStyle name="Data   - Opmaakprofiel2 2 35 8" xfId="7001"/>
    <cellStyle name="Data   - Opmaakprofiel2 2 35 8 2" xfId="19299"/>
    <cellStyle name="Data   - Opmaakprofiel2 2 35 8 3" xfId="41102"/>
    <cellStyle name="Data   - Opmaakprofiel2 2 35 8 4" xfId="43691"/>
    <cellStyle name="Data   - Opmaakprofiel2 2 35 8 5" xfId="51972"/>
    <cellStyle name="Data   - Opmaakprofiel2 2 35 9" xfId="13430"/>
    <cellStyle name="Data   - Opmaakprofiel2 2 36" xfId="1740"/>
    <cellStyle name="Data   - Opmaakprofiel2 2 36 2" xfId="8437"/>
    <cellStyle name="Data   - Opmaakprofiel2 2 36 2 2" xfId="20735"/>
    <cellStyle name="Data   - Opmaakprofiel2 2 36 2 3" xfId="32787"/>
    <cellStyle name="Data   - Opmaakprofiel2 2 36 2 4" xfId="26502"/>
    <cellStyle name="Data   - Opmaakprofiel2 2 36 2 5" xfId="53402"/>
    <cellStyle name="Data   - Opmaakprofiel2 2 36 3" xfId="13437"/>
    <cellStyle name="Data   - Opmaakprofiel2 2 36 4" xfId="25489"/>
    <cellStyle name="Data   - Opmaakprofiel2 2 36 5" xfId="40538"/>
    <cellStyle name="Data   - Opmaakprofiel2 2 36 6" xfId="45680"/>
    <cellStyle name="Data   - Opmaakprofiel2 2 37" xfId="1600"/>
    <cellStyle name="Data   - Opmaakprofiel2 2 37 2" xfId="8438"/>
    <cellStyle name="Data   - Opmaakprofiel2 2 37 2 2" xfId="20736"/>
    <cellStyle name="Data   - Opmaakprofiel2 2 37 2 3" xfId="32788"/>
    <cellStyle name="Data   - Opmaakprofiel2 2 37 2 4" xfId="43092"/>
    <cellStyle name="Data   - Opmaakprofiel2 2 37 2 5" xfId="53403"/>
    <cellStyle name="Data   - Opmaakprofiel2 2 37 3" xfId="13438"/>
    <cellStyle name="Data   - Opmaakprofiel2 2 37 4" xfId="25490"/>
    <cellStyle name="Data   - Opmaakprofiel2 2 37 5" xfId="46095"/>
    <cellStyle name="Data   - Opmaakprofiel2 2 37 6" xfId="45684"/>
    <cellStyle name="Data   - Opmaakprofiel2 2 38" xfId="2806"/>
    <cellStyle name="Data   - Opmaakprofiel2 2 38 2" xfId="8439"/>
    <cellStyle name="Data   - Opmaakprofiel2 2 38 2 2" xfId="20737"/>
    <cellStyle name="Data   - Opmaakprofiel2 2 38 2 3" xfId="32789"/>
    <cellStyle name="Data   - Opmaakprofiel2 2 38 2 4" xfId="31796"/>
    <cellStyle name="Data   - Opmaakprofiel2 2 38 2 5" xfId="53404"/>
    <cellStyle name="Data   - Opmaakprofiel2 2 38 3" xfId="13439"/>
    <cellStyle name="Data   - Opmaakprofiel2 2 38 4" xfId="25491"/>
    <cellStyle name="Data   - Opmaakprofiel2 2 38 5" xfId="40537"/>
    <cellStyle name="Data   - Opmaakprofiel2 2 38 6" xfId="39975"/>
    <cellStyle name="Data   - Opmaakprofiel2 2 39" xfId="4554"/>
    <cellStyle name="Data   - Opmaakprofiel2 2 39 2" xfId="8440"/>
    <cellStyle name="Data   - Opmaakprofiel2 2 39 2 2" xfId="20738"/>
    <cellStyle name="Data   - Opmaakprofiel2 2 39 2 3" xfId="32790"/>
    <cellStyle name="Data   - Opmaakprofiel2 2 39 2 4" xfId="43091"/>
    <cellStyle name="Data   - Opmaakprofiel2 2 39 2 5" xfId="53405"/>
    <cellStyle name="Data   - Opmaakprofiel2 2 39 3" xfId="13440"/>
    <cellStyle name="Data   - Opmaakprofiel2 2 39 4" xfId="25492"/>
    <cellStyle name="Data   - Opmaakprofiel2 2 39 5" xfId="46094"/>
    <cellStyle name="Data   - Opmaakprofiel2 2 39 6" xfId="45690"/>
    <cellStyle name="Data   - Opmaakprofiel2 2 4" xfId="743"/>
    <cellStyle name="Data   - Opmaakprofiel2 2 4 10" xfId="4555"/>
    <cellStyle name="Data   - Opmaakprofiel2 2 4 10 2" xfId="8441"/>
    <cellStyle name="Data   - Opmaakprofiel2 2 4 10 2 2" xfId="20739"/>
    <cellStyle name="Data   - Opmaakprofiel2 2 4 10 2 3" xfId="32791"/>
    <cellStyle name="Data   - Opmaakprofiel2 2 4 10 2 4" xfId="26506"/>
    <cellStyle name="Data   - Opmaakprofiel2 2 4 10 2 5" xfId="53406"/>
    <cellStyle name="Data   - Opmaakprofiel2 2 4 10 3" xfId="13442"/>
    <cellStyle name="Data   - Opmaakprofiel2 2 4 10 4" xfId="25494"/>
    <cellStyle name="Data   - Opmaakprofiel2 2 4 10 5" xfId="46093"/>
    <cellStyle name="Data   - Opmaakprofiel2 2 4 10 6" xfId="39986"/>
    <cellStyle name="Data   - Opmaakprofiel2 2 4 11" xfId="4556"/>
    <cellStyle name="Data   - Opmaakprofiel2 2 4 11 2" xfId="8442"/>
    <cellStyle name="Data   - Opmaakprofiel2 2 4 11 2 2" xfId="20740"/>
    <cellStyle name="Data   - Opmaakprofiel2 2 4 11 2 3" xfId="32792"/>
    <cellStyle name="Data   - Opmaakprofiel2 2 4 11 2 4" xfId="43090"/>
    <cellStyle name="Data   - Opmaakprofiel2 2 4 11 2 5" xfId="53407"/>
    <cellStyle name="Data   - Opmaakprofiel2 2 4 11 3" xfId="13443"/>
    <cellStyle name="Data   - Opmaakprofiel2 2 4 11 4" xfId="25495"/>
    <cellStyle name="Data   - Opmaakprofiel2 2 4 11 5" xfId="40535"/>
    <cellStyle name="Data   - Opmaakprofiel2 2 4 11 6" xfId="45697"/>
    <cellStyle name="Data   - Opmaakprofiel2 2 4 12" xfId="4557"/>
    <cellStyle name="Data   - Opmaakprofiel2 2 4 12 2" xfId="13444"/>
    <cellStyle name="Data   - Opmaakprofiel2 2 4 12 3" xfId="25496"/>
    <cellStyle name="Data   - Opmaakprofiel2 2 4 12 4" xfId="46092"/>
    <cellStyle name="Data   - Opmaakprofiel2 2 4 12 5" xfId="45701"/>
    <cellStyle name="Data   - Opmaakprofiel2 2 4 13" xfId="10176"/>
    <cellStyle name="Data   - Opmaakprofiel2 2 4 13 2" xfId="22474"/>
    <cellStyle name="Data   - Opmaakprofiel2 2 4 13 3" xfId="44238"/>
    <cellStyle name="Data   - Opmaakprofiel2 2 4 13 4" xfId="42384"/>
    <cellStyle name="Data   - Opmaakprofiel2 2 4 13 5" xfId="55141"/>
    <cellStyle name="Data   - Opmaakprofiel2 2 4 14" xfId="13441"/>
    <cellStyle name="Data   - Opmaakprofiel2 2 4 2" xfId="913"/>
    <cellStyle name="Data   - Opmaakprofiel2 2 4 2 2" xfId="1563"/>
    <cellStyle name="Data   - Opmaakprofiel2 2 4 2 2 2" xfId="8443"/>
    <cellStyle name="Data   - Opmaakprofiel2 2 4 2 2 2 2" xfId="20741"/>
    <cellStyle name="Data   - Opmaakprofiel2 2 4 2 2 2 3" xfId="32793"/>
    <cellStyle name="Data   - Opmaakprofiel2 2 4 2 2 2 4" xfId="31687"/>
    <cellStyle name="Data   - Opmaakprofiel2 2 4 2 2 2 5" xfId="53408"/>
    <cellStyle name="Data   - Opmaakprofiel2 2 4 2 2 3" xfId="13446"/>
    <cellStyle name="Data   - Opmaakprofiel2 2 4 2 2 4" xfId="25498"/>
    <cellStyle name="Data   - Opmaakprofiel2 2 4 2 2 5" xfId="40533"/>
    <cellStyle name="Data   - Opmaakprofiel2 2 4 2 2 6" xfId="45707"/>
    <cellStyle name="Data   - Opmaakprofiel2 2 4 2 3" xfId="2924"/>
    <cellStyle name="Data   - Opmaakprofiel2 2 4 2 3 2" xfId="8444"/>
    <cellStyle name="Data   - Opmaakprofiel2 2 4 2 3 2 2" xfId="20742"/>
    <cellStyle name="Data   - Opmaakprofiel2 2 4 2 3 2 3" xfId="32794"/>
    <cellStyle name="Data   - Opmaakprofiel2 2 4 2 3 2 4" xfId="43089"/>
    <cellStyle name="Data   - Opmaakprofiel2 2 4 2 3 2 5" xfId="53409"/>
    <cellStyle name="Data   - Opmaakprofiel2 2 4 2 3 3" xfId="13447"/>
    <cellStyle name="Data   - Opmaakprofiel2 2 4 2 3 4" xfId="25499"/>
    <cellStyle name="Data   - Opmaakprofiel2 2 4 2 3 5" xfId="40532"/>
    <cellStyle name="Data   - Opmaakprofiel2 2 4 2 3 6" xfId="40005"/>
    <cellStyle name="Data   - Opmaakprofiel2 2 4 2 4" xfId="3776"/>
    <cellStyle name="Data   - Opmaakprofiel2 2 4 2 4 2" xfId="8445"/>
    <cellStyle name="Data   - Opmaakprofiel2 2 4 2 4 2 2" xfId="20743"/>
    <cellStyle name="Data   - Opmaakprofiel2 2 4 2 4 2 3" xfId="32795"/>
    <cellStyle name="Data   - Opmaakprofiel2 2 4 2 4 2 4" xfId="26513"/>
    <cellStyle name="Data   - Opmaakprofiel2 2 4 2 4 2 5" xfId="53410"/>
    <cellStyle name="Data   - Opmaakprofiel2 2 4 2 4 3" xfId="13448"/>
    <cellStyle name="Data   - Opmaakprofiel2 2 4 2 4 4" xfId="25500"/>
    <cellStyle name="Data   - Opmaakprofiel2 2 4 2 4 5" xfId="46091"/>
    <cellStyle name="Data   - Opmaakprofiel2 2 4 2 4 6" xfId="40009"/>
    <cellStyle name="Data   - Opmaakprofiel2 2 4 2 5" xfId="4558"/>
    <cellStyle name="Data   - Opmaakprofiel2 2 4 2 5 2" xfId="8446"/>
    <cellStyle name="Data   - Opmaakprofiel2 2 4 2 5 2 2" xfId="20744"/>
    <cellStyle name="Data   - Opmaakprofiel2 2 4 2 5 2 3" xfId="32796"/>
    <cellStyle name="Data   - Opmaakprofiel2 2 4 2 5 2 4" xfId="31621"/>
    <cellStyle name="Data   - Opmaakprofiel2 2 4 2 5 2 5" xfId="53411"/>
    <cellStyle name="Data   - Opmaakprofiel2 2 4 2 5 3" xfId="13449"/>
    <cellStyle name="Data   - Opmaakprofiel2 2 4 2 5 4" xfId="25501"/>
    <cellStyle name="Data   - Opmaakprofiel2 2 4 2 5 5" xfId="40531"/>
    <cellStyle name="Data   - Opmaakprofiel2 2 4 2 5 6" xfId="45715"/>
    <cellStyle name="Data   - Opmaakprofiel2 2 4 2 6" xfId="4559"/>
    <cellStyle name="Data   - Opmaakprofiel2 2 4 2 6 2" xfId="8447"/>
    <cellStyle name="Data   - Opmaakprofiel2 2 4 2 6 2 2" xfId="20745"/>
    <cellStyle name="Data   - Opmaakprofiel2 2 4 2 6 2 3" xfId="32797"/>
    <cellStyle name="Data   - Opmaakprofiel2 2 4 2 6 2 4" xfId="26520"/>
    <cellStyle name="Data   - Opmaakprofiel2 2 4 2 6 2 5" xfId="53412"/>
    <cellStyle name="Data   - Opmaakprofiel2 2 4 2 6 3" xfId="13450"/>
    <cellStyle name="Data   - Opmaakprofiel2 2 4 2 6 4" xfId="25502"/>
    <cellStyle name="Data   - Opmaakprofiel2 2 4 2 6 5" xfId="46090"/>
    <cellStyle name="Data   - Opmaakprofiel2 2 4 2 6 6" xfId="45719"/>
    <cellStyle name="Data   - Opmaakprofiel2 2 4 2 7" xfId="4560"/>
    <cellStyle name="Data   - Opmaakprofiel2 2 4 2 7 2" xfId="13451"/>
    <cellStyle name="Data   - Opmaakprofiel2 2 4 2 7 3" xfId="25503"/>
    <cellStyle name="Data   - Opmaakprofiel2 2 4 2 7 4" xfId="40530"/>
    <cellStyle name="Data   - Opmaakprofiel2 2 4 2 7 5" xfId="40022"/>
    <cellStyle name="Data   - Opmaakprofiel2 2 4 2 8" xfId="10061"/>
    <cellStyle name="Data   - Opmaakprofiel2 2 4 2 8 2" xfId="22359"/>
    <cellStyle name="Data   - Opmaakprofiel2 2 4 2 8 3" xfId="44123"/>
    <cellStyle name="Data   - Opmaakprofiel2 2 4 2 8 4" xfId="31635"/>
    <cellStyle name="Data   - Opmaakprofiel2 2 4 2 8 5" xfId="55026"/>
    <cellStyle name="Data   - Opmaakprofiel2 2 4 2 9" xfId="13445"/>
    <cellStyle name="Data   - Opmaakprofiel2 2 4 3" xfId="1010"/>
    <cellStyle name="Data   - Opmaakprofiel2 2 4 3 2" xfId="1709"/>
    <cellStyle name="Data   - Opmaakprofiel2 2 4 3 2 2" xfId="8448"/>
    <cellStyle name="Data   - Opmaakprofiel2 2 4 3 2 2 2" xfId="20746"/>
    <cellStyle name="Data   - Opmaakprofiel2 2 4 3 2 2 3" xfId="32798"/>
    <cellStyle name="Data   - Opmaakprofiel2 2 4 3 2 2 4" xfId="43088"/>
    <cellStyle name="Data   - Opmaakprofiel2 2 4 3 2 2 5" xfId="53413"/>
    <cellStyle name="Data   - Opmaakprofiel2 2 4 3 2 3" xfId="13453"/>
    <cellStyle name="Data   - Opmaakprofiel2 2 4 3 2 4" xfId="25505"/>
    <cellStyle name="Data   - Opmaakprofiel2 2 4 3 2 5" xfId="40529"/>
    <cellStyle name="Data   - Opmaakprofiel2 2 4 3 2 6" xfId="40030"/>
    <cellStyle name="Data   - Opmaakprofiel2 2 4 3 3" xfId="3021"/>
    <cellStyle name="Data   - Opmaakprofiel2 2 4 3 3 2" xfId="8449"/>
    <cellStyle name="Data   - Opmaakprofiel2 2 4 3 3 2 2" xfId="20747"/>
    <cellStyle name="Data   - Opmaakprofiel2 2 4 3 3 2 3" xfId="32799"/>
    <cellStyle name="Data   - Opmaakprofiel2 2 4 3 3 2 4" xfId="34278"/>
    <cellStyle name="Data   - Opmaakprofiel2 2 4 3 3 2 5" xfId="53414"/>
    <cellStyle name="Data   - Opmaakprofiel2 2 4 3 3 3" xfId="13454"/>
    <cellStyle name="Data   - Opmaakprofiel2 2 4 3 3 4" xfId="25506"/>
    <cellStyle name="Data   - Opmaakprofiel2 2 4 3 3 5" xfId="46088"/>
    <cellStyle name="Data   - Opmaakprofiel2 2 4 3 3 6" xfId="40034"/>
    <cellStyle name="Data   - Opmaakprofiel2 2 4 3 4" xfId="3866"/>
    <cellStyle name="Data   - Opmaakprofiel2 2 4 3 4 2" xfId="8450"/>
    <cellStyle name="Data   - Opmaakprofiel2 2 4 3 4 2 2" xfId="20748"/>
    <cellStyle name="Data   - Opmaakprofiel2 2 4 3 4 2 3" xfId="32800"/>
    <cellStyle name="Data   - Opmaakprofiel2 2 4 3 4 2 4" xfId="43087"/>
    <cellStyle name="Data   - Opmaakprofiel2 2 4 3 4 2 5" xfId="53415"/>
    <cellStyle name="Data   - Opmaakprofiel2 2 4 3 4 3" xfId="13455"/>
    <cellStyle name="Data   - Opmaakprofiel2 2 4 3 4 4" xfId="25507"/>
    <cellStyle name="Data   - Opmaakprofiel2 2 4 3 4 5" xfId="40528"/>
    <cellStyle name="Data   - Opmaakprofiel2 2 4 3 4 6" xfId="45731"/>
    <cellStyle name="Data   - Opmaakprofiel2 2 4 3 5" xfId="4561"/>
    <cellStyle name="Data   - Opmaakprofiel2 2 4 3 5 2" xfId="8451"/>
    <cellStyle name="Data   - Opmaakprofiel2 2 4 3 5 2 2" xfId="20749"/>
    <cellStyle name="Data   - Opmaakprofiel2 2 4 3 5 2 3" xfId="32801"/>
    <cellStyle name="Data   - Opmaakprofiel2 2 4 3 5 2 4" xfId="26527"/>
    <cellStyle name="Data   - Opmaakprofiel2 2 4 3 5 2 5" xfId="53416"/>
    <cellStyle name="Data   - Opmaakprofiel2 2 4 3 5 3" xfId="13456"/>
    <cellStyle name="Data   - Opmaakprofiel2 2 4 3 5 4" xfId="25508"/>
    <cellStyle name="Data   - Opmaakprofiel2 2 4 3 5 5" xfId="46087"/>
    <cellStyle name="Data   - Opmaakprofiel2 2 4 3 5 6" xfId="45735"/>
    <cellStyle name="Data   - Opmaakprofiel2 2 4 3 6" xfId="4562"/>
    <cellStyle name="Data   - Opmaakprofiel2 2 4 3 6 2" xfId="8452"/>
    <cellStyle name="Data   - Opmaakprofiel2 2 4 3 6 2 2" xfId="20750"/>
    <cellStyle name="Data   - Opmaakprofiel2 2 4 3 6 2 3" xfId="32802"/>
    <cellStyle name="Data   - Opmaakprofiel2 2 4 3 6 2 4" xfId="31496"/>
    <cellStyle name="Data   - Opmaakprofiel2 2 4 3 6 2 5" xfId="53417"/>
    <cellStyle name="Data   - Opmaakprofiel2 2 4 3 6 3" xfId="13457"/>
    <cellStyle name="Data   - Opmaakprofiel2 2 4 3 6 4" xfId="25509"/>
    <cellStyle name="Data   - Opmaakprofiel2 2 4 3 6 5" xfId="40527"/>
    <cellStyle name="Data   - Opmaakprofiel2 2 4 3 6 6" xfId="40046"/>
    <cellStyle name="Data   - Opmaakprofiel2 2 4 3 7" xfId="4563"/>
    <cellStyle name="Data   - Opmaakprofiel2 2 4 3 7 2" xfId="13458"/>
    <cellStyle name="Data   - Opmaakprofiel2 2 4 3 7 3" xfId="25510"/>
    <cellStyle name="Data   - Opmaakprofiel2 2 4 3 7 4" xfId="40526"/>
    <cellStyle name="Data   - Opmaakprofiel2 2 4 3 7 5" xfId="40050"/>
    <cellStyle name="Data   - Opmaakprofiel2 2 4 3 8" xfId="7304"/>
    <cellStyle name="Data   - Opmaakprofiel2 2 4 3 8 2" xfId="19602"/>
    <cellStyle name="Data   - Opmaakprofiel2 2 4 3 8 3" xfId="41405"/>
    <cellStyle name="Data   - Opmaakprofiel2 2 4 3 8 4" xfId="43565"/>
    <cellStyle name="Data   - Opmaakprofiel2 2 4 3 8 5" xfId="52274"/>
    <cellStyle name="Data   - Opmaakprofiel2 2 4 3 9" xfId="13452"/>
    <cellStyle name="Data   - Opmaakprofiel2 2 4 4" xfId="968"/>
    <cellStyle name="Data   - Opmaakprofiel2 2 4 4 2" xfId="1744"/>
    <cellStyle name="Data   - Opmaakprofiel2 2 4 4 2 2" xfId="8453"/>
    <cellStyle name="Data   - Opmaakprofiel2 2 4 4 2 2 2" xfId="20751"/>
    <cellStyle name="Data   - Opmaakprofiel2 2 4 4 2 2 3" xfId="32803"/>
    <cellStyle name="Data   - Opmaakprofiel2 2 4 4 2 2 4" xfId="43086"/>
    <cellStyle name="Data   - Opmaakprofiel2 2 4 4 2 2 5" xfId="53418"/>
    <cellStyle name="Data   - Opmaakprofiel2 2 4 4 2 3" xfId="13460"/>
    <cellStyle name="Data   - Opmaakprofiel2 2 4 4 2 4" xfId="25512"/>
    <cellStyle name="Data   - Opmaakprofiel2 2 4 4 2 5" xfId="46086"/>
    <cellStyle name="Data   - Opmaakprofiel2 2 4 4 2 6" xfId="45747"/>
    <cellStyle name="Data   - Opmaakprofiel2 2 4 4 3" xfId="2979"/>
    <cellStyle name="Data   - Opmaakprofiel2 2 4 4 3 2" xfId="8454"/>
    <cellStyle name="Data   - Opmaakprofiel2 2 4 4 3 2 2" xfId="20752"/>
    <cellStyle name="Data   - Opmaakprofiel2 2 4 4 3 2 3" xfId="32804"/>
    <cellStyle name="Data   - Opmaakprofiel2 2 4 4 3 2 4" xfId="26534"/>
    <cellStyle name="Data   - Opmaakprofiel2 2 4 4 3 2 5" xfId="53419"/>
    <cellStyle name="Data   - Opmaakprofiel2 2 4 4 3 3" xfId="13461"/>
    <cellStyle name="Data   - Opmaakprofiel2 2 4 4 3 4" xfId="25513"/>
    <cellStyle name="Data   - Opmaakprofiel2 2 4 4 3 5" xfId="40525"/>
    <cellStyle name="Data   - Opmaakprofiel2 2 4 4 3 6" xfId="45749"/>
    <cellStyle name="Data   - Opmaakprofiel2 2 4 4 4" xfId="3825"/>
    <cellStyle name="Data   - Opmaakprofiel2 2 4 4 4 2" xfId="8455"/>
    <cellStyle name="Data   - Opmaakprofiel2 2 4 4 4 2 2" xfId="20753"/>
    <cellStyle name="Data   - Opmaakprofiel2 2 4 4 4 2 3" xfId="32805"/>
    <cellStyle name="Data   - Opmaakprofiel2 2 4 4 4 2 4" xfId="43085"/>
    <cellStyle name="Data   - Opmaakprofiel2 2 4 4 4 2 5" xfId="53420"/>
    <cellStyle name="Data   - Opmaakprofiel2 2 4 4 4 3" xfId="13462"/>
    <cellStyle name="Data   - Opmaakprofiel2 2 4 4 4 4" xfId="25514"/>
    <cellStyle name="Data   - Opmaakprofiel2 2 4 4 4 5" xfId="46085"/>
    <cellStyle name="Data   - Opmaakprofiel2 2 4 4 4 6" xfId="45753"/>
    <cellStyle name="Data   - Opmaakprofiel2 2 4 4 5" xfId="4564"/>
    <cellStyle name="Data   - Opmaakprofiel2 2 4 4 5 2" xfId="8456"/>
    <cellStyle name="Data   - Opmaakprofiel2 2 4 4 5 2 2" xfId="20754"/>
    <cellStyle name="Data   - Opmaakprofiel2 2 4 4 5 2 3" xfId="32806"/>
    <cellStyle name="Data   - Opmaakprofiel2 2 4 4 5 2 4" xfId="34690"/>
    <cellStyle name="Data   - Opmaakprofiel2 2 4 4 5 2 5" xfId="53421"/>
    <cellStyle name="Data   - Opmaakprofiel2 2 4 4 5 3" xfId="13463"/>
    <cellStyle name="Data   - Opmaakprofiel2 2 4 4 5 4" xfId="25515"/>
    <cellStyle name="Data   - Opmaakprofiel2 2 4 4 5 5" xfId="40524"/>
    <cellStyle name="Data   - Opmaakprofiel2 2 4 4 5 6" xfId="40070"/>
    <cellStyle name="Data   - Opmaakprofiel2 2 4 4 6" xfId="4565"/>
    <cellStyle name="Data   - Opmaakprofiel2 2 4 4 6 2" xfId="8457"/>
    <cellStyle name="Data   - Opmaakprofiel2 2 4 4 6 2 2" xfId="20755"/>
    <cellStyle name="Data   - Opmaakprofiel2 2 4 4 6 2 3" xfId="32807"/>
    <cellStyle name="Data   - Opmaakprofiel2 2 4 4 6 2 4" xfId="43084"/>
    <cellStyle name="Data   - Opmaakprofiel2 2 4 4 6 2 5" xfId="53422"/>
    <cellStyle name="Data   - Opmaakprofiel2 2 4 4 6 3" xfId="13464"/>
    <cellStyle name="Data   - Opmaakprofiel2 2 4 4 6 4" xfId="25516"/>
    <cellStyle name="Data   - Opmaakprofiel2 2 4 4 6 5" xfId="46084"/>
    <cellStyle name="Data   - Opmaakprofiel2 2 4 4 6 6" xfId="45759"/>
    <cellStyle name="Data   - Opmaakprofiel2 2 4 4 7" xfId="4566"/>
    <cellStyle name="Data   - Opmaakprofiel2 2 4 4 7 2" xfId="13465"/>
    <cellStyle name="Data   - Opmaakprofiel2 2 4 4 7 3" xfId="25517"/>
    <cellStyle name="Data   - Opmaakprofiel2 2 4 4 7 4" xfId="40523"/>
    <cellStyle name="Data   - Opmaakprofiel2 2 4 4 7 5" xfId="40078"/>
    <cellStyle name="Data   - Opmaakprofiel2 2 4 4 8" xfId="7333"/>
    <cellStyle name="Data   - Opmaakprofiel2 2 4 4 8 2" xfId="19631"/>
    <cellStyle name="Data   - Opmaakprofiel2 2 4 4 8 3" xfId="41434"/>
    <cellStyle name="Data   - Opmaakprofiel2 2 4 4 8 4" xfId="36840"/>
    <cellStyle name="Data   - Opmaakprofiel2 2 4 4 8 5" xfId="52303"/>
    <cellStyle name="Data   - Opmaakprofiel2 2 4 4 9" xfId="13459"/>
    <cellStyle name="Data   - Opmaakprofiel2 2 4 5" xfId="1181"/>
    <cellStyle name="Data   - Opmaakprofiel2 2 4 5 2" xfId="1895"/>
    <cellStyle name="Data   - Opmaakprofiel2 2 4 5 2 2" xfId="8458"/>
    <cellStyle name="Data   - Opmaakprofiel2 2 4 5 2 2 2" xfId="20756"/>
    <cellStyle name="Data   - Opmaakprofiel2 2 4 5 2 2 3" xfId="32808"/>
    <cellStyle name="Data   - Opmaakprofiel2 2 4 5 2 2 4" xfId="26544"/>
    <cellStyle name="Data   - Opmaakprofiel2 2 4 5 2 2 5" xfId="53423"/>
    <cellStyle name="Data   - Opmaakprofiel2 2 4 5 2 3" xfId="13467"/>
    <cellStyle name="Data   - Opmaakprofiel2 2 4 5 2 4" xfId="25519"/>
    <cellStyle name="Data   - Opmaakprofiel2 2 4 5 2 5" xfId="40522"/>
    <cellStyle name="Data   - Opmaakprofiel2 2 4 5 2 6" xfId="45766"/>
    <cellStyle name="Data   - Opmaakprofiel2 2 4 5 3" xfId="3192"/>
    <cellStyle name="Data   - Opmaakprofiel2 2 4 5 3 2" xfId="8459"/>
    <cellStyle name="Data   - Opmaakprofiel2 2 4 5 3 2 2" xfId="20757"/>
    <cellStyle name="Data   - Opmaakprofiel2 2 4 5 3 2 3" xfId="32809"/>
    <cellStyle name="Data   - Opmaakprofiel2 2 4 5 3 2 4" xfId="31789"/>
    <cellStyle name="Data   - Opmaakprofiel2 2 4 5 3 2 5" xfId="53424"/>
    <cellStyle name="Data   - Opmaakprofiel2 2 4 5 3 3" xfId="13468"/>
    <cellStyle name="Data   - Opmaakprofiel2 2 4 5 3 4" xfId="25520"/>
    <cellStyle name="Data   - Opmaakprofiel2 2 4 5 3 5" xfId="46082"/>
    <cellStyle name="Data   - Opmaakprofiel2 2 4 5 3 6" xfId="40089"/>
    <cellStyle name="Data   - Opmaakprofiel2 2 4 5 4" xfId="4011"/>
    <cellStyle name="Data   - Opmaakprofiel2 2 4 5 4 2" xfId="8460"/>
    <cellStyle name="Data   - Opmaakprofiel2 2 4 5 4 2 2" xfId="20758"/>
    <cellStyle name="Data   - Opmaakprofiel2 2 4 5 4 2 3" xfId="32810"/>
    <cellStyle name="Data   - Opmaakprofiel2 2 4 5 4 2 4" xfId="43083"/>
    <cellStyle name="Data   - Opmaakprofiel2 2 4 5 4 2 5" xfId="53425"/>
    <cellStyle name="Data   - Opmaakprofiel2 2 4 5 4 3" xfId="13469"/>
    <cellStyle name="Data   - Opmaakprofiel2 2 4 5 4 4" xfId="25521"/>
    <cellStyle name="Data   - Opmaakprofiel2 2 4 5 4 5" xfId="40521"/>
    <cellStyle name="Data   - Opmaakprofiel2 2 4 5 4 6" xfId="40093"/>
    <cellStyle name="Data   - Opmaakprofiel2 2 4 5 5" xfId="4567"/>
    <cellStyle name="Data   - Opmaakprofiel2 2 4 5 5 2" xfId="8461"/>
    <cellStyle name="Data   - Opmaakprofiel2 2 4 5 5 2 2" xfId="20759"/>
    <cellStyle name="Data   - Opmaakprofiel2 2 4 5 5 2 3" xfId="32811"/>
    <cellStyle name="Data   - Opmaakprofiel2 2 4 5 5 2 4" xfId="26548"/>
    <cellStyle name="Data   - Opmaakprofiel2 2 4 5 5 2 5" xfId="53426"/>
    <cellStyle name="Data   - Opmaakprofiel2 2 4 5 5 3" xfId="13470"/>
    <cellStyle name="Data   - Opmaakprofiel2 2 4 5 5 4" xfId="25522"/>
    <cellStyle name="Data   - Opmaakprofiel2 2 4 5 5 5" xfId="40520"/>
    <cellStyle name="Data   - Opmaakprofiel2 2 4 5 5 6" xfId="45776"/>
    <cellStyle name="Data   - Opmaakprofiel2 2 4 5 6" xfId="4568"/>
    <cellStyle name="Data   - Opmaakprofiel2 2 4 5 6 2" xfId="8462"/>
    <cellStyle name="Data   - Opmaakprofiel2 2 4 5 6 2 2" xfId="20760"/>
    <cellStyle name="Data   - Opmaakprofiel2 2 4 5 6 2 3" xfId="32812"/>
    <cellStyle name="Data   - Opmaakprofiel2 2 4 5 6 2 4" xfId="43082"/>
    <cellStyle name="Data   - Opmaakprofiel2 2 4 5 6 2 5" xfId="53427"/>
    <cellStyle name="Data   - Opmaakprofiel2 2 4 5 6 3" xfId="13471"/>
    <cellStyle name="Data   - Opmaakprofiel2 2 4 5 6 4" xfId="25523"/>
    <cellStyle name="Data   - Opmaakprofiel2 2 4 5 6 5" xfId="40519"/>
    <cellStyle name="Data   - Opmaakprofiel2 2 4 5 6 6" xfId="40101"/>
    <cellStyle name="Data   - Opmaakprofiel2 2 4 5 7" xfId="4569"/>
    <cellStyle name="Data   - Opmaakprofiel2 2 4 5 7 2" xfId="13472"/>
    <cellStyle name="Data   - Opmaakprofiel2 2 4 5 7 3" xfId="25524"/>
    <cellStyle name="Data   - Opmaakprofiel2 2 4 5 7 4" xfId="46081"/>
    <cellStyle name="Data   - Opmaakprofiel2 2 4 5 7 5" xfId="45782"/>
    <cellStyle name="Data   - Opmaakprofiel2 2 4 5 8" xfId="7189"/>
    <cellStyle name="Data   - Opmaakprofiel2 2 4 5 8 2" xfId="19487"/>
    <cellStyle name="Data   - Opmaakprofiel2 2 4 5 8 3" xfId="41290"/>
    <cellStyle name="Data   - Opmaakprofiel2 2 4 5 8 4" xfId="36924"/>
    <cellStyle name="Data   - Opmaakprofiel2 2 4 5 8 5" xfId="52159"/>
    <cellStyle name="Data   - Opmaakprofiel2 2 4 5 9" xfId="13466"/>
    <cellStyle name="Data   - Opmaakprofiel2 2 4 6" xfId="1253"/>
    <cellStyle name="Data   - Opmaakprofiel2 2 4 6 2" xfId="2135"/>
    <cellStyle name="Data   - Opmaakprofiel2 2 4 6 2 2" xfId="8463"/>
    <cellStyle name="Data   - Opmaakprofiel2 2 4 6 2 2 2" xfId="20761"/>
    <cellStyle name="Data   - Opmaakprofiel2 2 4 6 2 2 3" xfId="32813"/>
    <cellStyle name="Data   - Opmaakprofiel2 2 4 6 2 2 4" xfId="34352"/>
    <cellStyle name="Data   - Opmaakprofiel2 2 4 6 2 2 5" xfId="53428"/>
    <cellStyle name="Data   - Opmaakprofiel2 2 4 6 2 3" xfId="13474"/>
    <cellStyle name="Data   - Opmaakprofiel2 2 4 6 2 4" xfId="25526"/>
    <cellStyle name="Data   - Opmaakprofiel2 2 4 6 2 5" xfId="46080"/>
    <cellStyle name="Data   - Opmaakprofiel2 2 4 6 2 6" xfId="45787"/>
    <cellStyle name="Data   - Opmaakprofiel2 2 4 6 3" xfId="3264"/>
    <cellStyle name="Data   - Opmaakprofiel2 2 4 6 3 2" xfId="8464"/>
    <cellStyle name="Data   - Opmaakprofiel2 2 4 6 3 2 2" xfId="20762"/>
    <cellStyle name="Data   - Opmaakprofiel2 2 4 6 3 2 3" xfId="32814"/>
    <cellStyle name="Data   - Opmaakprofiel2 2 4 6 3 2 4" xfId="43081"/>
    <cellStyle name="Data   - Opmaakprofiel2 2 4 6 3 2 5" xfId="53429"/>
    <cellStyle name="Data   - Opmaakprofiel2 2 4 6 3 3" xfId="13475"/>
    <cellStyle name="Data   - Opmaakprofiel2 2 4 6 3 4" xfId="25527"/>
    <cellStyle name="Data   - Opmaakprofiel2 2 4 6 3 5" xfId="40517"/>
    <cellStyle name="Data   - Opmaakprofiel2 2 4 6 3 6" xfId="40118"/>
    <cellStyle name="Data   - Opmaakprofiel2 2 4 6 4" xfId="4075"/>
    <cellStyle name="Data   - Opmaakprofiel2 2 4 6 4 2" xfId="8465"/>
    <cellStyle name="Data   - Opmaakprofiel2 2 4 6 4 2 2" xfId="20763"/>
    <cellStyle name="Data   - Opmaakprofiel2 2 4 6 4 2 3" xfId="32815"/>
    <cellStyle name="Data   - Opmaakprofiel2 2 4 6 4 2 4" xfId="26555"/>
    <cellStyle name="Data   - Opmaakprofiel2 2 4 6 4 2 5" xfId="53430"/>
    <cellStyle name="Data   - Opmaakprofiel2 2 4 6 4 3" xfId="13476"/>
    <cellStyle name="Data   - Opmaakprofiel2 2 4 6 4 4" xfId="25528"/>
    <cellStyle name="Data   - Opmaakprofiel2 2 4 6 4 5" xfId="46079"/>
    <cellStyle name="Data   - Opmaakprofiel2 2 4 6 4 6" xfId="45793"/>
    <cellStyle name="Data   - Opmaakprofiel2 2 4 6 5" xfId="4570"/>
    <cellStyle name="Data   - Opmaakprofiel2 2 4 6 5 2" xfId="8466"/>
    <cellStyle name="Data   - Opmaakprofiel2 2 4 6 5 2 2" xfId="20764"/>
    <cellStyle name="Data   - Opmaakprofiel2 2 4 6 5 2 3" xfId="32816"/>
    <cellStyle name="Data   - Opmaakprofiel2 2 4 6 5 2 4" xfId="43080"/>
    <cellStyle name="Data   - Opmaakprofiel2 2 4 6 5 2 5" xfId="53431"/>
    <cellStyle name="Data   - Opmaakprofiel2 2 4 6 5 3" xfId="13477"/>
    <cellStyle name="Data   - Opmaakprofiel2 2 4 6 5 4" xfId="25529"/>
    <cellStyle name="Data   - Opmaakprofiel2 2 4 6 5 5" xfId="40516"/>
    <cellStyle name="Data   - Opmaakprofiel2 2 4 6 5 6" xfId="40126"/>
    <cellStyle name="Data   - Opmaakprofiel2 2 4 6 6" xfId="4571"/>
    <cellStyle name="Data   - Opmaakprofiel2 2 4 6 6 2" xfId="8467"/>
    <cellStyle name="Data   - Opmaakprofiel2 2 4 6 6 2 2" xfId="20765"/>
    <cellStyle name="Data   - Opmaakprofiel2 2 4 6 6 2 3" xfId="32817"/>
    <cellStyle name="Data   - Opmaakprofiel2 2 4 6 6 2 4" xfId="31615"/>
    <cellStyle name="Data   - Opmaakprofiel2 2 4 6 6 2 5" xfId="53432"/>
    <cellStyle name="Data   - Opmaakprofiel2 2 4 6 6 3" xfId="13478"/>
    <cellStyle name="Data   - Opmaakprofiel2 2 4 6 6 4" xfId="25530"/>
    <cellStyle name="Data   - Opmaakprofiel2 2 4 6 6 5" xfId="46078"/>
    <cellStyle name="Data   - Opmaakprofiel2 2 4 6 6 6" xfId="40130"/>
    <cellStyle name="Data   - Opmaakprofiel2 2 4 6 7" xfId="4572"/>
    <cellStyle name="Data   - Opmaakprofiel2 2 4 6 7 2" xfId="13479"/>
    <cellStyle name="Data   - Opmaakprofiel2 2 4 6 7 3" xfId="25531"/>
    <cellStyle name="Data   - Opmaakprofiel2 2 4 6 7 4" xfId="40515"/>
    <cellStyle name="Data   - Opmaakprofiel2 2 4 6 7 5" xfId="40132"/>
    <cellStyle name="Data   - Opmaakprofiel2 2 4 6 8" xfId="7122"/>
    <cellStyle name="Data   - Opmaakprofiel2 2 4 6 8 2" xfId="19420"/>
    <cellStyle name="Data   - Opmaakprofiel2 2 4 6 8 3" xfId="41223"/>
    <cellStyle name="Data   - Opmaakprofiel2 2 4 6 8 4" xfId="43641"/>
    <cellStyle name="Data   - Opmaakprofiel2 2 4 6 8 5" xfId="52093"/>
    <cellStyle name="Data   - Opmaakprofiel2 2 4 6 9" xfId="13473"/>
    <cellStyle name="Data   - Opmaakprofiel2 2 4 7" xfId="2259"/>
    <cellStyle name="Data   - Opmaakprofiel2 2 4 7 2" xfId="8468"/>
    <cellStyle name="Data   - Opmaakprofiel2 2 4 7 2 2" xfId="20766"/>
    <cellStyle name="Data   - Opmaakprofiel2 2 4 7 2 3" xfId="32818"/>
    <cellStyle name="Data   - Opmaakprofiel2 2 4 7 2 4" xfId="43079"/>
    <cellStyle name="Data   - Opmaakprofiel2 2 4 7 2 5" xfId="53433"/>
    <cellStyle name="Data   - Opmaakprofiel2 2 4 7 3" xfId="13480"/>
    <cellStyle name="Data   - Opmaakprofiel2 2 4 7 4" xfId="25532"/>
    <cellStyle name="Data   - Opmaakprofiel2 2 4 7 5" xfId="46077"/>
    <cellStyle name="Data   - Opmaakprofiel2 2 4 7 6" xfId="45804"/>
    <cellStyle name="Data   - Opmaakprofiel2 2 4 8" xfId="2789"/>
    <cellStyle name="Data   - Opmaakprofiel2 2 4 8 2" xfId="8469"/>
    <cellStyle name="Data   - Opmaakprofiel2 2 4 8 2 2" xfId="20767"/>
    <cellStyle name="Data   - Opmaakprofiel2 2 4 8 2 3" xfId="32819"/>
    <cellStyle name="Data   - Opmaakprofiel2 2 4 8 2 4" xfId="26562"/>
    <cellStyle name="Data   - Opmaakprofiel2 2 4 8 2 5" xfId="53434"/>
    <cellStyle name="Data   - Opmaakprofiel2 2 4 8 3" xfId="13481"/>
    <cellStyle name="Data   - Opmaakprofiel2 2 4 8 4" xfId="25533"/>
    <cellStyle name="Data   - Opmaakprofiel2 2 4 8 5" xfId="40514"/>
    <cellStyle name="Data   - Opmaakprofiel2 2 4 8 6" xfId="40142"/>
    <cellStyle name="Data   - Opmaakprofiel2 2 4 9" xfId="3651"/>
    <cellStyle name="Data   - Opmaakprofiel2 2 4 9 2" xfId="8470"/>
    <cellStyle name="Data   - Opmaakprofiel2 2 4 9 2 2" xfId="20768"/>
    <cellStyle name="Data   - Opmaakprofiel2 2 4 9 2 3" xfId="32820"/>
    <cellStyle name="Data   - Opmaakprofiel2 2 4 9 2 4" xfId="34469"/>
    <cellStyle name="Data   - Opmaakprofiel2 2 4 9 2 5" xfId="53435"/>
    <cellStyle name="Data   - Opmaakprofiel2 2 4 9 3" xfId="13482"/>
    <cellStyle name="Data   - Opmaakprofiel2 2 4 9 4" xfId="25534"/>
    <cellStyle name="Data   - Opmaakprofiel2 2 4 9 5" xfId="40513"/>
    <cellStyle name="Data   - Opmaakprofiel2 2 4 9 6" xfId="45810"/>
    <cellStyle name="Data   - Opmaakprofiel2 2 40" xfId="4573"/>
    <cellStyle name="Data   - Opmaakprofiel2 2 40 2" xfId="8471"/>
    <cellStyle name="Data   - Opmaakprofiel2 2 40 2 2" xfId="20769"/>
    <cellStyle name="Data   - Opmaakprofiel2 2 40 2 3" xfId="32821"/>
    <cellStyle name="Data   - Opmaakprofiel2 2 40 2 4" xfId="26569"/>
    <cellStyle name="Data   - Opmaakprofiel2 2 40 2 5" xfId="53436"/>
    <cellStyle name="Data   - Opmaakprofiel2 2 40 3" xfId="13483"/>
    <cellStyle name="Data   - Opmaakprofiel2 2 40 4" xfId="25535"/>
    <cellStyle name="Data   - Opmaakprofiel2 2 40 5" xfId="40512"/>
    <cellStyle name="Data   - Opmaakprofiel2 2 40 6" xfId="40150"/>
    <cellStyle name="Data   - Opmaakprofiel2 2 41" xfId="4574"/>
    <cellStyle name="Data   - Opmaakprofiel2 2 41 2" xfId="8472"/>
    <cellStyle name="Data   - Opmaakprofiel2 2 41 2 2" xfId="20770"/>
    <cellStyle name="Data   - Opmaakprofiel2 2 41 2 3" xfId="32822"/>
    <cellStyle name="Data   - Opmaakprofiel2 2 41 2 4" xfId="43078"/>
    <cellStyle name="Data   - Opmaakprofiel2 2 41 2 5" xfId="53437"/>
    <cellStyle name="Data   - Opmaakprofiel2 2 41 3" xfId="13484"/>
    <cellStyle name="Data   - Opmaakprofiel2 2 41 4" xfId="25536"/>
    <cellStyle name="Data   - Opmaakprofiel2 2 41 5" xfId="46076"/>
    <cellStyle name="Data   - Opmaakprofiel2 2 41 6" xfId="45816"/>
    <cellStyle name="Data   - Opmaakprofiel2 2 42" xfId="4575"/>
    <cellStyle name="Data   - Opmaakprofiel2 2 42 2" xfId="13485"/>
    <cellStyle name="Data   - Opmaakprofiel2 2 42 3" xfId="25537"/>
    <cellStyle name="Data   - Opmaakprofiel2 2 42 4" xfId="40511"/>
    <cellStyle name="Data   - Opmaakprofiel2 2 42 5" xfId="45818"/>
    <cellStyle name="Data   - Opmaakprofiel2 2 43" xfId="10552"/>
    <cellStyle name="Data   - Opmaakprofiel2 2 43 2" xfId="22850"/>
    <cellStyle name="Data   - Opmaakprofiel2 2 43 3" xfId="44609"/>
    <cellStyle name="Data   - Opmaakprofiel2 2 43 4" xfId="31892"/>
    <cellStyle name="Data   - Opmaakprofiel2 2 43 5" xfId="55517"/>
    <cellStyle name="Data   - Opmaakprofiel2 2 44" xfId="12540"/>
    <cellStyle name="Data   - Opmaakprofiel2 2 5" xfId="691"/>
    <cellStyle name="Data   - Opmaakprofiel2 2 5 10" xfId="4576"/>
    <cellStyle name="Data   - Opmaakprofiel2 2 5 10 2" xfId="8473"/>
    <cellStyle name="Data   - Opmaakprofiel2 2 5 10 2 2" xfId="20771"/>
    <cellStyle name="Data   - Opmaakprofiel2 2 5 10 2 3" xfId="32823"/>
    <cellStyle name="Data   - Opmaakprofiel2 2 5 10 2 4" xfId="31489"/>
    <cellStyle name="Data   - Opmaakprofiel2 2 5 10 2 5" xfId="53438"/>
    <cellStyle name="Data   - Opmaakprofiel2 2 5 10 3" xfId="13487"/>
    <cellStyle name="Data   - Opmaakprofiel2 2 5 10 4" xfId="25539"/>
    <cellStyle name="Data   - Opmaakprofiel2 2 5 10 5" xfId="40510"/>
    <cellStyle name="Data   - Opmaakprofiel2 2 5 10 6" xfId="40157"/>
    <cellStyle name="Data   - Opmaakprofiel2 2 5 11" xfId="4577"/>
    <cellStyle name="Data   - Opmaakprofiel2 2 5 11 2" xfId="8474"/>
    <cellStyle name="Data   - Opmaakprofiel2 2 5 11 2 2" xfId="20772"/>
    <cellStyle name="Data   - Opmaakprofiel2 2 5 11 2 3" xfId="32824"/>
    <cellStyle name="Data   - Opmaakprofiel2 2 5 11 2 4" xfId="43077"/>
    <cellStyle name="Data   - Opmaakprofiel2 2 5 11 2 5" xfId="53439"/>
    <cellStyle name="Data   - Opmaakprofiel2 2 5 11 3" xfId="13488"/>
    <cellStyle name="Data   - Opmaakprofiel2 2 5 11 4" xfId="25540"/>
    <cellStyle name="Data   - Opmaakprofiel2 2 5 11 5" xfId="46074"/>
    <cellStyle name="Data   - Opmaakprofiel2 2 5 11 6" xfId="40158"/>
    <cellStyle name="Data   - Opmaakprofiel2 2 5 12" xfId="4578"/>
    <cellStyle name="Data   - Opmaakprofiel2 2 5 12 2" xfId="13489"/>
    <cellStyle name="Data   - Opmaakprofiel2 2 5 12 3" xfId="25541"/>
    <cellStyle name="Data   - Opmaakprofiel2 2 5 12 4" xfId="40509"/>
    <cellStyle name="Data   - Opmaakprofiel2 2 5 12 5" xfId="45819"/>
    <cellStyle name="Data   - Opmaakprofiel2 2 5 13" xfId="7520"/>
    <cellStyle name="Data   - Opmaakprofiel2 2 5 13 2" xfId="19818"/>
    <cellStyle name="Data   - Opmaakprofiel2 2 5 13 3" xfId="41621"/>
    <cellStyle name="Data   - Opmaakprofiel2 2 5 13 4" xfId="34434"/>
    <cellStyle name="Data   - Opmaakprofiel2 2 5 13 5" xfId="52490"/>
    <cellStyle name="Data   - Opmaakprofiel2 2 5 14" xfId="13486"/>
    <cellStyle name="Data   - Opmaakprofiel2 2 5 2" xfId="864"/>
    <cellStyle name="Data   - Opmaakprofiel2 2 5 2 2" xfId="1435"/>
    <cellStyle name="Data   - Opmaakprofiel2 2 5 2 2 2" xfId="8475"/>
    <cellStyle name="Data   - Opmaakprofiel2 2 5 2 2 2 2" xfId="20773"/>
    <cellStyle name="Data   - Opmaakprofiel2 2 5 2 2 2 3" xfId="32825"/>
    <cellStyle name="Data   - Opmaakprofiel2 2 5 2 2 2 4" xfId="26576"/>
    <cellStyle name="Data   - Opmaakprofiel2 2 5 2 2 2 5" xfId="53440"/>
    <cellStyle name="Data   - Opmaakprofiel2 2 5 2 2 3" xfId="13491"/>
    <cellStyle name="Data   - Opmaakprofiel2 2 5 2 2 4" xfId="25543"/>
    <cellStyle name="Data   - Opmaakprofiel2 2 5 2 2 5" xfId="40508"/>
    <cellStyle name="Data   - Opmaakprofiel2 2 5 2 2 6" xfId="45820"/>
    <cellStyle name="Data   - Opmaakprofiel2 2 5 2 3" xfId="2875"/>
    <cellStyle name="Data   - Opmaakprofiel2 2 5 2 3 2" xfId="8476"/>
    <cellStyle name="Data   - Opmaakprofiel2 2 5 2 3 2 2" xfId="20774"/>
    <cellStyle name="Data   - Opmaakprofiel2 2 5 2 3 2 3" xfId="32826"/>
    <cellStyle name="Data   - Opmaakprofiel2 2 5 2 3 2 4" xfId="43076"/>
    <cellStyle name="Data   - Opmaakprofiel2 2 5 2 3 2 5" xfId="53441"/>
    <cellStyle name="Data   - Opmaakprofiel2 2 5 2 3 3" xfId="13492"/>
    <cellStyle name="Data   - Opmaakprofiel2 2 5 2 3 4" xfId="25544"/>
    <cellStyle name="Data   - Opmaakprofiel2 2 5 2 3 5" xfId="46072"/>
    <cellStyle name="Data   - Opmaakprofiel2 2 5 2 3 6" xfId="40159"/>
    <cellStyle name="Data   - Opmaakprofiel2 2 5 2 4" xfId="3728"/>
    <cellStyle name="Data   - Opmaakprofiel2 2 5 2 4 2" xfId="8477"/>
    <cellStyle name="Data   - Opmaakprofiel2 2 5 2 4 2 2" xfId="20775"/>
    <cellStyle name="Data   - Opmaakprofiel2 2 5 2 4 2 3" xfId="32827"/>
    <cellStyle name="Data   - Opmaakprofiel2 2 5 2 4 2 4" xfId="32007"/>
    <cellStyle name="Data   - Opmaakprofiel2 2 5 2 4 2 5" xfId="53442"/>
    <cellStyle name="Data   - Opmaakprofiel2 2 5 2 4 3" xfId="13493"/>
    <cellStyle name="Data   - Opmaakprofiel2 2 5 2 4 4" xfId="25545"/>
    <cellStyle name="Data   - Opmaakprofiel2 2 5 2 4 5" xfId="40507"/>
    <cellStyle name="Data   - Opmaakprofiel2 2 5 2 4 6" xfId="45821"/>
    <cellStyle name="Data   - Opmaakprofiel2 2 5 2 5" xfId="4579"/>
    <cellStyle name="Data   - Opmaakprofiel2 2 5 2 5 2" xfId="8478"/>
    <cellStyle name="Data   - Opmaakprofiel2 2 5 2 5 2 2" xfId="20776"/>
    <cellStyle name="Data   - Opmaakprofiel2 2 5 2 5 2 3" xfId="32828"/>
    <cellStyle name="Data   - Opmaakprofiel2 2 5 2 5 2 4" xfId="43075"/>
    <cellStyle name="Data   - Opmaakprofiel2 2 5 2 5 2 5" xfId="53443"/>
    <cellStyle name="Data   - Opmaakprofiel2 2 5 2 5 3" xfId="13494"/>
    <cellStyle name="Data   - Opmaakprofiel2 2 5 2 5 4" xfId="25546"/>
    <cellStyle name="Data   - Opmaakprofiel2 2 5 2 5 5" xfId="40506"/>
    <cellStyle name="Data   - Opmaakprofiel2 2 5 2 5 6" xfId="40160"/>
    <cellStyle name="Data   - Opmaakprofiel2 2 5 2 6" xfId="4580"/>
    <cellStyle name="Data   - Opmaakprofiel2 2 5 2 6 2" xfId="8479"/>
    <cellStyle name="Data   - Opmaakprofiel2 2 5 2 6 2 2" xfId="20777"/>
    <cellStyle name="Data   - Opmaakprofiel2 2 5 2 6 2 3" xfId="32829"/>
    <cellStyle name="Data   - Opmaakprofiel2 2 5 2 6 2 4" xfId="26586"/>
    <cellStyle name="Data   - Opmaakprofiel2 2 5 2 6 2 5" xfId="53444"/>
    <cellStyle name="Data   - Opmaakprofiel2 2 5 2 6 3" xfId="13495"/>
    <cellStyle name="Data   - Opmaakprofiel2 2 5 2 6 4" xfId="25547"/>
    <cellStyle name="Data   - Opmaakprofiel2 2 5 2 6 5" xfId="40505"/>
    <cellStyle name="Data   - Opmaakprofiel2 2 5 2 6 6" xfId="45822"/>
    <cellStyle name="Data   - Opmaakprofiel2 2 5 2 7" xfId="4581"/>
    <cellStyle name="Data   - Opmaakprofiel2 2 5 2 7 2" xfId="13496"/>
    <cellStyle name="Data   - Opmaakprofiel2 2 5 2 7 3" xfId="25548"/>
    <cellStyle name="Data   - Opmaakprofiel2 2 5 2 7 4" xfId="46071"/>
    <cellStyle name="Data   - Opmaakprofiel2 2 5 2 7 5" xfId="40161"/>
    <cellStyle name="Data   - Opmaakprofiel2 2 5 2 8" xfId="10093"/>
    <cellStyle name="Data   - Opmaakprofiel2 2 5 2 8 2" xfId="22391"/>
    <cellStyle name="Data   - Opmaakprofiel2 2 5 2 8 3" xfId="44155"/>
    <cellStyle name="Data   - Opmaakprofiel2 2 5 2 8 4" xfId="28598"/>
    <cellStyle name="Data   - Opmaakprofiel2 2 5 2 8 5" xfId="55058"/>
    <cellStyle name="Data   - Opmaakprofiel2 2 5 2 9" xfId="13490"/>
    <cellStyle name="Data   - Opmaakprofiel2 2 5 3" xfId="501"/>
    <cellStyle name="Data   - Opmaakprofiel2 2 5 3 2" xfId="2060"/>
    <cellStyle name="Data   - Opmaakprofiel2 2 5 3 2 2" xfId="8480"/>
    <cellStyle name="Data   - Opmaakprofiel2 2 5 3 2 2 2" xfId="20778"/>
    <cellStyle name="Data   - Opmaakprofiel2 2 5 3 2 2 3" xfId="32830"/>
    <cellStyle name="Data   - Opmaakprofiel2 2 5 3 2 2 4" xfId="43074"/>
    <cellStyle name="Data   - Opmaakprofiel2 2 5 3 2 2 5" xfId="53445"/>
    <cellStyle name="Data   - Opmaakprofiel2 2 5 3 2 3" xfId="13498"/>
    <cellStyle name="Data   - Opmaakprofiel2 2 5 3 2 4" xfId="25550"/>
    <cellStyle name="Data   - Opmaakprofiel2 2 5 3 2 5" xfId="46070"/>
    <cellStyle name="Data   - Opmaakprofiel2 2 5 3 2 6" xfId="40162"/>
    <cellStyle name="Data   - Opmaakprofiel2 2 5 3 3" xfId="2572"/>
    <cellStyle name="Data   - Opmaakprofiel2 2 5 3 3 2" xfId="8481"/>
    <cellStyle name="Data   - Opmaakprofiel2 2 5 3 3 2 2" xfId="20779"/>
    <cellStyle name="Data   - Opmaakprofiel2 2 5 3 3 2 3" xfId="32831"/>
    <cellStyle name="Data   - Opmaakprofiel2 2 5 3 3 2 4" xfId="26587"/>
    <cellStyle name="Data   - Opmaakprofiel2 2 5 3 3 2 5" xfId="53446"/>
    <cellStyle name="Data   - Opmaakprofiel2 2 5 3 3 3" xfId="13499"/>
    <cellStyle name="Data   - Opmaakprofiel2 2 5 3 3 4" xfId="25551"/>
    <cellStyle name="Data   - Opmaakprofiel2 2 5 3 3 5" xfId="40503"/>
    <cellStyle name="Data   - Opmaakprofiel2 2 5 3 3 6" xfId="40163"/>
    <cellStyle name="Data   - Opmaakprofiel2 2 5 3 4" xfId="3456"/>
    <cellStyle name="Data   - Opmaakprofiel2 2 5 3 4 2" xfId="8482"/>
    <cellStyle name="Data   - Opmaakprofiel2 2 5 3 4 2 2" xfId="20780"/>
    <cellStyle name="Data   - Opmaakprofiel2 2 5 3 4 2 3" xfId="32832"/>
    <cellStyle name="Data   - Opmaakprofiel2 2 5 3 4 2 4" xfId="31373"/>
    <cellStyle name="Data   - Opmaakprofiel2 2 5 3 4 2 5" xfId="53447"/>
    <cellStyle name="Data   - Opmaakprofiel2 2 5 3 4 3" xfId="13500"/>
    <cellStyle name="Data   - Opmaakprofiel2 2 5 3 4 4" xfId="25552"/>
    <cellStyle name="Data   - Opmaakprofiel2 2 5 3 4 5" xfId="46069"/>
    <cellStyle name="Data   - Opmaakprofiel2 2 5 3 4 6" xfId="40164"/>
    <cellStyle name="Data   - Opmaakprofiel2 2 5 3 5" xfId="4582"/>
    <cellStyle name="Data   - Opmaakprofiel2 2 5 3 5 2" xfId="8483"/>
    <cellStyle name="Data   - Opmaakprofiel2 2 5 3 5 2 2" xfId="20781"/>
    <cellStyle name="Data   - Opmaakprofiel2 2 5 3 5 2 3" xfId="32833"/>
    <cellStyle name="Data   - Opmaakprofiel2 2 5 3 5 2 4" xfId="32123"/>
    <cellStyle name="Data   - Opmaakprofiel2 2 5 3 5 2 5" xfId="53448"/>
    <cellStyle name="Data   - Opmaakprofiel2 2 5 3 5 3" xfId="13501"/>
    <cellStyle name="Data   - Opmaakprofiel2 2 5 3 5 4" xfId="25553"/>
    <cellStyle name="Data   - Opmaakprofiel2 2 5 3 5 5" xfId="40502"/>
    <cellStyle name="Data   - Opmaakprofiel2 2 5 3 5 6" xfId="45823"/>
    <cellStyle name="Data   - Opmaakprofiel2 2 5 3 6" xfId="4583"/>
    <cellStyle name="Data   - Opmaakprofiel2 2 5 3 6 2" xfId="8484"/>
    <cellStyle name="Data   - Opmaakprofiel2 2 5 3 6 2 2" xfId="20782"/>
    <cellStyle name="Data   - Opmaakprofiel2 2 5 3 6 2 3" xfId="32834"/>
    <cellStyle name="Data   - Opmaakprofiel2 2 5 3 6 2 4" xfId="43073"/>
    <cellStyle name="Data   - Opmaakprofiel2 2 5 3 6 2 5" xfId="53449"/>
    <cellStyle name="Data   - Opmaakprofiel2 2 5 3 6 3" xfId="13502"/>
    <cellStyle name="Data   - Opmaakprofiel2 2 5 3 6 4" xfId="25554"/>
    <cellStyle name="Data   - Opmaakprofiel2 2 5 3 6 5" xfId="46068"/>
    <cellStyle name="Data   - Opmaakprofiel2 2 5 3 6 6" xfId="40165"/>
    <cellStyle name="Data   - Opmaakprofiel2 2 5 3 7" xfId="4584"/>
    <cellStyle name="Data   - Opmaakprofiel2 2 5 3 7 2" xfId="13503"/>
    <cellStyle name="Data   - Opmaakprofiel2 2 5 3 7 3" xfId="25555"/>
    <cellStyle name="Data   - Opmaakprofiel2 2 5 3 7 4" xfId="40501"/>
    <cellStyle name="Data   - Opmaakprofiel2 2 5 3 7 5" xfId="45824"/>
    <cellStyle name="Data   - Opmaakprofiel2 2 5 3 8" xfId="7648"/>
    <cellStyle name="Data   - Opmaakprofiel2 2 5 3 8 2" xfId="19946"/>
    <cellStyle name="Data   - Opmaakprofiel2 2 5 3 8 3" xfId="41749"/>
    <cellStyle name="Data   - Opmaakprofiel2 2 5 3 8 4" xfId="43421"/>
    <cellStyle name="Data   - Opmaakprofiel2 2 5 3 8 5" xfId="52618"/>
    <cellStyle name="Data   - Opmaakprofiel2 2 5 3 9" xfId="13497"/>
    <cellStyle name="Data   - Opmaakprofiel2 2 5 4" xfId="1096"/>
    <cellStyle name="Data   - Opmaakprofiel2 2 5 4 2" xfId="1551"/>
    <cellStyle name="Data   - Opmaakprofiel2 2 5 4 2 2" xfId="8485"/>
    <cellStyle name="Data   - Opmaakprofiel2 2 5 4 2 2 2" xfId="20783"/>
    <cellStyle name="Data   - Opmaakprofiel2 2 5 4 2 2 3" xfId="32835"/>
    <cellStyle name="Data   - Opmaakprofiel2 2 5 4 2 2 4" xfId="26600"/>
    <cellStyle name="Data   - Opmaakprofiel2 2 5 4 2 2 5" xfId="53450"/>
    <cellStyle name="Data   - Opmaakprofiel2 2 5 4 2 3" xfId="13505"/>
    <cellStyle name="Data   - Opmaakprofiel2 2 5 4 2 4" xfId="25557"/>
    <cellStyle name="Data   - Opmaakprofiel2 2 5 4 2 5" xfId="40500"/>
    <cellStyle name="Data   - Opmaakprofiel2 2 5 4 2 6" xfId="45825"/>
    <cellStyle name="Data   - Opmaakprofiel2 2 5 4 3" xfId="3107"/>
    <cellStyle name="Data   - Opmaakprofiel2 2 5 4 3 2" xfId="8486"/>
    <cellStyle name="Data   - Opmaakprofiel2 2 5 4 3 2 2" xfId="20784"/>
    <cellStyle name="Data   - Opmaakprofiel2 2 5 4 3 2 3" xfId="32836"/>
    <cellStyle name="Data   - Opmaakprofiel2 2 5 4 3 2 4" xfId="43072"/>
    <cellStyle name="Data   - Opmaakprofiel2 2 5 4 3 2 5" xfId="53451"/>
    <cellStyle name="Data   - Opmaakprofiel2 2 5 4 3 3" xfId="13506"/>
    <cellStyle name="Data   - Opmaakprofiel2 2 5 4 3 4" xfId="25558"/>
    <cellStyle name="Data   - Opmaakprofiel2 2 5 4 3 5" xfId="40499"/>
    <cellStyle name="Data   - Opmaakprofiel2 2 5 4 3 6" xfId="40166"/>
    <cellStyle name="Data   - Opmaakprofiel2 2 5 4 4" xfId="3944"/>
    <cellStyle name="Data   - Opmaakprofiel2 2 5 4 4 2" xfId="8487"/>
    <cellStyle name="Data   - Opmaakprofiel2 2 5 4 4 2 2" xfId="20785"/>
    <cellStyle name="Data   - Opmaakprofiel2 2 5 4 4 2 3" xfId="32837"/>
    <cellStyle name="Data   - Opmaakprofiel2 2 5 4 4 2 4" xfId="32109"/>
    <cellStyle name="Data   - Opmaakprofiel2 2 5 4 4 2 5" xfId="53452"/>
    <cellStyle name="Data   - Opmaakprofiel2 2 5 4 4 3" xfId="13507"/>
    <cellStyle name="Data   - Opmaakprofiel2 2 5 4 4 4" xfId="25559"/>
    <cellStyle name="Data   - Opmaakprofiel2 2 5 4 4 5" xfId="46066"/>
    <cellStyle name="Data   - Opmaakprofiel2 2 5 4 4 6" xfId="45826"/>
    <cellStyle name="Data   - Opmaakprofiel2 2 5 4 5" xfId="4585"/>
    <cellStyle name="Data   - Opmaakprofiel2 2 5 4 5 2" xfId="8488"/>
    <cellStyle name="Data   - Opmaakprofiel2 2 5 4 5 2 2" xfId="20786"/>
    <cellStyle name="Data   - Opmaakprofiel2 2 5 4 5 2 3" xfId="32838"/>
    <cellStyle name="Data   - Opmaakprofiel2 2 5 4 5 2 4" xfId="43071"/>
    <cellStyle name="Data   - Opmaakprofiel2 2 5 4 5 2 5" xfId="53453"/>
    <cellStyle name="Data   - Opmaakprofiel2 2 5 4 5 3" xfId="13508"/>
    <cellStyle name="Data   - Opmaakprofiel2 2 5 4 5 4" xfId="25560"/>
    <cellStyle name="Data   - Opmaakprofiel2 2 5 4 5 5" xfId="40498"/>
    <cellStyle name="Data   - Opmaakprofiel2 2 5 4 5 6" xfId="41084"/>
    <cellStyle name="Data   - Opmaakprofiel2 2 5 4 6" xfId="4586"/>
    <cellStyle name="Data   - Opmaakprofiel2 2 5 4 6 2" xfId="8489"/>
    <cellStyle name="Data   - Opmaakprofiel2 2 5 4 6 2 2" xfId="20787"/>
    <cellStyle name="Data   - Opmaakprofiel2 2 5 4 6 2 3" xfId="32839"/>
    <cellStyle name="Data   - Opmaakprofiel2 2 5 4 6 2 4" xfId="26607"/>
    <cellStyle name="Data   - Opmaakprofiel2 2 5 4 6 2 5" xfId="53454"/>
    <cellStyle name="Data   - Opmaakprofiel2 2 5 4 6 3" xfId="13509"/>
    <cellStyle name="Data   - Opmaakprofiel2 2 5 4 6 4" xfId="25561"/>
    <cellStyle name="Data   - Opmaakprofiel2 2 5 4 6 5" xfId="46065"/>
    <cellStyle name="Data   - Opmaakprofiel2 2 5 4 6 6" xfId="41091"/>
    <cellStyle name="Data   - Opmaakprofiel2 2 5 4 7" xfId="4587"/>
    <cellStyle name="Data   - Opmaakprofiel2 2 5 4 7 2" xfId="13510"/>
    <cellStyle name="Data   - Opmaakprofiel2 2 5 4 7 3" xfId="25562"/>
    <cellStyle name="Data   - Opmaakprofiel2 2 5 4 7 4" xfId="40497"/>
    <cellStyle name="Data   - Opmaakprofiel2 2 5 4 7 5" xfId="40167"/>
    <cellStyle name="Data   - Opmaakprofiel2 2 5 4 8" xfId="7246"/>
    <cellStyle name="Data   - Opmaakprofiel2 2 5 4 8 2" xfId="19544"/>
    <cellStyle name="Data   - Opmaakprofiel2 2 5 4 8 3" xfId="41347"/>
    <cellStyle name="Data   - Opmaakprofiel2 2 5 4 8 4" xfId="43589"/>
    <cellStyle name="Data   - Opmaakprofiel2 2 5 4 8 5" xfId="52216"/>
    <cellStyle name="Data   - Opmaakprofiel2 2 5 4 9" xfId="13504"/>
    <cellStyle name="Data   - Opmaakprofiel2 2 5 5" xfId="576"/>
    <cellStyle name="Data   - Opmaakprofiel2 2 5 5 2" xfId="1665"/>
    <cellStyle name="Data   - Opmaakprofiel2 2 5 5 2 2" xfId="8490"/>
    <cellStyle name="Data   - Opmaakprofiel2 2 5 5 2 2 2" xfId="20788"/>
    <cellStyle name="Data   - Opmaakprofiel2 2 5 5 2 2 3" xfId="32840"/>
    <cellStyle name="Data   - Opmaakprofiel2 2 5 5 2 2 4" xfId="43070"/>
    <cellStyle name="Data   - Opmaakprofiel2 2 5 5 2 2 5" xfId="53455"/>
    <cellStyle name="Data   - Opmaakprofiel2 2 5 5 2 3" xfId="13512"/>
    <cellStyle name="Data   - Opmaakprofiel2 2 5 5 2 4" xfId="25564"/>
    <cellStyle name="Data   - Opmaakprofiel2 2 5 5 2 5" xfId="40496"/>
    <cellStyle name="Data   - Opmaakprofiel2 2 5 5 2 6" xfId="45827"/>
    <cellStyle name="Data   - Opmaakprofiel2 2 5 5 3" xfId="2647"/>
    <cellStyle name="Data   - Opmaakprofiel2 2 5 5 3 2" xfId="8491"/>
    <cellStyle name="Data   - Opmaakprofiel2 2 5 5 3 2 2" xfId="20789"/>
    <cellStyle name="Data   - Opmaakprofiel2 2 5 5 3 2 3" xfId="32841"/>
    <cellStyle name="Data   - Opmaakprofiel2 2 5 5 3 2 4" xfId="31920"/>
    <cellStyle name="Data   - Opmaakprofiel2 2 5 5 3 2 5" xfId="53456"/>
    <cellStyle name="Data   - Opmaakprofiel2 2 5 5 3 3" xfId="13513"/>
    <cellStyle name="Data   - Opmaakprofiel2 2 5 5 3 4" xfId="25565"/>
    <cellStyle name="Data   - Opmaakprofiel2 2 5 5 3 5" xfId="40495"/>
    <cellStyle name="Data   - Opmaakprofiel2 2 5 5 3 6" xfId="40168"/>
    <cellStyle name="Data   - Opmaakprofiel2 2 5 5 4" xfId="3524"/>
    <cellStyle name="Data   - Opmaakprofiel2 2 5 5 4 2" xfId="8492"/>
    <cellStyle name="Data   - Opmaakprofiel2 2 5 5 4 2 2" xfId="20790"/>
    <cellStyle name="Data   - Opmaakprofiel2 2 5 5 4 2 3" xfId="32842"/>
    <cellStyle name="Data   - Opmaakprofiel2 2 5 5 4 2 4" xfId="43069"/>
    <cellStyle name="Data   - Opmaakprofiel2 2 5 5 4 2 5" xfId="53457"/>
    <cellStyle name="Data   - Opmaakprofiel2 2 5 5 4 3" xfId="13514"/>
    <cellStyle name="Data   - Opmaakprofiel2 2 5 5 4 4" xfId="25566"/>
    <cellStyle name="Data   - Opmaakprofiel2 2 5 5 4 5" xfId="46063"/>
    <cellStyle name="Data   - Opmaakprofiel2 2 5 5 4 6" xfId="40169"/>
    <cellStyle name="Data   - Opmaakprofiel2 2 5 5 5" xfId="4588"/>
    <cellStyle name="Data   - Opmaakprofiel2 2 5 5 5 2" xfId="8493"/>
    <cellStyle name="Data   - Opmaakprofiel2 2 5 5 5 2 2" xfId="20791"/>
    <cellStyle name="Data   - Opmaakprofiel2 2 5 5 5 2 3" xfId="32843"/>
    <cellStyle name="Data   - Opmaakprofiel2 2 5 5 5 2 4" xfId="26614"/>
    <cellStyle name="Data   - Opmaakprofiel2 2 5 5 5 2 5" xfId="53458"/>
    <cellStyle name="Data   - Opmaakprofiel2 2 5 5 5 3" xfId="13515"/>
    <cellStyle name="Data   - Opmaakprofiel2 2 5 5 5 4" xfId="25567"/>
    <cellStyle name="Data   - Opmaakprofiel2 2 5 5 5 5" xfId="40494"/>
    <cellStyle name="Data   - Opmaakprofiel2 2 5 5 5 6" xfId="45828"/>
    <cellStyle name="Data   - Opmaakprofiel2 2 5 5 6" xfId="4589"/>
    <cellStyle name="Data   - Opmaakprofiel2 2 5 5 6 2" xfId="8494"/>
    <cellStyle name="Data   - Opmaakprofiel2 2 5 5 6 2 2" xfId="20792"/>
    <cellStyle name="Data   - Opmaakprofiel2 2 5 5 6 2 3" xfId="32844"/>
    <cellStyle name="Data   - Opmaakprofiel2 2 5 5 6 2 4" xfId="32036"/>
    <cellStyle name="Data   - Opmaakprofiel2 2 5 5 6 2 5" xfId="53459"/>
    <cellStyle name="Data   - Opmaakprofiel2 2 5 5 6 3" xfId="13516"/>
    <cellStyle name="Data   - Opmaakprofiel2 2 5 5 6 4" xfId="25568"/>
    <cellStyle name="Data   - Opmaakprofiel2 2 5 5 6 5" xfId="46062"/>
    <cellStyle name="Data   - Opmaakprofiel2 2 5 5 6 6" xfId="40170"/>
    <cellStyle name="Data   - Opmaakprofiel2 2 5 5 7" xfId="4590"/>
    <cellStyle name="Data   - Opmaakprofiel2 2 5 5 7 2" xfId="13517"/>
    <cellStyle name="Data   - Opmaakprofiel2 2 5 5 7 3" xfId="25569"/>
    <cellStyle name="Data   - Opmaakprofiel2 2 5 5 7 4" xfId="40493"/>
    <cellStyle name="Data   - Opmaakprofiel2 2 5 5 7 5" xfId="45829"/>
    <cellStyle name="Data   - Opmaakprofiel2 2 5 5 8" xfId="10270"/>
    <cellStyle name="Data   - Opmaakprofiel2 2 5 5 8 2" xfId="22568"/>
    <cellStyle name="Data   - Opmaakprofiel2 2 5 5 8 3" xfId="44329"/>
    <cellStyle name="Data   - Opmaakprofiel2 2 5 5 8 4" xfId="34711"/>
    <cellStyle name="Data   - Opmaakprofiel2 2 5 5 8 5" xfId="55235"/>
    <cellStyle name="Data   - Opmaakprofiel2 2 5 5 9" xfId="13511"/>
    <cellStyle name="Data   - Opmaakprofiel2 2 5 6" xfId="1275"/>
    <cellStyle name="Data   - Opmaakprofiel2 2 5 6 2" xfId="2341"/>
    <cellStyle name="Data   - Opmaakprofiel2 2 5 6 2 2" xfId="8495"/>
    <cellStyle name="Data   - Opmaakprofiel2 2 5 6 2 2 2" xfId="20793"/>
    <cellStyle name="Data   - Opmaakprofiel2 2 5 6 2 2 3" xfId="32845"/>
    <cellStyle name="Data   - Opmaakprofiel2 2 5 6 2 2 4" xfId="26621"/>
    <cellStyle name="Data   - Opmaakprofiel2 2 5 6 2 2 5" xfId="53460"/>
    <cellStyle name="Data   - Opmaakprofiel2 2 5 6 2 3" xfId="13519"/>
    <cellStyle name="Data   - Opmaakprofiel2 2 5 6 2 4" xfId="25571"/>
    <cellStyle name="Data   - Opmaakprofiel2 2 5 6 2 5" xfId="40492"/>
    <cellStyle name="Data   - Opmaakprofiel2 2 5 6 2 6" xfId="41089"/>
    <cellStyle name="Data   - Opmaakprofiel2 2 5 6 3" xfId="3286"/>
    <cellStyle name="Data   - Opmaakprofiel2 2 5 6 3 2" xfId="8496"/>
    <cellStyle name="Data   - Opmaakprofiel2 2 5 6 3 2 2" xfId="20794"/>
    <cellStyle name="Data   - Opmaakprofiel2 2 5 6 3 2 3" xfId="32846"/>
    <cellStyle name="Data   - Opmaakprofiel2 2 5 6 3 2 4" xfId="43068"/>
    <cellStyle name="Data   - Opmaakprofiel2 2 5 6 3 2 5" xfId="53461"/>
    <cellStyle name="Data   - Opmaakprofiel2 2 5 6 3 3" xfId="13520"/>
    <cellStyle name="Data   - Opmaakprofiel2 2 5 6 3 4" xfId="25572"/>
    <cellStyle name="Data   - Opmaakprofiel2 2 5 6 3 5" xfId="46060"/>
    <cellStyle name="Data   - Opmaakprofiel2 2 5 6 3 6" xfId="45830"/>
    <cellStyle name="Data   - Opmaakprofiel2 2 5 6 4" xfId="4085"/>
    <cellStyle name="Data   - Opmaakprofiel2 2 5 6 4 2" xfId="8497"/>
    <cellStyle name="Data   - Opmaakprofiel2 2 5 6 4 2 2" xfId="20795"/>
    <cellStyle name="Data   - Opmaakprofiel2 2 5 6 4 2 3" xfId="32847"/>
    <cellStyle name="Data   - Opmaakprofiel2 2 5 6 4 2 4" xfId="31884"/>
    <cellStyle name="Data   - Opmaakprofiel2 2 5 6 4 2 5" xfId="53462"/>
    <cellStyle name="Data   - Opmaakprofiel2 2 5 6 4 3" xfId="13521"/>
    <cellStyle name="Data   - Opmaakprofiel2 2 5 6 4 4" xfId="25573"/>
    <cellStyle name="Data   - Opmaakprofiel2 2 5 6 4 5" xfId="40491"/>
    <cellStyle name="Data   - Opmaakprofiel2 2 5 6 4 6" xfId="40171"/>
    <cellStyle name="Data   - Opmaakprofiel2 2 5 6 5" xfId="4591"/>
    <cellStyle name="Data   - Opmaakprofiel2 2 5 6 5 2" xfId="8498"/>
    <cellStyle name="Data   - Opmaakprofiel2 2 5 6 5 2 2" xfId="20796"/>
    <cellStyle name="Data   - Opmaakprofiel2 2 5 6 5 2 3" xfId="32848"/>
    <cellStyle name="Data   - Opmaakprofiel2 2 5 6 5 2 4" xfId="43067"/>
    <cellStyle name="Data   - Opmaakprofiel2 2 5 6 5 2 5" xfId="53463"/>
    <cellStyle name="Data   - Opmaakprofiel2 2 5 6 5 3" xfId="13522"/>
    <cellStyle name="Data   - Opmaakprofiel2 2 5 6 5 4" xfId="25574"/>
    <cellStyle name="Data   - Opmaakprofiel2 2 5 6 5 5" xfId="46059"/>
    <cellStyle name="Data   - Opmaakprofiel2 2 5 6 5 6" xfId="40172"/>
    <cellStyle name="Data   - Opmaakprofiel2 2 5 6 6" xfId="4592"/>
    <cellStyle name="Data   - Opmaakprofiel2 2 5 6 6 2" xfId="8499"/>
    <cellStyle name="Data   - Opmaakprofiel2 2 5 6 6 2 2" xfId="20797"/>
    <cellStyle name="Data   - Opmaakprofiel2 2 5 6 6 2 3" xfId="32849"/>
    <cellStyle name="Data   - Opmaakprofiel2 2 5 6 6 2 4" xfId="26628"/>
    <cellStyle name="Data   - Opmaakprofiel2 2 5 6 6 2 5" xfId="53464"/>
    <cellStyle name="Data   - Opmaakprofiel2 2 5 6 6 3" xfId="13523"/>
    <cellStyle name="Data   - Opmaakprofiel2 2 5 6 6 4" xfId="25575"/>
    <cellStyle name="Data   - Opmaakprofiel2 2 5 6 6 5" xfId="40490"/>
    <cellStyle name="Data   - Opmaakprofiel2 2 5 6 6 6" xfId="40173"/>
    <cellStyle name="Data   - Opmaakprofiel2 2 5 6 7" xfId="4593"/>
    <cellStyle name="Data   - Opmaakprofiel2 2 5 6 7 2" xfId="13524"/>
    <cellStyle name="Data   - Opmaakprofiel2 2 5 6 7 3" xfId="25576"/>
    <cellStyle name="Data   - Opmaakprofiel2 2 5 6 7 4" xfId="40489"/>
    <cellStyle name="Data   - Opmaakprofiel2 2 5 6 7 5" xfId="45831"/>
    <cellStyle name="Data   - Opmaakprofiel2 2 5 6 8" xfId="7101"/>
    <cellStyle name="Data   - Opmaakprofiel2 2 5 6 8 2" xfId="19399"/>
    <cellStyle name="Data   - Opmaakprofiel2 2 5 6 8 3" xfId="41202"/>
    <cellStyle name="Data   - Opmaakprofiel2 2 5 6 8 4" xfId="36975"/>
    <cellStyle name="Data   - Opmaakprofiel2 2 5 6 8 5" xfId="52072"/>
    <cellStyle name="Data   - Opmaakprofiel2 2 5 6 9" xfId="13518"/>
    <cellStyle name="Data   - Opmaakprofiel2 2 5 7" xfId="2089"/>
    <cellStyle name="Data   - Opmaakprofiel2 2 5 7 2" xfId="8500"/>
    <cellStyle name="Data   - Opmaakprofiel2 2 5 7 2 2" xfId="20798"/>
    <cellStyle name="Data   - Opmaakprofiel2 2 5 7 2 3" xfId="32850"/>
    <cellStyle name="Data   - Opmaakprofiel2 2 5 7 2 4" xfId="43066"/>
    <cellStyle name="Data   - Opmaakprofiel2 2 5 7 2 5" xfId="53465"/>
    <cellStyle name="Data   - Opmaakprofiel2 2 5 7 3" xfId="13525"/>
    <cellStyle name="Data   - Opmaakprofiel2 2 5 7 4" xfId="25577"/>
    <cellStyle name="Data   - Opmaakprofiel2 2 5 7 5" xfId="40488"/>
    <cellStyle name="Data   - Opmaakprofiel2 2 5 7 6" xfId="41085"/>
    <cellStyle name="Data   - Opmaakprofiel2 2 5 8" xfId="2756"/>
    <cellStyle name="Data   - Opmaakprofiel2 2 5 8 2" xfId="8501"/>
    <cellStyle name="Data   - Opmaakprofiel2 2 5 8 2 2" xfId="20799"/>
    <cellStyle name="Data   - Opmaakprofiel2 2 5 8 2 3" xfId="32851"/>
    <cellStyle name="Data   - Opmaakprofiel2 2 5 8 2 4" xfId="31958"/>
    <cellStyle name="Data   - Opmaakprofiel2 2 5 8 2 5" xfId="53466"/>
    <cellStyle name="Data   - Opmaakprofiel2 2 5 8 3" xfId="13526"/>
    <cellStyle name="Data   - Opmaakprofiel2 2 5 8 4" xfId="25578"/>
    <cellStyle name="Data   - Opmaakprofiel2 2 5 8 5" xfId="46058"/>
    <cellStyle name="Data   - Opmaakprofiel2 2 5 8 6" xfId="40180"/>
    <cellStyle name="Data   - Opmaakprofiel2 2 5 9" xfId="3618"/>
    <cellStyle name="Data   - Opmaakprofiel2 2 5 9 2" xfId="8502"/>
    <cellStyle name="Data   - Opmaakprofiel2 2 5 9 2 2" xfId="20800"/>
    <cellStyle name="Data   - Opmaakprofiel2 2 5 9 2 3" xfId="32852"/>
    <cellStyle name="Data   - Opmaakprofiel2 2 5 9 2 4" xfId="43065"/>
    <cellStyle name="Data   - Opmaakprofiel2 2 5 9 2 5" xfId="53467"/>
    <cellStyle name="Data   - Opmaakprofiel2 2 5 9 3" xfId="13527"/>
    <cellStyle name="Data   - Opmaakprofiel2 2 5 9 4" xfId="25579"/>
    <cellStyle name="Data   - Opmaakprofiel2 2 5 9 5" xfId="40487"/>
    <cellStyle name="Data   - Opmaakprofiel2 2 5 9 6" xfId="45840"/>
    <cellStyle name="Data   - Opmaakprofiel2 2 6" xfId="730"/>
    <cellStyle name="Data   - Opmaakprofiel2 2 6 10" xfId="4594"/>
    <cellStyle name="Data   - Opmaakprofiel2 2 6 10 2" xfId="8503"/>
    <cellStyle name="Data   - Opmaakprofiel2 2 6 10 2 2" xfId="20801"/>
    <cellStyle name="Data   - Opmaakprofiel2 2 6 10 2 3" xfId="32853"/>
    <cellStyle name="Data   - Opmaakprofiel2 2 6 10 2 4" xfId="26635"/>
    <cellStyle name="Data   - Opmaakprofiel2 2 6 10 2 5" xfId="53468"/>
    <cellStyle name="Data   - Opmaakprofiel2 2 6 10 3" xfId="13529"/>
    <cellStyle name="Data   - Opmaakprofiel2 2 6 10 4" xfId="25581"/>
    <cellStyle name="Data   - Opmaakprofiel2 2 6 10 5" xfId="40486"/>
    <cellStyle name="Data   - Opmaakprofiel2 2 6 10 6" xfId="40191"/>
    <cellStyle name="Data   - Opmaakprofiel2 2 6 11" xfId="4595"/>
    <cellStyle name="Data   - Opmaakprofiel2 2 6 11 2" xfId="8504"/>
    <cellStyle name="Data   - Opmaakprofiel2 2 6 11 2 2" xfId="20802"/>
    <cellStyle name="Data   - Opmaakprofiel2 2 6 11 2 3" xfId="32854"/>
    <cellStyle name="Data   - Opmaakprofiel2 2 6 11 2 4" xfId="43064"/>
    <cellStyle name="Data   - Opmaakprofiel2 2 6 11 2 5" xfId="53469"/>
    <cellStyle name="Data   - Opmaakprofiel2 2 6 11 3" xfId="13530"/>
    <cellStyle name="Data   - Opmaakprofiel2 2 6 11 4" xfId="25582"/>
    <cellStyle name="Data   - Opmaakprofiel2 2 6 11 5" xfId="46056"/>
    <cellStyle name="Data   - Opmaakprofiel2 2 6 11 6" xfId="40195"/>
    <cellStyle name="Data   - Opmaakprofiel2 2 6 12" xfId="4596"/>
    <cellStyle name="Data   - Opmaakprofiel2 2 6 12 2" xfId="13531"/>
    <cellStyle name="Data   - Opmaakprofiel2 2 6 12 3" xfId="25583"/>
    <cellStyle name="Data   - Opmaakprofiel2 2 6 12 4" xfId="40485"/>
    <cellStyle name="Data   - Opmaakprofiel2 2 6 12 5" xfId="45851"/>
    <cellStyle name="Data   - Opmaakprofiel2 2 6 13" xfId="10184"/>
    <cellStyle name="Data   - Opmaakprofiel2 2 6 13 2" xfId="22482"/>
    <cellStyle name="Data   - Opmaakprofiel2 2 6 13 3" xfId="44246"/>
    <cellStyle name="Data   - Opmaakprofiel2 2 6 13 4" xfId="42380"/>
    <cellStyle name="Data   - Opmaakprofiel2 2 6 13 5" xfId="55149"/>
    <cellStyle name="Data   - Opmaakprofiel2 2 6 14" xfId="13528"/>
    <cellStyle name="Data   - Opmaakprofiel2 2 6 2" xfId="900"/>
    <cellStyle name="Data   - Opmaakprofiel2 2 6 2 2" xfId="1790"/>
    <cellStyle name="Data   - Opmaakprofiel2 2 6 2 2 2" xfId="8505"/>
    <cellStyle name="Data   - Opmaakprofiel2 2 6 2 2 2 2" xfId="20803"/>
    <cellStyle name="Data   - Opmaakprofiel2 2 6 2 2 2 3" xfId="32855"/>
    <cellStyle name="Data   - Opmaakprofiel2 2 6 2 2 2 4" xfId="32027"/>
    <cellStyle name="Data   - Opmaakprofiel2 2 6 2 2 2 5" xfId="53470"/>
    <cellStyle name="Data   - Opmaakprofiel2 2 6 2 2 3" xfId="13533"/>
    <cellStyle name="Data   - Opmaakprofiel2 2 6 2 2 4" xfId="25585"/>
    <cellStyle name="Data   - Opmaakprofiel2 2 6 2 2 5" xfId="40484"/>
    <cellStyle name="Data   - Opmaakprofiel2 2 6 2 2 6" xfId="45857"/>
    <cellStyle name="Data   - Opmaakprofiel2 2 6 2 3" xfId="2911"/>
    <cellStyle name="Data   - Opmaakprofiel2 2 6 2 3 2" xfId="8506"/>
    <cellStyle name="Data   - Opmaakprofiel2 2 6 2 3 2 2" xfId="20804"/>
    <cellStyle name="Data   - Opmaakprofiel2 2 6 2 3 2 3" xfId="32856"/>
    <cellStyle name="Data   - Opmaakprofiel2 2 6 2 3 2 4" xfId="26642"/>
    <cellStyle name="Data   - Opmaakprofiel2 2 6 2 3 2 5" xfId="53471"/>
    <cellStyle name="Data   - Opmaakprofiel2 2 6 2 3 3" xfId="13534"/>
    <cellStyle name="Data   - Opmaakprofiel2 2 6 2 3 4" xfId="25586"/>
    <cellStyle name="Data   - Opmaakprofiel2 2 6 2 3 5" xfId="46055"/>
    <cellStyle name="Data   - Opmaakprofiel2 2 6 2 3 6" xfId="40210"/>
    <cellStyle name="Data   - Opmaakprofiel2 2 6 2 4" xfId="3764"/>
    <cellStyle name="Data   - Opmaakprofiel2 2 6 2 4 2" xfId="8507"/>
    <cellStyle name="Data   - Opmaakprofiel2 2 6 2 4 2 2" xfId="20805"/>
    <cellStyle name="Data   - Opmaakprofiel2 2 6 2 4 2 3" xfId="32857"/>
    <cellStyle name="Data   - Opmaakprofiel2 2 6 2 4 2 4" xfId="34625"/>
    <cellStyle name="Data   - Opmaakprofiel2 2 6 2 4 2 5" xfId="53472"/>
    <cellStyle name="Data   - Opmaakprofiel2 2 6 2 4 3" xfId="13535"/>
    <cellStyle name="Data   - Opmaakprofiel2 2 6 2 4 4" xfId="25587"/>
    <cellStyle name="Data   - Opmaakprofiel2 2 6 2 4 5" xfId="40483"/>
    <cellStyle name="Data   - Opmaakprofiel2 2 6 2 4 6" xfId="45863"/>
    <cellStyle name="Data   - Opmaakprofiel2 2 6 2 5" xfId="4597"/>
    <cellStyle name="Data   - Opmaakprofiel2 2 6 2 5 2" xfId="8508"/>
    <cellStyle name="Data   - Opmaakprofiel2 2 6 2 5 2 2" xfId="20806"/>
    <cellStyle name="Data   - Opmaakprofiel2 2 6 2 5 2 3" xfId="32858"/>
    <cellStyle name="Data   - Opmaakprofiel2 2 6 2 5 2 4" xfId="43063"/>
    <cellStyle name="Data   - Opmaakprofiel2 2 6 2 5 2 5" xfId="53473"/>
    <cellStyle name="Data   - Opmaakprofiel2 2 6 2 5 3" xfId="13536"/>
    <cellStyle name="Data   - Opmaakprofiel2 2 6 2 5 4" xfId="25588"/>
    <cellStyle name="Data   - Opmaakprofiel2 2 6 2 5 5" xfId="40482"/>
    <cellStyle name="Data   - Opmaakprofiel2 2 6 2 5 6" xfId="40219"/>
    <cellStyle name="Data   - Opmaakprofiel2 2 6 2 6" xfId="4598"/>
    <cellStyle name="Data   - Opmaakprofiel2 2 6 2 6 2" xfId="8509"/>
    <cellStyle name="Data   - Opmaakprofiel2 2 6 2 6 2 2" xfId="20807"/>
    <cellStyle name="Data   - Opmaakprofiel2 2 6 2 6 2 3" xfId="32859"/>
    <cellStyle name="Data   - Opmaakprofiel2 2 6 2 6 2 4" xfId="26649"/>
    <cellStyle name="Data   - Opmaakprofiel2 2 6 2 6 2 5" xfId="53474"/>
    <cellStyle name="Data   - Opmaakprofiel2 2 6 2 6 3" xfId="13537"/>
    <cellStyle name="Data   - Opmaakprofiel2 2 6 2 6 4" xfId="25589"/>
    <cellStyle name="Data   - Opmaakprofiel2 2 6 2 6 5" xfId="40481"/>
    <cellStyle name="Data   - Opmaakprofiel2 2 6 2 6 6" xfId="45869"/>
    <cellStyle name="Data   - Opmaakprofiel2 2 6 2 7" xfId="4599"/>
    <cellStyle name="Data   - Opmaakprofiel2 2 6 2 7 2" xfId="13538"/>
    <cellStyle name="Data   - Opmaakprofiel2 2 6 2 7 3" xfId="25590"/>
    <cellStyle name="Data   - Opmaakprofiel2 2 6 2 7 4" xfId="46054"/>
    <cellStyle name="Data   - Opmaakprofiel2 2 6 2 7 5" xfId="40227"/>
    <cellStyle name="Data   - Opmaakprofiel2 2 6 2 8" xfId="7379"/>
    <cellStyle name="Data   - Opmaakprofiel2 2 6 2 8 2" xfId="19677"/>
    <cellStyle name="Data   - Opmaakprofiel2 2 6 2 8 3" xfId="41480"/>
    <cellStyle name="Data   - Opmaakprofiel2 2 6 2 8 4" xfId="20086"/>
    <cellStyle name="Data   - Opmaakprofiel2 2 6 2 8 5" xfId="52349"/>
    <cellStyle name="Data   - Opmaakprofiel2 2 6 2 9" xfId="13532"/>
    <cellStyle name="Data   - Opmaakprofiel2 2 6 3" xfId="999"/>
    <cellStyle name="Data   - Opmaakprofiel2 2 6 3 2" xfId="1973"/>
    <cellStyle name="Data   - Opmaakprofiel2 2 6 3 2 2" xfId="8510"/>
    <cellStyle name="Data   - Opmaakprofiel2 2 6 3 2 2 2" xfId="20808"/>
    <cellStyle name="Data   - Opmaakprofiel2 2 6 3 2 2 3" xfId="32860"/>
    <cellStyle name="Data   - Opmaakprofiel2 2 6 3 2 2 4" xfId="43062"/>
    <cellStyle name="Data   - Opmaakprofiel2 2 6 3 2 2 5" xfId="53475"/>
    <cellStyle name="Data   - Opmaakprofiel2 2 6 3 2 3" xfId="13540"/>
    <cellStyle name="Data   - Opmaakprofiel2 2 6 3 2 4" xfId="25592"/>
    <cellStyle name="Data   - Opmaakprofiel2 2 6 3 2 5" xfId="46053"/>
    <cellStyle name="Data   - Opmaakprofiel2 2 6 3 2 6" xfId="40235"/>
    <cellStyle name="Data   - Opmaakprofiel2 2 6 3 3" xfId="3010"/>
    <cellStyle name="Data   - Opmaakprofiel2 2 6 3 3 2" xfId="8511"/>
    <cellStyle name="Data   - Opmaakprofiel2 2 6 3 3 2 2" xfId="20809"/>
    <cellStyle name="Data   - Opmaakprofiel2 2 6 3 3 2 3" xfId="32861"/>
    <cellStyle name="Data   - Opmaakprofiel2 2 6 3 3 2 4" xfId="31412"/>
    <cellStyle name="Data   - Opmaakprofiel2 2 6 3 3 2 5" xfId="53476"/>
    <cellStyle name="Data   - Opmaakprofiel2 2 6 3 3 3" xfId="13541"/>
    <cellStyle name="Data   - Opmaakprofiel2 2 6 3 3 4" xfId="25593"/>
    <cellStyle name="Data   - Opmaakprofiel2 2 6 3 3 5" xfId="40479"/>
    <cellStyle name="Data   - Opmaakprofiel2 2 6 3 3 6" xfId="45881"/>
    <cellStyle name="Data   - Opmaakprofiel2 2 6 3 4" xfId="3856"/>
    <cellStyle name="Data   - Opmaakprofiel2 2 6 3 4 2" xfId="8512"/>
    <cellStyle name="Data   - Opmaakprofiel2 2 6 3 4 2 2" xfId="20810"/>
    <cellStyle name="Data   - Opmaakprofiel2 2 6 3 4 2 3" xfId="32862"/>
    <cellStyle name="Data   - Opmaakprofiel2 2 6 3 4 2 4" xfId="43061"/>
    <cellStyle name="Data   - Opmaakprofiel2 2 6 3 4 2 5" xfId="53477"/>
    <cellStyle name="Data   - Opmaakprofiel2 2 6 3 4 3" xfId="13542"/>
    <cellStyle name="Data   - Opmaakprofiel2 2 6 3 4 4" xfId="25594"/>
    <cellStyle name="Data   - Opmaakprofiel2 2 6 3 4 5" xfId="46052"/>
    <cellStyle name="Data   - Opmaakprofiel2 2 6 3 4 6" xfId="40243"/>
    <cellStyle name="Data   - Opmaakprofiel2 2 6 3 5" xfId="4600"/>
    <cellStyle name="Data   - Opmaakprofiel2 2 6 3 5 2" xfId="8513"/>
    <cellStyle name="Data   - Opmaakprofiel2 2 6 3 5 2 2" xfId="20811"/>
    <cellStyle name="Data   - Opmaakprofiel2 2 6 3 5 2 3" xfId="32863"/>
    <cellStyle name="Data   - Opmaakprofiel2 2 6 3 5 2 4" xfId="26656"/>
    <cellStyle name="Data   - Opmaakprofiel2 2 6 3 5 2 5" xfId="53478"/>
    <cellStyle name="Data   - Opmaakprofiel2 2 6 3 5 3" xfId="13543"/>
    <cellStyle name="Data   - Opmaakprofiel2 2 6 3 5 4" xfId="25595"/>
    <cellStyle name="Data   - Opmaakprofiel2 2 6 3 5 5" xfId="40478"/>
    <cellStyle name="Data   - Opmaakprofiel2 2 6 3 5 6" xfId="45887"/>
    <cellStyle name="Data   - Opmaakprofiel2 2 6 3 6" xfId="4601"/>
    <cellStyle name="Data   - Opmaakprofiel2 2 6 3 6 2" xfId="8514"/>
    <cellStyle name="Data   - Opmaakprofiel2 2 6 3 6 2 2" xfId="20812"/>
    <cellStyle name="Data   - Opmaakprofiel2 2 6 3 6 2 3" xfId="32864"/>
    <cellStyle name="Data   - Opmaakprofiel2 2 6 3 6 2 4" xfId="43060"/>
    <cellStyle name="Data   - Opmaakprofiel2 2 6 3 6 2 5" xfId="53479"/>
    <cellStyle name="Data   - Opmaakprofiel2 2 6 3 6 3" xfId="13544"/>
    <cellStyle name="Data   - Opmaakprofiel2 2 6 3 6 4" xfId="25596"/>
    <cellStyle name="Data   - Opmaakprofiel2 2 6 3 6 5" xfId="46051"/>
    <cellStyle name="Data   - Opmaakprofiel2 2 6 3 6 6" xfId="40251"/>
    <cellStyle name="Data   - Opmaakprofiel2 2 6 3 7" xfId="4602"/>
    <cellStyle name="Data   - Opmaakprofiel2 2 6 3 7 2" xfId="13545"/>
    <cellStyle name="Data   - Opmaakprofiel2 2 6 3 7 3" xfId="25597"/>
    <cellStyle name="Data   - Opmaakprofiel2 2 6 3 7 4" xfId="40477"/>
    <cellStyle name="Data   - Opmaakprofiel2 2 6 3 7 5" xfId="45892"/>
    <cellStyle name="Data   - Opmaakprofiel2 2 6 3 8" xfId="7313"/>
    <cellStyle name="Data   - Opmaakprofiel2 2 6 3 8 2" xfId="19611"/>
    <cellStyle name="Data   - Opmaakprofiel2 2 6 3 8 3" xfId="41414"/>
    <cellStyle name="Data   - Opmaakprofiel2 2 6 3 8 4" xfId="36851"/>
    <cellStyle name="Data   - Opmaakprofiel2 2 6 3 8 5" xfId="52283"/>
    <cellStyle name="Data   - Opmaakprofiel2 2 6 3 9" xfId="13539"/>
    <cellStyle name="Data   - Opmaakprofiel2 2 6 4" xfId="648"/>
    <cellStyle name="Data   - Opmaakprofiel2 2 6 4 2" xfId="1836"/>
    <cellStyle name="Data   - Opmaakprofiel2 2 6 4 2 2" xfId="8515"/>
    <cellStyle name="Data   - Opmaakprofiel2 2 6 4 2 2 2" xfId="20813"/>
    <cellStyle name="Data   - Opmaakprofiel2 2 6 4 2 2 3" xfId="32865"/>
    <cellStyle name="Data   - Opmaakprofiel2 2 6 4 2 2 4" xfId="34169"/>
    <cellStyle name="Data   - Opmaakprofiel2 2 6 4 2 2 5" xfId="53480"/>
    <cellStyle name="Data   - Opmaakprofiel2 2 6 4 2 3" xfId="13547"/>
    <cellStyle name="Data   - Opmaakprofiel2 2 6 4 2 4" xfId="25599"/>
    <cellStyle name="Data   - Opmaakprofiel2 2 6 4 2 5" xfId="40476"/>
    <cellStyle name="Data   - Opmaakprofiel2 2 6 4 2 6" xfId="45898"/>
    <cellStyle name="Data   - Opmaakprofiel2 2 6 4 3" xfId="2714"/>
    <cellStyle name="Data   - Opmaakprofiel2 2 6 4 3 2" xfId="8516"/>
    <cellStyle name="Data   - Opmaakprofiel2 2 6 4 3 2 2" xfId="20814"/>
    <cellStyle name="Data   - Opmaakprofiel2 2 6 4 3 2 3" xfId="32866"/>
    <cellStyle name="Data   - Opmaakprofiel2 2 6 4 3 2 4" xfId="43059"/>
    <cellStyle name="Data   - Opmaakprofiel2 2 6 4 3 2 5" xfId="53481"/>
    <cellStyle name="Data   - Opmaakprofiel2 2 6 4 3 3" xfId="13548"/>
    <cellStyle name="Data   - Opmaakprofiel2 2 6 4 3 4" xfId="25600"/>
    <cellStyle name="Data   - Opmaakprofiel2 2 6 4 3 5" xfId="40475"/>
    <cellStyle name="Data   - Opmaakprofiel2 2 6 4 3 6" xfId="40266"/>
    <cellStyle name="Data   - Opmaakprofiel2 2 6 4 4" xfId="3583"/>
    <cellStyle name="Data   - Opmaakprofiel2 2 6 4 4 2" xfId="8517"/>
    <cellStyle name="Data   - Opmaakprofiel2 2 6 4 4 2 2" xfId="20815"/>
    <cellStyle name="Data   - Opmaakprofiel2 2 6 4 4 2 3" xfId="32867"/>
    <cellStyle name="Data   - Opmaakprofiel2 2 6 4 4 2 4" xfId="26663"/>
    <cellStyle name="Data   - Opmaakprofiel2 2 6 4 4 2 5" xfId="53482"/>
    <cellStyle name="Data   - Opmaakprofiel2 2 6 4 4 3" xfId="13549"/>
    <cellStyle name="Data   - Opmaakprofiel2 2 6 4 4 4" xfId="25601"/>
    <cellStyle name="Data   - Opmaakprofiel2 2 6 4 4 5" xfId="40474"/>
    <cellStyle name="Data   - Opmaakprofiel2 2 6 4 4 6" xfId="45904"/>
    <cellStyle name="Data   - Opmaakprofiel2 2 6 4 5" xfId="4603"/>
    <cellStyle name="Data   - Opmaakprofiel2 2 6 4 5 2" xfId="8518"/>
    <cellStyle name="Data   - Opmaakprofiel2 2 6 4 5 2 2" xfId="20816"/>
    <cellStyle name="Data   - Opmaakprofiel2 2 6 4 5 2 3" xfId="32868"/>
    <cellStyle name="Data   - Opmaakprofiel2 2 6 4 5 2 4" xfId="31967"/>
    <cellStyle name="Data   - Opmaakprofiel2 2 6 4 5 2 5" xfId="53483"/>
    <cellStyle name="Data   - Opmaakprofiel2 2 6 4 5 3" xfId="13550"/>
    <cellStyle name="Data   - Opmaakprofiel2 2 6 4 5 4" xfId="25602"/>
    <cellStyle name="Data   - Opmaakprofiel2 2 6 4 5 5" xfId="46049"/>
    <cellStyle name="Data   - Opmaakprofiel2 2 6 4 5 6" xfId="40274"/>
    <cellStyle name="Data   - Opmaakprofiel2 2 6 4 6" xfId="4604"/>
    <cellStyle name="Data   - Opmaakprofiel2 2 6 4 6 2" xfId="8519"/>
    <cellStyle name="Data   - Opmaakprofiel2 2 6 4 6 2 2" xfId="20817"/>
    <cellStyle name="Data   - Opmaakprofiel2 2 6 4 6 2 3" xfId="32869"/>
    <cellStyle name="Data   - Opmaakprofiel2 2 6 4 6 2 4" xfId="26670"/>
    <cellStyle name="Data   - Opmaakprofiel2 2 6 4 6 2 5" xfId="53484"/>
    <cellStyle name="Data   - Opmaakprofiel2 2 6 4 6 3" xfId="13551"/>
    <cellStyle name="Data   - Opmaakprofiel2 2 6 4 6 4" xfId="25603"/>
    <cellStyle name="Data   - Opmaakprofiel2 2 6 4 6 5" xfId="40473"/>
    <cellStyle name="Data   - Opmaakprofiel2 2 6 4 6 6" xfId="45910"/>
    <cellStyle name="Data   - Opmaakprofiel2 2 6 4 7" xfId="4605"/>
    <cellStyle name="Data   - Opmaakprofiel2 2 6 4 7 2" xfId="13552"/>
    <cellStyle name="Data   - Opmaakprofiel2 2 6 4 7 3" xfId="25604"/>
    <cellStyle name="Data   - Opmaakprofiel2 2 6 4 7 4" xfId="46048"/>
    <cellStyle name="Data   - Opmaakprofiel2 2 6 4 7 5" xfId="40282"/>
    <cellStyle name="Data   - Opmaakprofiel2 2 6 4 8" xfId="7550"/>
    <cellStyle name="Data   - Opmaakprofiel2 2 6 4 8 2" xfId="19848"/>
    <cellStyle name="Data   - Opmaakprofiel2 2 6 4 8 3" xfId="41651"/>
    <cellStyle name="Data   - Opmaakprofiel2 2 6 4 8 4" xfId="43462"/>
    <cellStyle name="Data   - Opmaakprofiel2 2 6 4 8 5" xfId="52520"/>
    <cellStyle name="Data   - Opmaakprofiel2 2 6 4 9" xfId="13546"/>
    <cellStyle name="Data   - Opmaakprofiel2 2 6 5" xfId="1173"/>
    <cellStyle name="Data   - Opmaakprofiel2 2 6 5 2" xfId="1671"/>
    <cellStyle name="Data   - Opmaakprofiel2 2 6 5 2 2" xfId="8520"/>
    <cellStyle name="Data   - Opmaakprofiel2 2 6 5 2 2 2" xfId="20818"/>
    <cellStyle name="Data   - Opmaakprofiel2 2 6 5 2 2 3" xfId="32870"/>
    <cellStyle name="Data   - Opmaakprofiel2 2 6 5 2 2 4" xfId="43058"/>
    <cellStyle name="Data   - Opmaakprofiel2 2 6 5 2 2 5" xfId="53485"/>
    <cellStyle name="Data   - Opmaakprofiel2 2 6 5 2 3" xfId="13554"/>
    <cellStyle name="Data   - Opmaakprofiel2 2 6 5 2 4" xfId="25606"/>
    <cellStyle name="Data   - Opmaakprofiel2 2 6 5 2 5" xfId="46047"/>
    <cellStyle name="Data   - Opmaakprofiel2 2 6 5 2 6" xfId="40289"/>
    <cellStyle name="Data   - Opmaakprofiel2 2 6 5 3" xfId="3184"/>
    <cellStyle name="Data   - Opmaakprofiel2 2 6 5 3 2" xfId="8521"/>
    <cellStyle name="Data   - Opmaakprofiel2 2 6 5 3 2 2" xfId="20819"/>
    <cellStyle name="Data   - Opmaakprofiel2 2 6 5 3 2 3" xfId="32871"/>
    <cellStyle name="Data   - Opmaakprofiel2 2 6 5 3 2 4" xfId="31996"/>
    <cellStyle name="Data   - Opmaakprofiel2 2 6 5 3 2 5" xfId="53486"/>
    <cellStyle name="Data   - Opmaakprofiel2 2 6 5 3 3" xfId="13555"/>
    <cellStyle name="Data   - Opmaakprofiel2 2 6 5 3 4" xfId="25607"/>
    <cellStyle name="Data   - Opmaakprofiel2 2 6 5 3 5" xfId="40471"/>
    <cellStyle name="Data   - Opmaakprofiel2 2 6 5 3 6" xfId="45921"/>
    <cellStyle name="Data   - Opmaakprofiel2 2 6 5 4" xfId="4003"/>
    <cellStyle name="Data   - Opmaakprofiel2 2 6 5 4 2" xfId="8522"/>
    <cellStyle name="Data   - Opmaakprofiel2 2 6 5 4 2 2" xfId="20820"/>
    <cellStyle name="Data   - Opmaakprofiel2 2 6 5 4 2 3" xfId="32872"/>
    <cellStyle name="Data   - Opmaakprofiel2 2 6 5 4 2 4" xfId="43057"/>
    <cellStyle name="Data   - Opmaakprofiel2 2 6 5 4 2 5" xfId="53487"/>
    <cellStyle name="Data   - Opmaakprofiel2 2 6 5 4 3" xfId="13556"/>
    <cellStyle name="Data   - Opmaakprofiel2 2 6 5 4 4" xfId="25608"/>
    <cellStyle name="Data   - Opmaakprofiel2 2 6 5 4 5" xfId="46046"/>
    <cellStyle name="Data   - Opmaakprofiel2 2 6 5 4 6" xfId="40298"/>
    <cellStyle name="Data   - Opmaakprofiel2 2 6 5 5" xfId="4606"/>
    <cellStyle name="Data   - Opmaakprofiel2 2 6 5 5 2" xfId="8523"/>
    <cellStyle name="Data   - Opmaakprofiel2 2 6 5 5 2 2" xfId="20821"/>
    <cellStyle name="Data   - Opmaakprofiel2 2 6 5 5 2 3" xfId="32873"/>
    <cellStyle name="Data   - Opmaakprofiel2 2 6 5 5 2 4" xfId="26677"/>
    <cellStyle name="Data   - Opmaakprofiel2 2 6 5 5 2 5" xfId="53488"/>
    <cellStyle name="Data   - Opmaakprofiel2 2 6 5 5 3" xfId="13557"/>
    <cellStyle name="Data   - Opmaakprofiel2 2 6 5 5 4" xfId="25609"/>
    <cellStyle name="Data   - Opmaakprofiel2 2 6 5 5 5" xfId="40470"/>
    <cellStyle name="Data   - Opmaakprofiel2 2 6 5 5 6" xfId="45927"/>
    <cellStyle name="Data   - Opmaakprofiel2 2 6 5 6" xfId="4607"/>
    <cellStyle name="Data   - Opmaakprofiel2 2 6 5 6 2" xfId="8524"/>
    <cellStyle name="Data   - Opmaakprofiel2 2 6 5 6 2 2" xfId="20822"/>
    <cellStyle name="Data   - Opmaakprofiel2 2 6 5 6 2 3" xfId="32874"/>
    <cellStyle name="Data   - Opmaakprofiel2 2 6 5 6 2 4" xfId="32005"/>
    <cellStyle name="Data   - Opmaakprofiel2 2 6 5 6 2 5" xfId="53489"/>
    <cellStyle name="Data   - Opmaakprofiel2 2 6 5 6 3" xfId="13558"/>
    <cellStyle name="Data   - Opmaakprofiel2 2 6 5 6 4" xfId="25610"/>
    <cellStyle name="Data   - Opmaakprofiel2 2 6 5 6 5" xfId="46045"/>
    <cellStyle name="Data   - Opmaakprofiel2 2 6 5 6 6" xfId="40306"/>
    <cellStyle name="Data   - Opmaakprofiel2 2 6 5 7" xfId="4608"/>
    <cellStyle name="Data   - Opmaakprofiel2 2 6 5 7 2" xfId="13559"/>
    <cellStyle name="Data   - Opmaakprofiel2 2 6 5 7 3" xfId="25611"/>
    <cellStyle name="Data   - Opmaakprofiel2 2 6 5 7 4" xfId="40469"/>
    <cellStyle name="Data   - Opmaakprofiel2 2 6 5 7 5" xfId="40310"/>
    <cellStyle name="Data   - Opmaakprofiel2 2 6 5 8" xfId="7194"/>
    <cellStyle name="Data   - Opmaakprofiel2 2 6 5 8 2" xfId="19492"/>
    <cellStyle name="Data   - Opmaakprofiel2 2 6 5 8 3" xfId="41295"/>
    <cellStyle name="Data   - Opmaakprofiel2 2 6 5 8 4" xfId="43611"/>
    <cellStyle name="Data   - Opmaakprofiel2 2 6 5 8 5" xfId="52164"/>
    <cellStyle name="Data   - Opmaakprofiel2 2 6 5 9" xfId="13553"/>
    <cellStyle name="Data   - Opmaakprofiel2 2 6 6" xfId="1120"/>
    <cellStyle name="Data   - Opmaakprofiel2 2 6 6 2" xfId="1782"/>
    <cellStyle name="Data   - Opmaakprofiel2 2 6 6 2 2" xfId="8525"/>
    <cellStyle name="Data   - Opmaakprofiel2 2 6 6 2 2 2" xfId="20823"/>
    <cellStyle name="Data   - Opmaakprofiel2 2 6 6 2 2 3" xfId="32875"/>
    <cellStyle name="Data   - Opmaakprofiel2 2 6 6 2 2 4" xfId="43056"/>
    <cellStyle name="Data   - Opmaakprofiel2 2 6 6 2 2 5" xfId="53490"/>
    <cellStyle name="Data   - Opmaakprofiel2 2 6 6 2 3" xfId="13561"/>
    <cellStyle name="Data   - Opmaakprofiel2 2 6 6 2 4" xfId="25613"/>
    <cellStyle name="Data   - Opmaakprofiel2 2 6 6 2 5" xfId="40467"/>
    <cellStyle name="Data   - Opmaakprofiel2 2 6 6 2 6" xfId="45938"/>
    <cellStyle name="Data   - Opmaakprofiel2 2 6 6 3" xfId="3131"/>
    <cellStyle name="Data   - Opmaakprofiel2 2 6 6 3 2" xfId="8526"/>
    <cellStyle name="Data   - Opmaakprofiel2 2 6 6 3 2 2" xfId="20824"/>
    <cellStyle name="Data   - Opmaakprofiel2 2 6 6 3 2 3" xfId="32876"/>
    <cellStyle name="Data   - Opmaakprofiel2 2 6 6 3 2 4" xfId="26684"/>
    <cellStyle name="Data   - Opmaakprofiel2 2 6 6 3 2 5" xfId="53491"/>
    <cellStyle name="Data   - Opmaakprofiel2 2 6 6 3 3" xfId="13562"/>
    <cellStyle name="Data   - Opmaakprofiel2 2 6 6 3 4" xfId="25614"/>
    <cellStyle name="Data   - Opmaakprofiel2 2 6 6 3 5" xfId="46044"/>
    <cellStyle name="Data   - Opmaakprofiel2 2 6 6 3 6" xfId="40321"/>
    <cellStyle name="Data   - Opmaakprofiel2 2 6 6 4" xfId="3965"/>
    <cellStyle name="Data   - Opmaakprofiel2 2 6 6 4 2" xfId="8527"/>
    <cellStyle name="Data   - Opmaakprofiel2 2 6 6 4 2 2" xfId="20825"/>
    <cellStyle name="Data   - Opmaakprofiel2 2 6 6 4 2 3" xfId="32877"/>
    <cellStyle name="Data   - Opmaakprofiel2 2 6 6 4 2 4" xfId="43055"/>
    <cellStyle name="Data   - Opmaakprofiel2 2 6 6 4 2 5" xfId="53492"/>
    <cellStyle name="Data   - Opmaakprofiel2 2 6 6 4 3" xfId="13563"/>
    <cellStyle name="Data   - Opmaakprofiel2 2 6 6 4 4" xfId="25615"/>
    <cellStyle name="Data   - Opmaakprofiel2 2 6 6 4 5" xfId="40466"/>
    <cellStyle name="Data   - Opmaakprofiel2 2 6 6 4 6" xfId="45944"/>
    <cellStyle name="Data   - Opmaakprofiel2 2 6 6 5" xfId="4609"/>
    <cellStyle name="Data   - Opmaakprofiel2 2 6 6 5 2" xfId="8528"/>
    <cellStyle name="Data   - Opmaakprofiel2 2 6 6 5 2 2" xfId="20826"/>
    <cellStyle name="Data   - Opmaakprofiel2 2 6 6 5 2 3" xfId="32878"/>
    <cellStyle name="Data   - Opmaakprofiel2 2 6 6 5 2 4" xfId="31952"/>
    <cellStyle name="Data   - Opmaakprofiel2 2 6 6 5 2 5" xfId="53493"/>
    <cellStyle name="Data   - Opmaakprofiel2 2 6 6 5 3" xfId="13564"/>
    <cellStyle name="Data   - Opmaakprofiel2 2 6 6 5 4" xfId="25616"/>
    <cellStyle name="Data   - Opmaakprofiel2 2 6 6 5 5" xfId="46043"/>
    <cellStyle name="Data   - Opmaakprofiel2 2 6 6 5 6" xfId="45948"/>
    <cellStyle name="Data   - Opmaakprofiel2 2 6 6 6" xfId="4610"/>
    <cellStyle name="Data   - Opmaakprofiel2 2 6 6 6 2" xfId="8529"/>
    <cellStyle name="Data   - Opmaakprofiel2 2 6 6 6 2 2" xfId="20827"/>
    <cellStyle name="Data   - Opmaakprofiel2 2 6 6 6 2 3" xfId="32879"/>
    <cellStyle name="Data   - Opmaakprofiel2 2 6 6 6 2 4" xfId="43054"/>
    <cellStyle name="Data   - Opmaakprofiel2 2 6 6 6 2 5" xfId="53494"/>
    <cellStyle name="Data   - Opmaakprofiel2 2 6 6 6 3" xfId="13565"/>
    <cellStyle name="Data   - Opmaakprofiel2 2 6 6 6 4" xfId="25617"/>
    <cellStyle name="Data   - Opmaakprofiel2 2 6 6 6 5" xfId="40465"/>
    <cellStyle name="Data   - Opmaakprofiel2 2 6 6 6 6" xfId="45951"/>
    <cellStyle name="Data   - Opmaakprofiel2 2 6 6 7" xfId="4611"/>
    <cellStyle name="Data   - Opmaakprofiel2 2 6 6 7 2" xfId="13566"/>
    <cellStyle name="Data   - Opmaakprofiel2 2 6 6 7 3" xfId="25618"/>
    <cellStyle name="Data   - Opmaakprofiel2 2 6 6 7 4" xfId="46042"/>
    <cellStyle name="Data   - Opmaakprofiel2 2 6 6 7 5" xfId="40339"/>
    <cellStyle name="Data   - Opmaakprofiel2 2 6 6 8" xfId="7229"/>
    <cellStyle name="Data   - Opmaakprofiel2 2 6 6 8 2" xfId="19527"/>
    <cellStyle name="Data   - Opmaakprofiel2 2 6 6 8 3" xfId="41330"/>
    <cellStyle name="Data   - Opmaakprofiel2 2 6 6 8 4" xfId="36900"/>
    <cellStyle name="Data   - Opmaakprofiel2 2 6 6 8 5" xfId="52199"/>
    <cellStyle name="Data   - Opmaakprofiel2 2 6 6 9" xfId="13560"/>
    <cellStyle name="Data   - Opmaakprofiel2 2 6 7" xfId="2442"/>
    <cellStyle name="Data   - Opmaakprofiel2 2 6 7 2" xfId="8530"/>
    <cellStyle name="Data   - Opmaakprofiel2 2 6 7 2 2" xfId="20828"/>
    <cellStyle name="Data   - Opmaakprofiel2 2 6 7 2 3" xfId="32880"/>
    <cellStyle name="Data   - Opmaakprofiel2 2 6 7 2 4" xfId="26691"/>
    <cellStyle name="Data   - Opmaakprofiel2 2 6 7 2 5" xfId="53495"/>
    <cellStyle name="Data   - Opmaakprofiel2 2 6 7 3" xfId="13567"/>
    <cellStyle name="Data   - Opmaakprofiel2 2 6 7 4" xfId="25619"/>
    <cellStyle name="Data   - Opmaakprofiel2 2 6 7 5" xfId="40464"/>
    <cellStyle name="Data   - Opmaakprofiel2 2 6 7 6" xfId="45957"/>
    <cellStyle name="Data   - Opmaakprofiel2 2 6 8" xfId="2782"/>
    <cellStyle name="Data   - Opmaakprofiel2 2 6 8 2" xfId="8531"/>
    <cellStyle name="Data   - Opmaakprofiel2 2 6 8 2 2" xfId="20829"/>
    <cellStyle name="Data   - Opmaakprofiel2 2 6 8 2 3" xfId="32881"/>
    <cellStyle name="Data   - Opmaakprofiel2 2 6 8 2 4" xfId="34718"/>
    <cellStyle name="Data   - Opmaakprofiel2 2 6 8 2 5" xfId="53496"/>
    <cellStyle name="Data   - Opmaakprofiel2 2 6 8 3" xfId="13568"/>
    <cellStyle name="Data   - Opmaakprofiel2 2 6 8 4" xfId="25620"/>
    <cellStyle name="Data   - Opmaakprofiel2 2 6 8 5" xfId="46041"/>
    <cellStyle name="Data   - Opmaakprofiel2 2 6 8 6" xfId="40347"/>
    <cellStyle name="Data   - Opmaakprofiel2 2 6 9" xfId="3644"/>
    <cellStyle name="Data   - Opmaakprofiel2 2 6 9 2" xfId="8532"/>
    <cellStyle name="Data   - Opmaakprofiel2 2 6 9 2 2" xfId="20830"/>
    <cellStyle name="Data   - Opmaakprofiel2 2 6 9 2 3" xfId="32882"/>
    <cellStyle name="Data   - Opmaakprofiel2 2 6 9 2 4" xfId="43053"/>
    <cellStyle name="Data   - Opmaakprofiel2 2 6 9 2 5" xfId="53497"/>
    <cellStyle name="Data   - Opmaakprofiel2 2 6 9 3" xfId="13569"/>
    <cellStyle name="Data   - Opmaakprofiel2 2 6 9 4" xfId="25621"/>
    <cellStyle name="Data   - Opmaakprofiel2 2 6 9 5" xfId="40463"/>
    <cellStyle name="Data   - Opmaakprofiel2 2 6 9 6" xfId="40351"/>
    <cellStyle name="Data   - Opmaakprofiel2 2 7" xfId="681"/>
    <cellStyle name="Data   - Opmaakprofiel2 2 7 10" xfId="4612"/>
    <cellStyle name="Data   - Opmaakprofiel2 2 7 10 2" xfId="8533"/>
    <cellStyle name="Data   - Opmaakprofiel2 2 7 10 2 2" xfId="20831"/>
    <cellStyle name="Data   - Opmaakprofiel2 2 7 10 2 3" xfId="32883"/>
    <cellStyle name="Data   - Opmaakprofiel2 2 7 10 2 4" xfId="26698"/>
    <cellStyle name="Data   - Opmaakprofiel2 2 7 10 2 5" xfId="53498"/>
    <cellStyle name="Data   - Opmaakprofiel2 2 7 10 3" xfId="13571"/>
    <cellStyle name="Data   - Opmaakprofiel2 2 7 10 4" xfId="25623"/>
    <cellStyle name="Data   - Opmaakprofiel2 2 7 10 5" xfId="40462"/>
    <cellStyle name="Data   - Opmaakprofiel2 2 7 10 6" xfId="45968"/>
    <cellStyle name="Data   - Opmaakprofiel2 2 7 11" xfId="4613"/>
    <cellStyle name="Data   - Opmaakprofiel2 2 7 11 2" xfId="8534"/>
    <cellStyle name="Data   - Opmaakprofiel2 2 7 11 2 2" xfId="20832"/>
    <cellStyle name="Data   - Opmaakprofiel2 2 7 11 2 3" xfId="32884"/>
    <cellStyle name="Data   - Opmaakprofiel2 2 7 11 2 4" xfId="43052"/>
    <cellStyle name="Data   - Opmaakprofiel2 2 7 11 2 5" xfId="53499"/>
    <cellStyle name="Data   - Opmaakprofiel2 2 7 11 3" xfId="13572"/>
    <cellStyle name="Data   - Opmaakprofiel2 2 7 11 4" xfId="25624"/>
    <cellStyle name="Data   - Opmaakprofiel2 2 7 11 5" xfId="40461"/>
    <cellStyle name="Data   - Opmaakprofiel2 2 7 11 6" xfId="40362"/>
    <cellStyle name="Data   - Opmaakprofiel2 2 7 12" xfId="4614"/>
    <cellStyle name="Data   - Opmaakprofiel2 2 7 12 2" xfId="13573"/>
    <cellStyle name="Data   - Opmaakprofiel2 2 7 12 3" xfId="25625"/>
    <cellStyle name="Data   - Opmaakprofiel2 2 7 12 4" xfId="40460"/>
    <cellStyle name="Data   - Opmaakprofiel2 2 7 12 5" xfId="45976"/>
    <cellStyle name="Data   - Opmaakprofiel2 2 7 13" xfId="7528"/>
    <cellStyle name="Data   - Opmaakprofiel2 2 7 13 2" xfId="19826"/>
    <cellStyle name="Data   - Opmaakprofiel2 2 7 13 3" xfId="41629"/>
    <cellStyle name="Data   - Opmaakprofiel2 2 7 13 4" xfId="43471"/>
    <cellStyle name="Data   - Opmaakprofiel2 2 7 13 5" xfId="52498"/>
    <cellStyle name="Data   - Opmaakprofiel2 2 7 14" xfId="13570"/>
    <cellStyle name="Data   - Opmaakprofiel2 2 7 2" xfId="855"/>
    <cellStyle name="Data   - Opmaakprofiel2 2 7 2 2" xfId="1444"/>
    <cellStyle name="Data   - Opmaakprofiel2 2 7 2 2 2" xfId="8535"/>
    <cellStyle name="Data   - Opmaakprofiel2 2 7 2 2 2 2" xfId="20833"/>
    <cellStyle name="Data   - Opmaakprofiel2 2 7 2 2 2 3" xfId="32885"/>
    <cellStyle name="Data   - Opmaakprofiel2 2 7 2 2 2 4" xfId="31471"/>
    <cellStyle name="Data   - Opmaakprofiel2 2 7 2 2 2 5" xfId="53500"/>
    <cellStyle name="Data   - Opmaakprofiel2 2 7 2 2 3" xfId="13575"/>
    <cellStyle name="Data   - Opmaakprofiel2 2 7 2 2 4" xfId="25627"/>
    <cellStyle name="Data   - Opmaakprofiel2 2 7 2 2 5" xfId="40459"/>
    <cellStyle name="Data   - Opmaakprofiel2 2 7 2 2 6" xfId="45981"/>
    <cellStyle name="Data   - Opmaakprofiel2 2 7 2 3" xfId="2866"/>
    <cellStyle name="Data   - Opmaakprofiel2 2 7 2 3 2" xfId="8536"/>
    <cellStyle name="Data   - Opmaakprofiel2 2 7 2 3 2 2" xfId="20834"/>
    <cellStyle name="Data   - Opmaakprofiel2 2 7 2 3 2 3" xfId="32886"/>
    <cellStyle name="Data   - Opmaakprofiel2 2 7 2 3 2 4" xfId="43051"/>
    <cellStyle name="Data   - Opmaakprofiel2 2 7 2 3 2 5" xfId="53501"/>
    <cellStyle name="Data   - Opmaakprofiel2 2 7 2 3 3" xfId="13576"/>
    <cellStyle name="Data   - Opmaakprofiel2 2 7 2 3 4" xfId="25628"/>
    <cellStyle name="Data   - Opmaakprofiel2 2 7 2 3 5" xfId="46038"/>
    <cellStyle name="Data   - Opmaakprofiel2 2 7 2 3 6" xfId="40381"/>
    <cellStyle name="Data   - Opmaakprofiel2 2 7 2 4" xfId="3719"/>
    <cellStyle name="Data   - Opmaakprofiel2 2 7 2 4 2" xfId="8537"/>
    <cellStyle name="Data   - Opmaakprofiel2 2 7 2 4 2 2" xfId="20835"/>
    <cellStyle name="Data   - Opmaakprofiel2 2 7 2 4 2 3" xfId="32887"/>
    <cellStyle name="Data   - Opmaakprofiel2 2 7 2 4 2 4" xfId="26705"/>
    <cellStyle name="Data   - Opmaakprofiel2 2 7 2 4 2 5" xfId="53502"/>
    <cellStyle name="Data   - Opmaakprofiel2 2 7 2 4 3" xfId="13577"/>
    <cellStyle name="Data   - Opmaakprofiel2 2 7 2 4 4" xfId="25629"/>
    <cellStyle name="Data   - Opmaakprofiel2 2 7 2 4 5" xfId="40458"/>
    <cellStyle name="Data   - Opmaakprofiel2 2 7 2 4 6" xfId="40385"/>
    <cellStyle name="Data   - Opmaakprofiel2 2 7 2 5" xfId="4615"/>
    <cellStyle name="Data   - Opmaakprofiel2 2 7 2 5 2" xfId="8538"/>
    <cellStyle name="Data   - Opmaakprofiel2 2 7 2 5 2 2" xfId="20836"/>
    <cellStyle name="Data   - Opmaakprofiel2 2 7 2 5 2 3" xfId="32888"/>
    <cellStyle name="Data   - Opmaakprofiel2 2 7 2 5 2 4" xfId="43050"/>
    <cellStyle name="Data   - Opmaakprofiel2 2 7 2 5 2 5" xfId="53503"/>
    <cellStyle name="Data   - Opmaakprofiel2 2 7 2 5 3" xfId="13578"/>
    <cellStyle name="Data   - Opmaakprofiel2 2 7 2 5 4" xfId="25630"/>
    <cellStyle name="Data   - Opmaakprofiel2 2 7 2 5 5" xfId="40457"/>
    <cellStyle name="Data   - Opmaakprofiel2 2 7 2 5 6" xfId="40389"/>
    <cellStyle name="Data   - Opmaakprofiel2 2 7 2 6" xfId="4616"/>
    <cellStyle name="Data   - Opmaakprofiel2 2 7 2 6 2" xfId="8539"/>
    <cellStyle name="Data   - Opmaakprofiel2 2 7 2 6 2 2" xfId="20837"/>
    <cellStyle name="Data   - Opmaakprofiel2 2 7 2 6 2 3" xfId="32889"/>
    <cellStyle name="Data   - Opmaakprofiel2 2 7 2 6 2 4" xfId="31422"/>
    <cellStyle name="Data   - Opmaakprofiel2 2 7 2 6 2 5" xfId="53504"/>
    <cellStyle name="Data   - Opmaakprofiel2 2 7 2 6 3" xfId="13579"/>
    <cellStyle name="Data   - Opmaakprofiel2 2 7 2 6 4" xfId="25631"/>
    <cellStyle name="Data   - Opmaakprofiel2 2 7 2 6 5" xfId="46037"/>
    <cellStyle name="Data   - Opmaakprofiel2 2 7 2 6 6" xfId="45990"/>
    <cellStyle name="Data   - Opmaakprofiel2 2 7 2 7" xfId="4617"/>
    <cellStyle name="Data   - Opmaakprofiel2 2 7 2 7 2" xfId="13580"/>
    <cellStyle name="Data   - Opmaakprofiel2 2 7 2 7 3" xfId="25632"/>
    <cellStyle name="Data   - Opmaakprofiel2 2 7 2 7 4" xfId="40456"/>
    <cellStyle name="Data   - Opmaakprofiel2 2 7 2 7 5" xfId="45994"/>
    <cellStyle name="Data   - Opmaakprofiel2 2 7 2 8" xfId="7408"/>
    <cellStyle name="Data   - Opmaakprofiel2 2 7 2 8 2" xfId="19706"/>
    <cellStyle name="Data   - Opmaakprofiel2 2 7 2 8 3" xfId="41509"/>
    <cellStyle name="Data   - Opmaakprofiel2 2 7 2 8 4" xfId="43521"/>
    <cellStyle name="Data   - Opmaakprofiel2 2 7 2 8 5" xfId="52378"/>
    <cellStyle name="Data   - Opmaakprofiel2 2 7 2 9" xfId="13574"/>
    <cellStyle name="Data   - Opmaakprofiel2 2 7 3" xfId="644"/>
    <cellStyle name="Data   - Opmaakprofiel2 2 7 3 2" xfId="1658"/>
    <cellStyle name="Data   - Opmaakprofiel2 2 7 3 2 2" xfId="8540"/>
    <cellStyle name="Data   - Opmaakprofiel2 2 7 3 2 2 2" xfId="20838"/>
    <cellStyle name="Data   - Opmaakprofiel2 2 7 3 2 2 3" xfId="32890"/>
    <cellStyle name="Data   - Opmaakprofiel2 2 7 3 2 2 4" xfId="43049"/>
    <cellStyle name="Data   - Opmaakprofiel2 2 7 3 2 2 5" xfId="53505"/>
    <cellStyle name="Data   - Opmaakprofiel2 2 7 3 2 3" xfId="13582"/>
    <cellStyle name="Data   - Opmaakprofiel2 2 7 3 2 4" xfId="25634"/>
    <cellStyle name="Data   - Opmaakprofiel2 2 7 3 2 5" xfId="40455"/>
    <cellStyle name="Data   - Opmaakprofiel2 2 7 3 2 6" xfId="46000"/>
    <cellStyle name="Data   - Opmaakprofiel2 2 7 3 3" xfId="2710"/>
    <cellStyle name="Data   - Opmaakprofiel2 2 7 3 3 2" xfId="8541"/>
    <cellStyle name="Data   - Opmaakprofiel2 2 7 3 3 2 2" xfId="20839"/>
    <cellStyle name="Data   - Opmaakprofiel2 2 7 3 3 2 3" xfId="32891"/>
    <cellStyle name="Data   - Opmaakprofiel2 2 7 3 3 2 4" xfId="26712"/>
    <cellStyle name="Data   - Opmaakprofiel2 2 7 3 3 2 5" xfId="53506"/>
    <cellStyle name="Data   - Opmaakprofiel2 2 7 3 3 3" xfId="13583"/>
    <cellStyle name="Data   - Opmaakprofiel2 2 7 3 3 4" xfId="25635"/>
    <cellStyle name="Data   - Opmaakprofiel2 2 7 3 3 5" xfId="46036"/>
    <cellStyle name="Data   - Opmaakprofiel2 2 7 3 3 6" xfId="40407"/>
    <cellStyle name="Data   - Opmaakprofiel2 2 7 3 4" xfId="3580"/>
    <cellStyle name="Data   - Opmaakprofiel2 2 7 3 4 2" xfId="8542"/>
    <cellStyle name="Data   - Opmaakprofiel2 2 7 3 4 2 2" xfId="20840"/>
    <cellStyle name="Data   - Opmaakprofiel2 2 7 3 4 2 3" xfId="32892"/>
    <cellStyle name="Data   - Opmaakprofiel2 2 7 3 4 2 4" xfId="34493"/>
    <cellStyle name="Data   - Opmaakprofiel2 2 7 3 4 2 5" xfId="53507"/>
    <cellStyle name="Data   - Opmaakprofiel2 2 7 3 4 3" xfId="13584"/>
    <cellStyle name="Data   - Opmaakprofiel2 2 7 3 4 4" xfId="25636"/>
    <cellStyle name="Data   - Opmaakprofiel2 2 7 3 4 5" xfId="40454"/>
    <cellStyle name="Data   - Opmaakprofiel2 2 7 3 4 6" xfId="46006"/>
    <cellStyle name="Data   - Opmaakprofiel2 2 7 3 5" xfId="4618"/>
    <cellStyle name="Data   - Opmaakprofiel2 2 7 3 5 2" xfId="8543"/>
    <cellStyle name="Data   - Opmaakprofiel2 2 7 3 5 2 2" xfId="20841"/>
    <cellStyle name="Data   - Opmaakprofiel2 2 7 3 5 2 3" xfId="32893"/>
    <cellStyle name="Data   - Opmaakprofiel2 2 7 3 5 2 4" xfId="26716"/>
    <cellStyle name="Data   - Opmaakprofiel2 2 7 3 5 2 5" xfId="53508"/>
    <cellStyle name="Data   - Opmaakprofiel2 2 7 3 5 3" xfId="13585"/>
    <cellStyle name="Data   - Opmaakprofiel2 2 7 3 5 4" xfId="25637"/>
    <cellStyle name="Data   - Opmaakprofiel2 2 7 3 5 5" xfId="40453"/>
    <cellStyle name="Data   - Opmaakprofiel2 2 7 3 5 6" xfId="40413"/>
    <cellStyle name="Data   - Opmaakprofiel2 2 7 3 6" xfId="4619"/>
    <cellStyle name="Data   - Opmaakprofiel2 2 7 3 6 2" xfId="8544"/>
    <cellStyle name="Data   - Opmaakprofiel2 2 7 3 6 2 2" xfId="20842"/>
    <cellStyle name="Data   - Opmaakprofiel2 2 7 3 6 2 3" xfId="32894"/>
    <cellStyle name="Data   - Opmaakprofiel2 2 7 3 6 2 4" xfId="43048"/>
    <cellStyle name="Data   - Opmaakprofiel2 2 7 3 6 2 5" xfId="53509"/>
    <cellStyle name="Data   - Opmaakprofiel2 2 7 3 6 3" xfId="13586"/>
    <cellStyle name="Data   - Opmaakprofiel2 2 7 3 6 4" xfId="25638"/>
    <cellStyle name="Data   - Opmaakprofiel2 2 7 3 6 5" xfId="46035"/>
    <cellStyle name="Data   - Opmaakprofiel2 2 7 3 6 6" xfId="40419"/>
    <cellStyle name="Data   - Opmaakprofiel2 2 7 3 7" xfId="4620"/>
    <cellStyle name="Data   - Opmaakprofiel2 2 7 3 7 2" xfId="13587"/>
    <cellStyle name="Data   - Opmaakprofiel2 2 7 3 7 3" xfId="25639"/>
    <cellStyle name="Data   - Opmaakprofiel2 2 7 3 7 4" xfId="40452"/>
    <cellStyle name="Data   - Opmaakprofiel2 2 7 3 7 5" xfId="40423"/>
    <cellStyle name="Data   - Opmaakprofiel2 2 7 3 8" xfId="10239"/>
    <cellStyle name="Data   - Opmaakprofiel2 2 7 3 8 2" xfId="22537"/>
    <cellStyle name="Data   - Opmaakprofiel2 2 7 3 8 3" xfId="44299"/>
    <cellStyle name="Data   - Opmaakprofiel2 2 7 3 8 4" xfId="34446"/>
    <cellStyle name="Data   - Opmaakprofiel2 2 7 3 8 5" xfId="55204"/>
    <cellStyle name="Data   - Opmaakprofiel2 2 7 3 9" xfId="13581"/>
    <cellStyle name="Data   - Opmaakprofiel2 2 7 4" xfId="555"/>
    <cellStyle name="Data   - Opmaakprofiel2 2 7 4 2" xfId="1529"/>
    <cellStyle name="Data   - Opmaakprofiel2 2 7 4 2 2" xfId="8545"/>
    <cellStyle name="Data   - Opmaakprofiel2 2 7 4 2 2 2" xfId="20843"/>
    <cellStyle name="Data   - Opmaakprofiel2 2 7 4 2 2 3" xfId="32895"/>
    <cellStyle name="Data   - Opmaakprofiel2 2 7 4 2 2 4" xfId="31694"/>
    <cellStyle name="Data   - Opmaakprofiel2 2 7 4 2 2 5" xfId="53510"/>
    <cellStyle name="Data   - Opmaakprofiel2 2 7 4 2 3" xfId="13589"/>
    <cellStyle name="Data   - Opmaakprofiel2 2 7 4 2 4" xfId="25641"/>
    <cellStyle name="Data   - Opmaakprofiel2 2 7 4 2 5" xfId="40451"/>
    <cellStyle name="Data   - Opmaakprofiel2 2 7 4 2 6" xfId="40431"/>
    <cellStyle name="Data   - Opmaakprofiel2 2 7 4 3" xfId="2626"/>
    <cellStyle name="Data   - Opmaakprofiel2 2 7 4 3 2" xfId="8546"/>
    <cellStyle name="Data   - Opmaakprofiel2 2 7 4 3 2 2" xfId="20844"/>
    <cellStyle name="Data   - Opmaakprofiel2 2 7 4 3 2 3" xfId="32896"/>
    <cellStyle name="Data   - Opmaakprofiel2 2 7 4 3 2 4" xfId="43047"/>
    <cellStyle name="Data   - Opmaakprofiel2 2 7 4 3 2 5" xfId="53511"/>
    <cellStyle name="Data   - Opmaakprofiel2 2 7 4 3 3" xfId="13590"/>
    <cellStyle name="Data   - Opmaakprofiel2 2 7 4 3 4" xfId="25642"/>
    <cellStyle name="Data   - Opmaakprofiel2 2 7 4 3 5" xfId="46033"/>
    <cellStyle name="Data   - Opmaakprofiel2 2 7 4 3 6" xfId="46022"/>
    <cellStyle name="Data   - Opmaakprofiel2 2 7 4 4" xfId="3504"/>
    <cellStyle name="Data   - Opmaakprofiel2 2 7 4 4 2" xfId="8547"/>
    <cellStyle name="Data   - Opmaakprofiel2 2 7 4 4 2 2" xfId="20845"/>
    <cellStyle name="Data   - Opmaakprofiel2 2 7 4 4 2 3" xfId="32897"/>
    <cellStyle name="Data   - Opmaakprofiel2 2 7 4 4 2 4" xfId="26723"/>
    <cellStyle name="Data   - Opmaakprofiel2 2 7 4 4 2 5" xfId="53512"/>
    <cellStyle name="Data   - Opmaakprofiel2 2 7 4 4 3" xfId="13591"/>
    <cellStyle name="Data   - Opmaakprofiel2 2 7 4 4 4" xfId="25643"/>
    <cellStyle name="Data   - Opmaakprofiel2 2 7 4 4 5" xfId="40450"/>
    <cellStyle name="Data   - Opmaakprofiel2 2 7 4 4 6" xfId="46024"/>
    <cellStyle name="Data   - Opmaakprofiel2 2 7 4 5" xfId="4621"/>
    <cellStyle name="Data   - Opmaakprofiel2 2 7 4 5 2" xfId="8548"/>
    <cellStyle name="Data   - Opmaakprofiel2 2 7 4 5 2 2" xfId="20846"/>
    <cellStyle name="Data   - Opmaakprofiel2 2 7 4 5 2 3" xfId="32898"/>
    <cellStyle name="Data   - Opmaakprofiel2 2 7 4 5 2 4" xfId="43046"/>
    <cellStyle name="Data   - Opmaakprofiel2 2 7 4 5 2 5" xfId="53513"/>
    <cellStyle name="Data   - Opmaakprofiel2 2 7 4 5 3" xfId="13592"/>
    <cellStyle name="Data   - Opmaakprofiel2 2 7 4 5 4" xfId="25644"/>
    <cellStyle name="Data   - Opmaakprofiel2 2 7 4 5 5" xfId="46032"/>
    <cellStyle name="Data   - Opmaakprofiel2 2 7 4 5 6" xfId="46028"/>
    <cellStyle name="Data   - Opmaakprofiel2 2 7 4 6" xfId="4622"/>
    <cellStyle name="Data   - Opmaakprofiel2 2 7 4 6 2" xfId="8549"/>
    <cellStyle name="Data   - Opmaakprofiel2 2 7 4 6 2 2" xfId="20847"/>
    <cellStyle name="Data   - Opmaakprofiel2 2 7 4 6 2 3" xfId="32899"/>
    <cellStyle name="Data   - Opmaakprofiel2 2 7 4 6 2 4" xfId="31628"/>
    <cellStyle name="Data   - Opmaakprofiel2 2 7 4 6 2 5" xfId="53514"/>
    <cellStyle name="Data   - Opmaakprofiel2 2 7 4 6 3" xfId="13593"/>
    <cellStyle name="Data   - Opmaakprofiel2 2 7 4 6 4" xfId="25645"/>
    <cellStyle name="Data   - Opmaakprofiel2 2 7 4 6 5" xfId="40449"/>
    <cellStyle name="Data   - Opmaakprofiel2 2 7 4 6 6" xfId="40448"/>
    <cellStyle name="Data   - Opmaakprofiel2 2 7 4 7" xfId="4623"/>
    <cellStyle name="Data   - Opmaakprofiel2 2 7 4 7 2" xfId="13594"/>
    <cellStyle name="Data   - Opmaakprofiel2 2 7 4 7 3" xfId="25646"/>
    <cellStyle name="Data   - Opmaakprofiel2 2 7 4 7 4" xfId="46031"/>
    <cellStyle name="Data   - Opmaakprofiel2 2 7 4 7 5" xfId="46034"/>
    <cellStyle name="Data   - Opmaakprofiel2 2 7 4 8" xfId="7612"/>
    <cellStyle name="Data   - Opmaakprofiel2 2 7 4 8 2" xfId="19910"/>
    <cellStyle name="Data   - Opmaakprofiel2 2 7 4 8 3" xfId="41713"/>
    <cellStyle name="Data   - Opmaakprofiel2 2 7 4 8 4" xfId="43436"/>
    <cellStyle name="Data   - Opmaakprofiel2 2 7 4 8 5" xfId="52582"/>
    <cellStyle name="Data   - Opmaakprofiel2 2 7 4 9" xfId="13588"/>
    <cellStyle name="Data   - Opmaakprofiel2 2 7 5" xfId="990"/>
    <cellStyle name="Data   - Opmaakprofiel2 2 7 5 2" xfId="2111"/>
    <cellStyle name="Data   - Opmaakprofiel2 2 7 5 2 2" xfId="8550"/>
    <cellStyle name="Data   - Opmaakprofiel2 2 7 5 2 2 2" xfId="20848"/>
    <cellStyle name="Data   - Opmaakprofiel2 2 7 5 2 2 3" xfId="32900"/>
    <cellStyle name="Data   - Opmaakprofiel2 2 7 5 2 2 4" xfId="43045"/>
    <cellStyle name="Data   - Opmaakprofiel2 2 7 5 2 2 5" xfId="53515"/>
    <cellStyle name="Data   - Opmaakprofiel2 2 7 5 2 3" xfId="13596"/>
    <cellStyle name="Data   - Opmaakprofiel2 2 7 5 2 4" xfId="25648"/>
    <cellStyle name="Data   - Opmaakprofiel2 2 7 5 2 5" xfId="40447"/>
    <cellStyle name="Data   - Opmaakprofiel2 2 7 5 2 6" xfId="46039"/>
    <cellStyle name="Data   - Opmaakprofiel2 2 7 5 3" xfId="3001"/>
    <cellStyle name="Data   - Opmaakprofiel2 2 7 5 3 2" xfId="8551"/>
    <cellStyle name="Data   - Opmaakprofiel2 2 7 5 3 2 2" xfId="20849"/>
    <cellStyle name="Data   - Opmaakprofiel2 2 7 5 3 2 3" xfId="32901"/>
    <cellStyle name="Data   - Opmaakprofiel2 2 7 5 3 2 4" xfId="26730"/>
    <cellStyle name="Data   - Opmaakprofiel2 2 7 5 3 2 5" xfId="53516"/>
    <cellStyle name="Data   - Opmaakprofiel2 2 7 5 3 3" xfId="13597"/>
    <cellStyle name="Data   - Opmaakprofiel2 2 7 5 3 4" xfId="25649"/>
    <cellStyle name="Data   - Opmaakprofiel2 2 7 5 3 5" xfId="40446"/>
    <cellStyle name="Data   - Opmaakprofiel2 2 7 5 3 6" xfId="46040"/>
    <cellStyle name="Data   - Opmaakprofiel2 2 7 5 4" xfId="3847"/>
    <cellStyle name="Data   - Opmaakprofiel2 2 7 5 4 2" xfId="8552"/>
    <cellStyle name="Data   - Opmaakprofiel2 2 7 5 4 2 2" xfId="20850"/>
    <cellStyle name="Data   - Opmaakprofiel2 2 7 5 4 2 3" xfId="32902"/>
    <cellStyle name="Data   - Opmaakprofiel2 2 7 5 4 2 4" xfId="43044"/>
    <cellStyle name="Data   - Opmaakprofiel2 2 7 5 4 2 5" xfId="53517"/>
    <cellStyle name="Data   - Opmaakprofiel2 2 7 5 4 3" xfId="13598"/>
    <cellStyle name="Data   - Opmaakprofiel2 2 7 5 4 4" xfId="25650"/>
    <cellStyle name="Data   - Opmaakprofiel2 2 7 5 4 5" xfId="46030"/>
    <cellStyle name="Data   - Opmaakprofiel2 2 7 5 4 6" xfId="40468"/>
    <cellStyle name="Data   - Opmaakprofiel2 2 7 5 5" xfId="4624"/>
    <cellStyle name="Data   - Opmaakprofiel2 2 7 5 5 2" xfId="8553"/>
    <cellStyle name="Data   - Opmaakprofiel2 2 7 5 5 2 2" xfId="20851"/>
    <cellStyle name="Data   - Opmaakprofiel2 2 7 5 5 2 3" xfId="32903"/>
    <cellStyle name="Data   - Opmaakprofiel2 2 7 5 5 2 4" xfId="31956"/>
    <cellStyle name="Data   - Opmaakprofiel2 2 7 5 5 2 5" xfId="53518"/>
    <cellStyle name="Data   - Opmaakprofiel2 2 7 5 5 3" xfId="13599"/>
    <cellStyle name="Data   - Opmaakprofiel2 2 7 5 5 4" xfId="25651"/>
    <cellStyle name="Data   - Opmaakprofiel2 2 7 5 5 5" xfId="40445"/>
    <cellStyle name="Data   - Opmaakprofiel2 2 7 5 5 6" xfId="40472"/>
    <cellStyle name="Data   - Opmaakprofiel2 2 7 5 6" xfId="4625"/>
    <cellStyle name="Data   - Opmaakprofiel2 2 7 5 6 2" xfId="8554"/>
    <cellStyle name="Data   - Opmaakprofiel2 2 7 5 6 2 2" xfId="20852"/>
    <cellStyle name="Data   - Opmaakprofiel2 2 7 5 6 2 3" xfId="32904"/>
    <cellStyle name="Data   - Opmaakprofiel2 2 7 5 6 2 4" xfId="26737"/>
    <cellStyle name="Data   - Opmaakprofiel2 2 7 5 6 2 5" xfId="53519"/>
    <cellStyle name="Data   - Opmaakprofiel2 2 7 5 6 3" xfId="13600"/>
    <cellStyle name="Data   - Opmaakprofiel2 2 7 5 6 4" xfId="25652"/>
    <cellStyle name="Data   - Opmaakprofiel2 2 7 5 6 5" xfId="46029"/>
    <cellStyle name="Data   - Opmaakprofiel2 2 7 5 6 6" xfId="46050"/>
    <cellStyle name="Data   - Opmaakprofiel2 2 7 5 7" xfId="4626"/>
    <cellStyle name="Data   - Opmaakprofiel2 2 7 5 7 2" xfId="13601"/>
    <cellStyle name="Data   - Opmaakprofiel2 2 7 5 7 3" xfId="25653"/>
    <cellStyle name="Data   - Opmaakprofiel2 2 7 5 7 4" xfId="40444"/>
    <cellStyle name="Data   - Opmaakprofiel2 2 7 5 7 5" xfId="40480"/>
    <cellStyle name="Data   - Opmaakprofiel2 2 7 5 8" xfId="7319"/>
    <cellStyle name="Data   - Opmaakprofiel2 2 7 5 8 2" xfId="19617"/>
    <cellStyle name="Data   - Opmaakprofiel2 2 7 5 8 3" xfId="41420"/>
    <cellStyle name="Data   - Opmaakprofiel2 2 7 5 8 4" xfId="36848"/>
    <cellStyle name="Data   - Opmaakprofiel2 2 7 5 8 5" xfId="52289"/>
    <cellStyle name="Data   - Opmaakprofiel2 2 7 5 9" xfId="13595"/>
    <cellStyle name="Data   - Opmaakprofiel2 2 7 6" xfId="1119"/>
    <cellStyle name="Data   - Opmaakprofiel2 2 7 6 2" xfId="2063"/>
    <cellStyle name="Data   - Opmaakprofiel2 2 7 6 2 2" xfId="8555"/>
    <cellStyle name="Data   - Opmaakprofiel2 2 7 6 2 2 2" xfId="20853"/>
    <cellStyle name="Data   - Opmaakprofiel2 2 7 6 2 2 3" xfId="32905"/>
    <cellStyle name="Data   - Opmaakprofiel2 2 7 6 2 2 4" xfId="31506"/>
    <cellStyle name="Data   - Opmaakprofiel2 2 7 6 2 2 5" xfId="53520"/>
    <cellStyle name="Data   - Opmaakprofiel2 2 7 6 2 3" xfId="13603"/>
    <cellStyle name="Data   - Opmaakprofiel2 2 7 6 2 4" xfId="25655"/>
    <cellStyle name="Data   - Opmaakprofiel2 2 7 6 2 5" xfId="40443"/>
    <cellStyle name="Data   - Opmaakprofiel2 2 7 6 2 6" xfId="46057"/>
    <cellStyle name="Data   - Opmaakprofiel2 2 7 6 3" xfId="3130"/>
    <cellStyle name="Data   - Opmaakprofiel2 2 7 6 3 2" xfId="8556"/>
    <cellStyle name="Data   - Opmaakprofiel2 2 7 6 3 2 2" xfId="20854"/>
    <cellStyle name="Data   - Opmaakprofiel2 2 7 6 3 2 3" xfId="32906"/>
    <cellStyle name="Data   - Opmaakprofiel2 2 7 6 3 2 4" xfId="43043"/>
    <cellStyle name="Data   - Opmaakprofiel2 2 7 6 3 2 5" xfId="53521"/>
    <cellStyle name="Data   - Opmaakprofiel2 2 7 6 3 3" xfId="13604"/>
    <cellStyle name="Data   - Opmaakprofiel2 2 7 6 3 4" xfId="25656"/>
    <cellStyle name="Data   - Opmaakprofiel2 2 7 6 3 5" xfId="46027"/>
    <cellStyle name="Data   - Opmaakprofiel2 2 7 6 3 6" xfId="46061"/>
    <cellStyle name="Data   - Opmaakprofiel2 2 7 6 4" xfId="3964"/>
    <cellStyle name="Data   - Opmaakprofiel2 2 7 6 4 2" xfId="8557"/>
    <cellStyle name="Data   - Opmaakprofiel2 2 7 6 4 2 2" xfId="20855"/>
    <cellStyle name="Data   - Opmaakprofiel2 2 7 6 4 2 3" xfId="32907"/>
    <cellStyle name="Data   - Opmaakprofiel2 2 7 6 4 2 4" xfId="26744"/>
    <cellStyle name="Data   - Opmaakprofiel2 2 7 6 4 2 5" xfId="53522"/>
    <cellStyle name="Data   - Opmaakprofiel2 2 7 6 4 3" xfId="13605"/>
    <cellStyle name="Data   - Opmaakprofiel2 2 7 6 4 4" xfId="25657"/>
    <cellStyle name="Data   - Opmaakprofiel2 2 7 6 4 5" xfId="40442"/>
    <cellStyle name="Data   - Opmaakprofiel2 2 7 6 4 6" xfId="46064"/>
    <cellStyle name="Data   - Opmaakprofiel2 2 7 6 5" xfId="4627"/>
    <cellStyle name="Data   - Opmaakprofiel2 2 7 6 5 2" xfId="8558"/>
    <cellStyle name="Data   - Opmaakprofiel2 2 7 6 5 2 2" xfId="20856"/>
    <cellStyle name="Data   - Opmaakprofiel2 2 7 6 5 2 3" xfId="32908"/>
    <cellStyle name="Data   - Opmaakprofiel2 2 7 6 5 2 4" xfId="43042"/>
    <cellStyle name="Data   - Opmaakprofiel2 2 7 6 5 2 5" xfId="53523"/>
    <cellStyle name="Data   - Opmaakprofiel2 2 7 6 5 3" xfId="13606"/>
    <cellStyle name="Data   - Opmaakprofiel2 2 7 6 5 4" xfId="25658"/>
    <cellStyle name="Data   - Opmaakprofiel2 2 7 6 5 5" xfId="46026"/>
    <cellStyle name="Data   - Opmaakprofiel2 2 7 6 5 6" xfId="46067"/>
    <cellStyle name="Data   - Opmaakprofiel2 2 7 6 6" xfId="4628"/>
    <cellStyle name="Data   - Opmaakprofiel2 2 7 6 6 2" xfId="8559"/>
    <cellStyle name="Data   - Opmaakprofiel2 2 7 6 6 2 2" xfId="20857"/>
    <cellStyle name="Data   - Opmaakprofiel2 2 7 6 6 2 3" xfId="32909"/>
    <cellStyle name="Data   - Opmaakprofiel2 2 7 6 6 2 4" xfId="31883"/>
    <cellStyle name="Data   - Opmaakprofiel2 2 7 6 6 2 5" xfId="53524"/>
    <cellStyle name="Data   - Opmaakprofiel2 2 7 6 6 3" xfId="13607"/>
    <cellStyle name="Data   - Opmaakprofiel2 2 7 6 6 4" xfId="25659"/>
    <cellStyle name="Data   - Opmaakprofiel2 2 7 6 6 5" xfId="40441"/>
    <cellStyle name="Data   - Opmaakprofiel2 2 7 6 6 6" xfId="40504"/>
    <cellStyle name="Data   - Opmaakprofiel2 2 7 6 7" xfId="4629"/>
    <cellStyle name="Data   - Opmaakprofiel2 2 7 6 7 2" xfId="13608"/>
    <cellStyle name="Data   - Opmaakprofiel2 2 7 6 7 3" xfId="25660"/>
    <cellStyle name="Data   - Opmaakprofiel2 2 7 6 7 4" xfId="40440"/>
    <cellStyle name="Data   - Opmaakprofiel2 2 7 6 7 5" xfId="46073"/>
    <cellStyle name="Data   - Opmaakprofiel2 2 7 6 8" xfId="7230"/>
    <cellStyle name="Data   - Opmaakprofiel2 2 7 6 8 2" xfId="19528"/>
    <cellStyle name="Data   - Opmaakprofiel2 2 7 6 8 3" xfId="41331"/>
    <cellStyle name="Data   - Opmaakprofiel2 2 7 6 8 4" xfId="43596"/>
    <cellStyle name="Data   - Opmaakprofiel2 2 7 6 8 5" xfId="52200"/>
    <cellStyle name="Data   - Opmaakprofiel2 2 7 6 9" xfId="13602"/>
    <cellStyle name="Data   - Opmaakprofiel2 2 7 7" xfId="2369"/>
    <cellStyle name="Data   - Opmaakprofiel2 2 7 7 2" xfId="8560"/>
    <cellStyle name="Data   - Opmaakprofiel2 2 7 7 2 2" xfId="20858"/>
    <cellStyle name="Data   - Opmaakprofiel2 2 7 7 2 3" xfId="32910"/>
    <cellStyle name="Data   - Opmaakprofiel2 2 7 7 2 4" xfId="43041"/>
    <cellStyle name="Data   - Opmaakprofiel2 2 7 7 2 5" xfId="53525"/>
    <cellStyle name="Data   - Opmaakprofiel2 2 7 7 3" xfId="13609"/>
    <cellStyle name="Data   - Opmaakprofiel2 2 7 7 4" xfId="25661"/>
    <cellStyle name="Data   - Opmaakprofiel2 2 7 7 5" xfId="40439"/>
    <cellStyle name="Data   - Opmaakprofiel2 2 7 7 6" xfId="46075"/>
    <cellStyle name="Data   - Opmaakprofiel2 2 7 8" xfId="2747"/>
    <cellStyle name="Data   - Opmaakprofiel2 2 7 8 2" xfId="8561"/>
    <cellStyle name="Data   - Opmaakprofiel2 2 7 8 2 2" xfId="20859"/>
    <cellStyle name="Data   - Opmaakprofiel2 2 7 8 2 3" xfId="32911"/>
    <cellStyle name="Data   - Opmaakprofiel2 2 7 8 2 4" xfId="26754"/>
    <cellStyle name="Data   - Opmaakprofiel2 2 7 8 2 5" xfId="53526"/>
    <cellStyle name="Data   - Opmaakprofiel2 2 7 8 3" xfId="13610"/>
    <cellStyle name="Data   - Opmaakprofiel2 2 7 8 4" xfId="25662"/>
    <cellStyle name="Data   - Opmaakprofiel2 2 7 8 5" xfId="46025"/>
    <cellStyle name="Data   - Opmaakprofiel2 2 7 8 6" xfId="40518"/>
    <cellStyle name="Data   - Opmaakprofiel2 2 7 9" xfId="3610"/>
    <cellStyle name="Data   - Opmaakprofiel2 2 7 9 2" xfId="8562"/>
    <cellStyle name="Data   - Opmaakprofiel2 2 7 9 2 2" xfId="20860"/>
    <cellStyle name="Data   - Opmaakprofiel2 2 7 9 2 3" xfId="32912"/>
    <cellStyle name="Data   - Opmaakprofiel2 2 7 9 2 4" xfId="43040"/>
    <cellStyle name="Data   - Opmaakprofiel2 2 7 9 2 5" xfId="53527"/>
    <cellStyle name="Data   - Opmaakprofiel2 2 7 9 3" xfId="13611"/>
    <cellStyle name="Data   - Opmaakprofiel2 2 7 9 4" xfId="25663"/>
    <cellStyle name="Data   - Opmaakprofiel2 2 7 9 5" xfId="40438"/>
    <cellStyle name="Data   - Opmaakprofiel2 2 7 9 6" xfId="46083"/>
    <cellStyle name="Data   - Opmaakprofiel2 2 8" xfId="698"/>
    <cellStyle name="Data   - Opmaakprofiel2 2 8 10" xfId="4630"/>
    <cellStyle name="Data   - Opmaakprofiel2 2 8 10 2" xfId="8563"/>
    <cellStyle name="Data   - Opmaakprofiel2 2 8 10 2 2" xfId="20861"/>
    <cellStyle name="Data   - Opmaakprofiel2 2 8 10 2 3" xfId="32913"/>
    <cellStyle name="Data   - Opmaakprofiel2 2 8 10 2 4" xfId="31856"/>
    <cellStyle name="Data   - Opmaakprofiel2 2 8 10 2 5" xfId="53528"/>
    <cellStyle name="Data   - Opmaakprofiel2 2 8 10 3" xfId="13613"/>
    <cellStyle name="Data   - Opmaakprofiel2 2 8 10 4" xfId="25665"/>
    <cellStyle name="Data   - Opmaakprofiel2 2 8 10 5" xfId="40437"/>
    <cellStyle name="Data   - Opmaakprofiel2 2 8 10 6" xfId="46089"/>
    <cellStyle name="Data   - Opmaakprofiel2 2 8 11" xfId="4631"/>
    <cellStyle name="Data   - Opmaakprofiel2 2 8 11 2" xfId="8564"/>
    <cellStyle name="Data   - Opmaakprofiel2 2 8 11 2 2" xfId="20862"/>
    <cellStyle name="Data   - Opmaakprofiel2 2 8 11 2 3" xfId="32914"/>
    <cellStyle name="Data   - Opmaakprofiel2 2 8 11 2 4" xfId="43039"/>
    <cellStyle name="Data   - Opmaakprofiel2 2 8 11 2 5" xfId="53529"/>
    <cellStyle name="Data   - Opmaakprofiel2 2 8 11 3" xfId="13614"/>
    <cellStyle name="Data   - Opmaakprofiel2 2 8 11 4" xfId="25666"/>
    <cellStyle name="Data   - Opmaakprofiel2 2 8 11 5" xfId="46023"/>
    <cellStyle name="Data   - Opmaakprofiel2 2 8 11 6" xfId="40534"/>
    <cellStyle name="Data   - Opmaakprofiel2 2 8 12" xfId="4632"/>
    <cellStyle name="Data   - Opmaakprofiel2 2 8 12 2" xfId="13615"/>
    <cellStyle name="Data   - Opmaakprofiel2 2 8 12 3" xfId="25667"/>
    <cellStyle name="Data   - Opmaakprofiel2 2 8 12 4" xfId="40436"/>
    <cellStyle name="Data   - Opmaakprofiel2 2 8 12 5" xfId="40536"/>
    <cellStyle name="Data   - Opmaakprofiel2 2 8 13" xfId="10203"/>
    <cellStyle name="Data   - Opmaakprofiel2 2 8 13 2" xfId="22501"/>
    <cellStyle name="Data   - Opmaakprofiel2 2 8 13 3" xfId="44264"/>
    <cellStyle name="Data   - Opmaakprofiel2 2 8 13 4" xfId="28819"/>
    <cellStyle name="Data   - Opmaakprofiel2 2 8 13 5" xfId="55168"/>
    <cellStyle name="Data   - Opmaakprofiel2 2 8 14" xfId="13612"/>
    <cellStyle name="Data   - Opmaakprofiel2 2 8 2" xfId="871"/>
    <cellStyle name="Data   - Opmaakprofiel2 2 8 2 2" xfId="1430"/>
    <cellStyle name="Data   - Opmaakprofiel2 2 8 2 2 2" xfId="8565"/>
    <cellStyle name="Data   - Opmaakprofiel2 2 8 2 2 2 2" xfId="20863"/>
    <cellStyle name="Data   - Opmaakprofiel2 2 8 2 2 2 3" xfId="32915"/>
    <cellStyle name="Data   - Opmaakprofiel2 2 8 2 2 2 4" xfId="26758"/>
    <cellStyle name="Data   - Opmaakprofiel2 2 8 2 2 2 5" xfId="53530"/>
    <cellStyle name="Data   - Opmaakprofiel2 2 8 2 2 3" xfId="13617"/>
    <cellStyle name="Data   - Opmaakprofiel2 2 8 2 2 4" xfId="25669"/>
    <cellStyle name="Data   - Opmaakprofiel2 2 8 2 2 5" xfId="40435"/>
    <cellStyle name="Data   - Opmaakprofiel2 2 8 2 2 6" xfId="40546"/>
    <cellStyle name="Data   - Opmaakprofiel2 2 8 2 3" xfId="2882"/>
    <cellStyle name="Data   - Opmaakprofiel2 2 8 2 3 2" xfId="8566"/>
    <cellStyle name="Data   - Opmaakprofiel2 2 8 2 3 2 2" xfId="20864"/>
    <cellStyle name="Data   - Opmaakprofiel2 2 8 2 3 2 3" xfId="32916"/>
    <cellStyle name="Data   - Opmaakprofiel2 2 8 2 3 2 4" xfId="31739"/>
    <cellStyle name="Data   - Opmaakprofiel2 2 8 2 3 2 5" xfId="53531"/>
    <cellStyle name="Data   - Opmaakprofiel2 2 8 2 3 3" xfId="13618"/>
    <cellStyle name="Data   - Opmaakprofiel2 2 8 2 3 4" xfId="25670"/>
    <cellStyle name="Data   - Opmaakprofiel2 2 8 2 3 5" xfId="46021"/>
    <cellStyle name="Data   - Opmaakprofiel2 2 8 2 3 6" xfId="46103"/>
    <cellStyle name="Data   - Opmaakprofiel2 2 8 2 4" xfId="3735"/>
    <cellStyle name="Data   - Opmaakprofiel2 2 8 2 4 2" xfId="8567"/>
    <cellStyle name="Data   - Opmaakprofiel2 2 8 2 4 2 2" xfId="20865"/>
    <cellStyle name="Data   - Opmaakprofiel2 2 8 2 4 2 3" xfId="32917"/>
    <cellStyle name="Data   - Opmaakprofiel2 2 8 2 4 2 4" xfId="26765"/>
    <cellStyle name="Data   - Opmaakprofiel2 2 8 2 4 2 5" xfId="53532"/>
    <cellStyle name="Data   - Opmaakprofiel2 2 8 2 4 3" xfId="13619"/>
    <cellStyle name="Data   - Opmaakprofiel2 2 8 2 4 4" xfId="25671"/>
    <cellStyle name="Data   - Opmaakprofiel2 2 8 2 4 5" xfId="40434"/>
    <cellStyle name="Data   - Opmaakprofiel2 2 8 2 4 6" xfId="40555"/>
    <cellStyle name="Data   - Opmaakprofiel2 2 8 2 5" xfId="4633"/>
    <cellStyle name="Data   - Opmaakprofiel2 2 8 2 5 2" xfId="8568"/>
    <cellStyle name="Data   - Opmaakprofiel2 2 8 2 5 2 2" xfId="20866"/>
    <cellStyle name="Data   - Opmaakprofiel2 2 8 2 5 2 3" xfId="32918"/>
    <cellStyle name="Data   - Opmaakprofiel2 2 8 2 5 2 4" xfId="43038"/>
    <cellStyle name="Data   - Opmaakprofiel2 2 8 2 5 2 5" xfId="53533"/>
    <cellStyle name="Data   - Opmaakprofiel2 2 8 2 5 3" xfId="13620"/>
    <cellStyle name="Data   - Opmaakprofiel2 2 8 2 5 4" xfId="25672"/>
    <cellStyle name="Data   - Opmaakprofiel2 2 8 2 5 5" xfId="40433"/>
    <cellStyle name="Data   - Opmaakprofiel2 2 8 2 5 6" xfId="46109"/>
    <cellStyle name="Data   - Opmaakprofiel2 2 8 2 6" xfId="4634"/>
    <cellStyle name="Data   - Opmaakprofiel2 2 8 2 6 2" xfId="8569"/>
    <cellStyle name="Data   - Opmaakprofiel2 2 8 2 6 2 2" xfId="20867"/>
    <cellStyle name="Data   - Opmaakprofiel2 2 8 2 6 2 3" xfId="32919"/>
    <cellStyle name="Data   - Opmaakprofiel2 2 8 2 6 2 4" xfId="34359"/>
    <cellStyle name="Data   - Opmaakprofiel2 2 8 2 6 2 5" xfId="53534"/>
    <cellStyle name="Data   - Opmaakprofiel2 2 8 2 6 3" xfId="13621"/>
    <cellStyle name="Data   - Opmaakprofiel2 2 8 2 6 4" xfId="25673"/>
    <cellStyle name="Data   - Opmaakprofiel2 2 8 2 6 5" xfId="40432"/>
    <cellStyle name="Data   - Opmaakprofiel2 2 8 2 6 6" xfId="40563"/>
    <cellStyle name="Data   - Opmaakprofiel2 2 8 2 7" xfId="4635"/>
    <cellStyle name="Data   - Opmaakprofiel2 2 8 2 7 2" xfId="13622"/>
    <cellStyle name="Data   - Opmaakprofiel2 2 8 2 7 3" xfId="25674"/>
    <cellStyle name="Data   - Opmaakprofiel2 2 8 2 7 4" xfId="46020"/>
    <cellStyle name="Data   - Opmaakprofiel2 2 8 2 7 5" xfId="46115"/>
    <cellStyle name="Data   - Opmaakprofiel2 2 8 2 8" xfId="7398"/>
    <cellStyle name="Data   - Opmaakprofiel2 2 8 2 8 2" xfId="19696"/>
    <cellStyle name="Data   - Opmaakprofiel2 2 8 2 8 3" xfId="41499"/>
    <cellStyle name="Data   - Opmaakprofiel2 2 8 2 8 4" xfId="43525"/>
    <cellStyle name="Data   - Opmaakprofiel2 2 8 2 8 5" xfId="52368"/>
    <cellStyle name="Data   - Opmaakprofiel2 2 8 2 9" xfId="13616"/>
    <cellStyle name="Data   - Opmaakprofiel2 2 8 3" xfId="609"/>
    <cellStyle name="Data   - Opmaakprofiel2 2 8 3 2" xfId="1907"/>
    <cellStyle name="Data   - Opmaakprofiel2 2 8 3 2 2" xfId="8570"/>
    <cellStyle name="Data   - Opmaakprofiel2 2 8 3 2 2 2" xfId="20868"/>
    <cellStyle name="Data   - Opmaakprofiel2 2 8 3 2 2 3" xfId="32920"/>
    <cellStyle name="Data   - Opmaakprofiel2 2 8 3 2 2 4" xfId="43037"/>
    <cellStyle name="Data   - Opmaakprofiel2 2 8 3 2 2 5" xfId="53535"/>
    <cellStyle name="Data   - Opmaakprofiel2 2 8 3 2 3" xfId="13624"/>
    <cellStyle name="Data   - Opmaakprofiel2 2 8 3 2 4" xfId="25676"/>
    <cellStyle name="Data   - Opmaakprofiel2 2 8 3 2 5" xfId="46019"/>
    <cellStyle name="Data   - Opmaakprofiel2 2 8 3 2 6" xfId="40574"/>
    <cellStyle name="Data   - Opmaakprofiel2 2 8 3 3" xfId="2680"/>
    <cellStyle name="Data   - Opmaakprofiel2 2 8 3 3 2" xfId="8571"/>
    <cellStyle name="Data   - Opmaakprofiel2 2 8 3 3 2 2" xfId="20869"/>
    <cellStyle name="Data   - Opmaakprofiel2 2 8 3 3 2 3" xfId="32921"/>
    <cellStyle name="Data   - Opmaakprofiel2 2 8 3 3 2 4" xfId="26772"/>
    <cellStyle name="Data   - Opmaakprofiel2 2 8 3 3 2 5" xfId="53536"/>
    <cellStyle name="Data   - Opmaakprofiel2 2 8 3 3 3" xfId="13625"/>
    <cellStyle name="Data   - Opmaakprofiel2 2 8 3 3 4" xfId="25677"/>
    <cellStyle name="Data   - Opmaakprofiel2 2 8 3 3 5" xfId="40430"/>
    <cellStyle name="Data   - Opmaakprofiel2 2 8 3 3 6" xfId="40578"/>
    <cellStyle name="Data   - Opmaakprofiel2 2 8 3 4" xfId="3552"/>
    <cellStyle name="Data   - Opmaakprofiel2 2 8 3 4 2" xfId="8572"/>
    <cellStyle name="Data   - Opmaakprofiel2 2 8 3 4 2 2" xfId="20870"/>
    <cellStyle name="Data   - Opmaakprofiel2 2 8 3 4 2 3" xfId="32922"/>
    <cellStyle name="Data   - Opmaakprofiel2 2 8 3 4 2 4" xfId="43036"/>
    <cellStyle name="Data   - Opmaakprofiel2 2 8 3 4 2 5" xfId="53537"/>
    <cellStyle name="Data   - Opmaakprofiel2 2 8 3 4 3" xfId="13626"/>
    <cellStyle name="Data   - Opmaakprofiel2 2 8 3 4 4" xfId="25678"/>
    <cellStyle name="Data   - Opmaakprofiel2 2 8 3 4 5" xfId="46018"/>
    <cellStyle name="Data   - Opmaakprofiel2 2 8 3 4 6" xfId="46126"/>
    <cellStyle name="Data   - Opmaakprofiel2 2 8 3 5" xfId="4636"/>
    <cellStyle name="Data   - Opmaakprofiel2 2 8 3 5 2" xfId="8573"/>
    <cellStyle name="Data   - Opmaakprofiel2 2 8 3 5 2 2" xfId="20871"/>
    <cellStyle name="Data   - Opmaakprofiel2 2 8 3 5 2 3" xfId="32923"/>
    <cellStyle name="Data   - Opmaakprofiel2 2 8 3 5 2 4" xfId="34383"/>
    <cellStyle name="Data   - Opmaakprofiel2 2 8 3 5 2 5" xfId="53538"/>
    <cellStyle name="Data   - Opmaakprofiel2 2 8 3 5 3" xfId="13627"/>
    <cellStyle name="Data   - Opmaakprofiel2 2 8 3 5 4" xfId="25679"/>
    <cellStyle name="Data   - Opmaakprofiel2 2 8 3 5 5" xfId="40429"/>
    <cellStyle name="Data   - Opmaakprofiel2 2 8 3 5 6" xfId="40586"/>
    <cellStyle name="Data   - Opmaakprofiel2 2 8 3 6" xfId="4637"/>
    <cellStyle name="Data   - Opmaakprofiel2 2 8 3 6 2" xfId="8574"/>
    <cellStyle name="Data   - Opmaakprofiel2 2 8 3 6 2 2" xfId="20872"/>
    <cellStyle name="Data   - Opmaakprofiel2 2 8 3 6 2 3" xfId="32924"/>
    <cellStyle name="Data   - Opmaakprofiel2 2 8 3 6 2 4" xfId="43035"/>
    <cellStyle name="Data   - Opmaakprofiel2 2 8 3 6 2 5" xfId="53539"/>
    <cellStyle name="Data   - Opmaakprofiel2 2 8 3 6 3" xfId="13628"/>
    <cellStyle name="Data   - Opmaakprofiel2 2 8 3 6 4" xfId="25680"/>
    <cellStyle name="Data   - Opmaakprofiel2 2 8 3 6 5" xfId="46017"/>
    <cellStyle name="Data   - Opmaakprofiel2 2 8 3 6 6" xfId="46132"/>
    <cellStyle name="Data   - Opmaakprofiel2 2 8 3 7" xfId="4638"/>
    <cellStyle name="Data   - Opmaakprofiel2 2 8 3 7 2" xfId="13629"/>
    <cellStyle name="Data   - Opmaakprofiel2 2 8 3 7 3" xfId="25681"/>
    <cellStyle name="Data   - Opmaakprofiel2 2 8 3 7 4" xfId="40428"/>
    <cellStyle name="Data   - Opmaakprofiel2 2 8 3 7 5" xfId="40594"/>
    <cellStyle name="Data   - Opmaakprofiel2 2 8 3 8" xfId="7576"/>
    <cellStyle name="Data   - Opmaakprofiel2 2 8 3 8 2" xfId="19874"/>
    <cellStyle name="Data   - Opmaakprofiel2 2 8 3 8 3" xfId="41677"/>
    <cellStyle name="Data   - Opmaakprofiel2 2 8 3 8 4" xfId="43451"/>
    <cellStyle name="Data   - Opmaakprofiel2 2 8 3 8 5" xfId="52546"/>
    <cellStyle name="Data   - Opmaakprofiel2 2 8 3 9" xfId="13623"/>
    <cellStyle name="Data   - Opmaakprofiel2 2 8 4" xfId="510"/>
    <cellStyle name="Data   - Opmaakprofiel2 2 8 4 2" xfId="1478"/>
    <cellStyle name="Data   - Opmaakprofiel2 2 8 4 2 2" xfId="8575"/>
    <cellStyle name="Data   - Opmaakprofiel2 2 8 4 2 2 2" xfId="20873"/>
    <cellStyle name="Data   - Opmaakprofiel2 2 8 4 2 2 3" xfId="32925"/>
    <cellStyle name="Data   - Opmaakprofiel2 2 8 4 2 2 4" xfId="26779"/>
    <cellStyle name="Data   - Opmaakprofiel2 2 8 4 2 2 5" xfId="53540"/>
    <cellStyle name="Data   - Opmaakprofiel2 2 8 4 2 3" xfId="13631"/>
    <cellStyle name="Data   - Opmaakprofiel2 2 8 4 2 4" xfId="25683"/>
    <cellStyle name="Data   - Opmaakprofiel2 2 8 4 2 5" xfId="40427"/>
    <cellStyle name="Data   - Opmaakprofiel2 2 8 4 2 6" xfId="40603"/>
    <cellStyle name="Data   - Opmaakprofiel2 2 8 4 3" xfId="2581"/>
    <cellStyle name="Data   - Opmaakprofiel2 2 8 4 3 2" xfId="8576"/>
    <cellStyle name="Data   - Opmaakprofiel2 2 8 4 3 2 2" xfId="20874"/>
    <cellStyle name="Data   - Opmaakprofiel2 2 8 4 3 2 3" xfId="32926"/>
    <cellStyle name="Data   - Opmaakprofiel2 2 8 4 3 2 4" xfId="43034"/>
    <cellStyle name="Data   - Opmaakprofiel2 2 8 4 3 2 5" xfId="53541"/>
    <cellStyle name="Data   - Opmaakprofiel2 2 8 4 3 3" xfId="13632"/>
    <cellStyle name="Data   - Opmaakprofiel2 2 8 4 3 4" xfId="25684"/>
    <cellStyle name="Data   - Opmaakprofiel2 2 8 4 3 5" xfId="40426"/>
    <cellStyle name="Data   - Opmaakprofiel2 2 8 4 3 6" xfId="46143"/>
    <cellStyle name="Data   - Opmaakprofiel2 2 8 4 4" xfId="3464"/>
    <cellStyle name="Data   - Opmaakprofiel2 2 8 4 4 2" xfId="8577"/>
    <cellStyle name="Data   - Opmaakprofiel2 2 8 4 4 2 2" xfId="20875"/>
    <cellStyle name="Data   - Opmaakprofiel2 2 8 4 4 2 3" xfId="32927"/>
    <cellStyle name="Data   - Opmaakprofiel2 2 8 4 4 2 4" xfId="31554"/>
    <cellStyle name="Data   - Opmaakprofiel2 2 8 4 4 2 5" xfId="53542"/>
    <cellStyle name="Data   - Opmaakprofiel2 2 8 4 4 3" xfId="13633"/>
    <cellStyle name="Data   - Opmaakprofiel2 2 8 4 4 4" xfId="25685"/>
    <cellStyle name="Data   - Opmaakprofiel2 2 8 4 4 5" xfId="40425"/>
    <cellStyle name="Data   - Opmaakprofiel2 2 8 4 4 6" xfId="40611"/>
    <cellStyle name="Data   - Opmaakprofiel2 2 8 4 5" xfId="4639"/>
    <cellStyle name="Data   - Opmaakprofiel2 2 8 4 5 2" xfId="8578"/>
    <cellStyle name="Data   - Opmaakprofiel2 2 8 4 5 2 2" xfId="20876"/>
    <cellStyle name="Data   - Opmaakprofiel2 2 8 4 5 2 3" xfId="32928"/>
    <cellStyle name="Data   - Opmaakprofiel2 2 8 4 5 2 4" xfId="26786"/>
    <cellStyle name="Data   - Opmaakprofiel2 2 8 4 5 2 5" xfId="53543"/>
    <cellStyle name="Data   - Opmaakprofiel2 2 8 4 5 3" xfId="13634"/>
    <cellStyle name="Data   - Opmaakprofiel2 2 8 4 5 4" xfId="25686"/>
    <cellStyle name="Data   - Opmaakprofiel2 2 8 4 5 5" xfId="46016"/>
    <cellStyle name="Data   - Opmaakprofiel2 2 8 4 5 6" xfId="46149"/>
    <cellStyle name="Data   - Opmaakprofiel2 2 8 4 6" xfId="4640"/>
    <cellStyle name="Data   - Opmaakprofiel2 2 8 4 6 2" xfId="8579"/>
    <cellStyle name="Data   - Opmaakprofiel2 2 8 4 6 2 2" xfId="20877"/>
    <cellStyle name="Data   - Opmaakprofiel2 2 8 4 6 2 3" xfId="32929"/>
    <cellStyle name="Data   - Opmaakprofiel2 2 8 4 6 2 4" xfId="31527"/>
    <cellStyle name="Data   - Opmaakprofiel2 2 8 4 6 2 5" xfId="53544"/>
    <cellStyle name="Data   - Opmaakprofiel2 2 8 4 6 3" xfId="13635"/>
    <cellStyle name="Data   - Opmaakprofiel2 2 8 4 6 4" xfId="25687"/>
    <cellStyle name="Data   - Opmaakprofiel2 2 8 4 6 5" xfId="40424"/>
    <cellStyle name="Data   - Opmaakprofiel2 2 8 4 6 6" xfId="40619"/>
    <cellStyle name="Data   - Opmaakprofiel2 2 8 4 7" xfId="4641"/>
    <cellStyle name="Data   - Opmaakprofiel2 2 8 4 7 2" xfId="13636"/>
    <cellStyle name="Data   - Opmaakprofiel2 2 8 4 7 3" xfId="25688"/>
    <cellStyle name="Data   - Opmaakprofiel2 2 8 4 7 4" xfId="46015"/>
    <cellStyle name="Data   - Opmaakprofiel2 2 8 4 7 5" xfId="40625"/>
    <cellStyle name="Data   - Opmaakprofiel2 2 8 4 8" xfId="7643"/>
    <cellStyle name="Data   - Opmaakprofiel2 2 8 4 8 2" xfId="19941"/>
    <cellStyle name="Data   - Opmaakprofiel2 2 8 4 8 3" xfId="41744"/>
    <cellStyle name="Data   - Opmaakprofiel2 2 8 4 8 4" xfId="31682"/>
    <cellStyle name="Data   - Opmaakprofiel2 2 8 4 8 5" xfId="52613"/>
    <cellStyle name="Data   - Opmaakprofiel2 2 8 4 9" xfId="13630"/>
    <cellStyle name="Data   - Opmaakprofiel2 2 8 5" xfId="529"/>
    <cellStyle name="Data   - Opmaakprofiel2 2 8 5 2" xfId="2389"/>
    <cellStyle name="Data   - Opmaakprofiel2 2 8 5 2 2" xfId="8580"/>
    <cellStyle name="Data   - Opmaakprofiel2 2 8 5 2 2 2" xfId="20878"/>
    <cellStyle name="Data   - Opmaakprofiel2 2 8 5 2 2 3" xfId="32930"/>
    <cellStyle name="Data   - Opmaakprofiel2 2 8 5 2 2 4" xfId="43033"/>
    <cellStyle name="Data   - Opmaakprofiel2 2 8 5 2 2 5" xfId="53545"/>
    <cellStyle name="Data   - Opmaakprofiel2 2 8 5 2 3" xfId="13638"/>
    <cellStyle name="Data   - Opmaakprofiel2 2 8 5 2 4" xfId="25690"/>
    <cellStyle name="Data   - Opmaakprofiel2 2 8 5 2 5" xfId="46014"/>
    <cellStyle name="Data   - Opmaakprofiel2 2 8 5 2 6" xfId="40633"/>
    <cellStyle name="Data   - Opmaakprofiel2 2 8 5 3" xfId="2600"/>
    <cellStyle name="Data   - Opmaakprofiel2 2 8 5 3 2" xfId="8581"/>
    <cellStyle name="Data   - Opmaakprofiel2 2 8 5 3 2 2" xfId="20879"/>
    <cellStyle name="Data   - Opmaakprofiel2 2 8 5 3 2 3" xfId="32931"/>
    <cellStyle name="Data   - Opmaakprofiel2 2 8 5 3 2 4" xfId="26796"/>
    <cellStyle name="Data   - Opmaakprofiel2 2 8 5 3 2 5" xfId="53546"/>
    <cellStyle name="Data   - Opmaakprofiel2 2 8 5 3 3" xfId="13639"/>
    <cellStyle name="Data   - Opmaakprofiel2 2 8 5 3 4" xfId="25691"/>
    <cellStyle name="Data   - Opmaakprofiel2 2 8 5 3 5" xfId="40422"/>
    <cellStyle name="Data   - Opmaakprofiel2 2 8 5 3 6" xfId="40637"/>
    <cellStyle name="Data   - Opmaakprofiel2 2 8 5 4" xfId="3481"/>
    <cellStyle name="Data   - Opmaakprofiel2 2 8 5 4 2" xfId="8582"/>
    <cellStyle name="Data   - Opmaakprofiel2 2 8 5 4 2 2" xfId="20880"/>
    <cellStyle name="Data   - Opmaakprofiel2 2 8 5 4 2 3" xfId="32932"/>
    <cellStyle name="Data   - Opmaakprofiel2 2 8 5 4 2 4" xfId="43032"/>
    <cellStyle name="Data   - Opmaakprofiel2 2 8 5 4 2 5" xfId="53547"/>
    <cellStyle name="Data   - Opmaakprofiel2 2 8 5 4 3" xfId="13640"/>
    <cellStyle name="Data   - Opmaakprofiel2 2 8 5 4 4" xfId="25692"/>
    <cellStyle name="Data   - Opmaakprofiel2 2 8 5 4 5" xfId="46013"/>
    <cellStyle name="Data   - Opmaakprofiel2 2 8 5 4 6" xfId="46167"/>
    <cellStyle name="Data   - Opmaakprofiel2 2 8 5 5" xfId="4642"/>
    <cellStyle name="Data   - Opmaakprofiel2 2 8 5 5 2" xfId="8583"/>
    <cellStyle name="Data   - Opmaakprofiel2 2 8 5 5 2 2" xfId="20881"/>
    <cellStyle name="Data   - Opmaakprofiel2 2 8 5 5 2 3" xfId="32933"/>
    <cellStyle name="Data   - Opmaakprofiel2 2 8 5 5 2 4" xfId="34546"/>
    <cellStyle name="Data   - Opmaakprofiel2 2 8 5 5 2 5" xfId="53548"/>
    <cellStyle name="Data   - Opmaakprofiel2 2 8 5 5 3" xfId="13641"/>
    <cellStyle name="Data   - Opmaakprofiel2 2 8 5 5 4" xfId="25693"/>
    <cellStyle name="Data   - Opmaakprofiel2 2 8 5 5 5" xfId="40421"/>
    <cellStyle name="Data   - Opmaakprofiel2 2 8 5 5 6" xfId="40643"/>
    <cellStyle name="Data   - Opmaakprofiel2 2 8 5 6" xfId="4643"/>
    <cellStyle name="Data   - Opmaakprofiel2 2 8 5 6 2" xfId="8584"/>
    <cellStyle name="Data   - Opmaakprofiel2 2 8 5 6 2 2" xfId="20882"/>
    <cellStyle name="Data   - Opmaakprofiel2 2 8 5 6 2 3" xfId="32934"/>
    <cellStyle name="Data   - Opmaakprofiel2 2 8 5 6 2 4" xfId="43031"/>
    <cellStyle name="Data   - Opmaakprofiel2 2 8 5 6 2 5" xfId="53549"/>
    <cellStyle name="Data   - Opmaakprofiel2 2 8 5 6 3" xfId="13642"/>
    <cellStyle name="Data   - Opmaakprofiel2 2 8 5 6 4" xfId="25694"/>
    <cellStyle name="Data   - Opmaakprofiel2 2 8 5 6 5" xfId="46012"/>
    <cellStyle name="Data   - Opmaakprofiel2 2 8 5 6 6" xfId="40649"/>
    <cellStyle name="Data   - Opmaakprofiel2 2 8 5 7" xfId="4644"/>
    <cellStyle name="Data   - Opmaakprofiel2 2 8 5 7 2" xfId="13643"/>
    <cellStyle name="Data   - Opmaakprofiel2 2 8 5 7 3" xfId="25695"/>
    <cellStyle name="Data   - Opmaakprofiel2 2 8 5 7 4" xfId="40420"/>
    <cellStyle name="Data   - Opmaakprofiel2 2 8 5 7 5" xfId="46175"/>
    <cellStyle name="Data   - Opmaakprofiel2 2 8 5 8" xfId="7630"/>
    <cellStyle name="Data   - Opmaakprofiel2 2 8 5 8 2" xfId="19928"/>
    <cellStyle name="Data   - Opmaakprofiel2 2 8 5 8 3" xfId="41731"/>
    <cellStyle name="Data   - Opmaakprofiel2 2 8 5 8 4" xfId="34398"/>
    <cellStyle name="Data   - Opmaakprofiel2 2 8 5 8 5" xfId="52600"/>
    <cellStyle name="Data   - Opmaakprofiel2 2 8 5 9" xfId="13637"/>
    <cellStyle name="Data   - Opmaakprofiel2 2 8 6" xfId="1246"/>
    <cellStyle name="Data   - Opmaakprofiel2 2 8 6 2" xfId="2197"/>
    <cellStyle name="Data   - Opmaakprofiel2 2 8 6 2 2" xfId="8585"/>
    <cellStyle name="Data   - Opmaakprofiel2 2 8 6 2 2 2" xfId="20883"/>
    <cellStyle name="Data   - Opmaakprofiel2 2 8 6 2 2 3" xfId="32935"/>
    <cellStyle name="Data   - Opmaakprofiel2 2 8 6 2 2 4" xfId="26800"/>
    <cellStyle name="Data   - Opmaakprofiel2 2 8 6 2 2 5" xfId="53550"/>
    <cellStyle name="Data   - Opmaakprofiel2 2 8 6 2 3" xfId="13645"/>
    <cellStyle name="Data   - Opmaakprofiel2 2 8 6 2 4" xfId="25697"/>
    <cellStyle name="Data   - Opmaakprofiel2 2 8 6 2 5" xfId="40418"/>
    <cellStyle name="Data   - Opmaakprofiel2 2 8 6 2 6" xfId="46181"/>
    <cellStyle name="Data   - Opmaakprofiel2 2 8 6 3" xfId="3257"/>
    <cellStyle name="Data   - Opmaakprofiel2 2 8 6 3 2" xfId="8586"/>
    <cellStyle name="Data   - Opmaakprofiel2 2 8 6 3 2 2" xfId="20884"/>
    <cellStyle name="Data   - Opmaakprofiel2 2 8 6 3 2 3" xfId="32936"/>
    <cellStyle name="Data   - Opmaakprofiel2 2 8 6 3 2 4" xfId="43030"/>
    <cellStyle name="Data   - Opmaakprofiel2 2 8 6 3 2 5" xfId="53551"/>
    <cellStyle name="Data   - Opmaakprofiel2 2 8 6 3 3" xfId="13646"/>
    <cellStyle name="Data   - Opmaakprofiel2 2 8 6 3 4" xfId="25698"/>
    <cellStyle name="Data   - Opmaakprofiel2 2 8 6 3 5" xfId="46011"/>
    <cellStyle name="Data   - Opmaakprofiel2 2 8 6 3 6" xfId="40664"/>
    <cellStyle name="Data   - Opmaakprofiel2 2 8 6 4" xfId="4070"/>
    <cellStyle name="Data   - Opmaakprofiel2 2 8 6 4 2" xfId="8587"/>
    <cellStyle name="Data   - Opmaakprofiel2 2 8 6 4 2 2" xfId="20885"/>
    <cellStyle name="Data   - Opmaakprofiel2 2 8 6 4 2 3" xfId="32937"/>
    <cellStyle name="Data   - Opmaakprofiel2 2 8 6 4 2 4" xfId="31738"/>
    <cellStyle name="Data   - Opmaakprofiel2 2 8 6 4 2 5" xfId="53552"/>
    <cellStyle name="Data   - Opmaakprofiel2 2 8 6 4 3" xfId="13647"/>
    <cellStyle name="Data   - Opmaakprofiel2 2 8 6 4 4" xfId="25699"/>
    <cellStyle name="Data   - Opmaakprofiel2 2 8 6 4 5" xfId="40417"/>
    <cellStyle name="Data   - Opmaakprofiel2 2 8 6 4 6" xfId="40667"/>
    <cellStyle name="Data   - Opmaakprofiel2 2 8 6 5" xfId="4645"/>
    <cellStyle name="Data   - Opmaakprofiel2 2 8 6 5 2" xfId="8588"/>
    <cellStyle name="Data   - Opmaakprofiel2 2 8 6 5 2 2" xfId="20886"/>
    <cellStyle name="Data   - Opmaakprofiel2 2 8 6 5 2 3" xfId="32938"/>
    <cellStyle name="Data   - Opmaakprofiel2 2 8 6 5 2 4" xfId="43029"/>
    <cellStyle name="Data   - Opmaakprofiel2 2 8 6 5 2 5" xfId="53553"/>
    <cellStyle name="Data   - Opmaakprofiel2 2 8 6 5 3" xfId="13648"/>
    <cellStyle name="Data   - Opmaakprofiel2 2 8 6 5 4" xfId="25700"/>
    <cellStyle name="Data   - Opmaakprofiel2 2 8 6 5 5" xfId="46010"/>
    <cellStyle name="Data   - Opmaakprofiel2 2 8 6 5 6" xfId="40673"/>
    <cellStyle name="Data   - Opmaakprofiel2 2 8 6 6" xfId="4646"/>
    <cellStyle name="Data   - Opmaakprofiel2 2 8 6 6 2" xfId="8589"/>
    <cellStyle name="Data   - Opmaakprofiel2 2 8 6 6 2 2" xfId="20887"/>
    <cellStyle name="Data   - Opmaakprofiel2 2 8 6 6 2 3" xfId="32939"/>
    <cellStyle name="Data   - Opmaakprofiel2 2 8 6 6 2 4" xfId="26807"/>
    <cellStyle name="Data   - Opmaakprofiel2 2 8 6 6 2 5" xfId="53554"/>
    <cellStyle name="Data   - Opmaakprofiel2 2 8 6 6 3" xfId="13649"/>
    <cellStyle name="Data   - Opmaakprofiel2 2 8 6 6 4" xfId="25701"/>
    <cellStyle name="Data   - Opmaakprofiel2 2 8 6 6 5" xfId="40416"/>
    <cellStyle name="Data   - Opmaakprofiel2 2 8 6 6 6" xfId="46193"/>
    <cellStyle name="Data   - Opmaakprofiel2 2 8 6 7" xfId="4647"/>
    <cellStyle name="Data   - Opmaakprofiel2 2 8 6 7 2" xfId="13650"/>
    <cellStyle name="Data   - Opmaakprofiel2 2 8 6 7 3" xfId="25702"/>
    <cellStyle name="Data   - Opmaakprofiel2 2 8 6 7 4" xfId="40415"/>
    <cellStyle name="Data   - Opmaakprofiel2 2 8 6 7 5" xfId="46196"/>
    <cellStyle name="Data   - Opmaakprofiel2 2 8 6 8" xfId="7128"/>
    <cellStyle name="Data   - Opmaakprofiel2 2 8 6 8 2" xfId="19426"/>
    <cellStyle name="Data   - Opmaakprofiel2 2 8 6 8 3" xfId="41229"/>
    <cellStyle name="Data   - Opmaakprofiel2 2 8 6 8 4" xfId="36959"/>
    <cellStyle name="Data   - Opmaakprofiel2 2 8 6 8 5" xfId="52099"/>
    <cellStyle name="Data   - Opmaakprofiel2 2 8 6 9" xfId="13644"/>
    <cellStyle name="Data   - Opmaakprofiel2 2 8 7" xfId="2397"/>
    <cellStyle name="Data   - Opmaakprofiel2 2 8 7 2" xfId="8590"/>
    <cellStyle name="Data   - Opmaakprofiel2 2 8 7 2 2" xfId="20888"/>
    <cellStyle name="Data   - Opmaakprofiel2 2 8 7 2 3" xfId="32940"/>
    <cellStyle name="Data   - Opmaakprofiel2 2 8 7 2 4" xfId="31672"/>
    <cellStyle name="Data   - Opmaakprofiel2 2 8 7 2 5" xfId="53555"/>
    <cellStyle name="Data   - Opmaakprofiel2 2 8 7 3" xfId="13651"/>
    <cellStyle name="Data   - Opmaakprofiel2 2 8 7 4" xfId="25703"/>
    <cellStyle name="Data   - Opmaakprofiel2 2 8 7 5" xfId="46009"/>
    <cellStyle name="Data   - Opmaakprofiel2 2 8 7 6" xfId="40684"/>
    <cellStyle name="Data   - Opmaakprofiel2 2 8 8" xfId="2762"/>
    <cellStyle name="Data   - Opmaakprofiel2 2 8 8 2" xfId="8591"/>
    <cellStyle name="Data   - Opmaakprofiel2 2 8 8 2 2" xfId="20889"/>
    <cellStyle name="Data   - Opmaakprofiel2 2 8 8 2 3" xfId="32941"/>
    <cellStyle name="Data   - Opmaakprofiel2 2 8 8 2 4" xfId="26814"/>
    <cellStyle name="Data   - Opmaakprofiel2 2 8 8 2 5" xfId="53556"/>
    <cellStyle name="Data   - Opmaakprofiel2 2 8 8 3" xfId="13652"/>
    <cellStyle name="Data   - Opmaakprofiel2 2 8 8 4" xfId="25704"/>
    <cellStyle name="Data   - Opmaakprofiel2 2 8 8 5" xfId="40414"/>
    <cellStyle name="Data   - Opmaakprofiel2 2 8 8 6" xfId="40689"/>
    <cellStyle name="Data   - Opmaakprofiel2 2 8 9" xfId="3624"/>
    <cellStyle name="Data   - Opmaakprofiel2 2 8 9 2" xfId="8592"/>
    <cellStyle name="Data   - Opmaakprofiel2 2 8 9 2 2" xfId="20890"/>
    <cellStyle name="Data   - Opmaakprofiel2 2 8 9 2 3" xfId="32942"/>
    <cellStyle name="Data   - Opmaakprofiel2 2 8 9 2 4" xfId="43028"/>
    <cellStyle name="Data   - Opmaakprofiel2 2 8 9 2 5" xfId="53557"/>
    <cellStyle name="Data   - Opmaakprofiel2 2 8 9 3" xfId="13653"/>
    <cellStyle name="Data   - Opmaakprofiel2 2 8 9 4" xfId="25705"/>
    <cellStyle name="Data   - Opmaakprofiel2 2 8 9 5" xfId="46008"/>
    <cellStyle name="Data   - Opmaakprofiel2 2 8 9 6" xfId="46203"/>
    <cellStyle name="Data   - Opmaakprofiel2 2 9" xfId="693"/>
    <cellStyle name="Data   - Opmaakprofiel2 2 9 10" xfId="4648"/>
    <cellStyle name="Data   - Opmaakprofiel2 2 9 10 2" xfId="8593"/>
    <cellStyle name="Data   - Opmaakprofiel2 2 9 10 2 2" xfId="20891"/>
    <cellStyle name="Data   - Opmaakprofiel2 2 9 10 2 3" xfId="32943"/>
    <cellStyle name="Data   - Opmaakprofiel2 2 9 10 2 4" xfId="34258"/>
    <cellStyle name="Data   - Opmaakprofiel2 2 9 10 2 5" xfId="53558"/>
    <cellStyle name="Data   - Opmaakprofiel2 2 9 10 3" xfId="13655"/>
    <cellStyle name="Data   - Opmaakprofiel2 2 9 10 4" xfId="25707"/>
    <cellStyle name="Data   - Opmaakprofiel2 2 9 10 5" xfId="46007"/>
    <cellStyle name="Data   - Opmaakprofiel2 2 9 10 6" xfId="40701"/>
    <cellStyle name="Data   - Opmaakprofiel2 2 9 11" xfId="4649"/>
    <cellStyle name="Data   - Opmaakprofiel2 2 9 11 2" xfId="8594"/>
    <cellStyle name="Data   - Opmaakprofiel2 2 9 11 2 2" xfId="20892"/>
    <cellStyle name="Data   - Opmaakprofiel2 2 9 11 2 3" xfId="32944"/>
    <cellStyle name="Data   - Opmaakprofiel2 2 9 11 2 4" xfId="43027"/>
    <cellStyle name="Data   - Opmaakprofiel2 2 9 11 2 5" xfId="53559"/>
    <cellStyle name="Data   - Opmaakprofiel2 2 9 11 3" xfId="13656"/>
    <cellStyle name="Data   - Opmaakprofiel2 2 9 11 4" xfId="25708"/>
    <cellStyle name="Data   - Opmaakprofiel2 2 9 11 5" xfId="40412"/>
    <cellStyle name="Data   - Opmaakprofiel2 2 9 11 6" xfId="46212"/>
    <cellStyle name="Data   - Opmaakprofiel2 2 9 12" xfId="4650"/>
    <cellStyle name="Data   - Opmaakprofiel2 2 9 12 2" xfId="13657"/>
    <cellStyle name="Data   - Opmaakprofiel2 2 9 12 3" xfId="25709"/>
    <cellStyle name="Data   - Opmaakprofiel2 2 9 12 4" xfId="40411"/>
    <cellStyle name="Data   - Opmaakprofiel2 2 9 12 5" xfId="40709"/>
    <cellStyle name="Data   - Opmaakprofiel2 2 9 13" xfId="7519"/>
    <cellStyle name="Data   - Opmaakprofiel2 2 9 13 2" xfId="19817"/>
    <cellStyle name="Data   - Opmaakprofiel2 2 9 13 3" xfId="41620"/>
    <cellStyle name="Data   - Opmaakprofiel2 2 9 13 4" xfId="43475"/>
    <cellStyle name="Data   - Opmaakprofiel2 2 9 13 5" xfId="52489"/>
    <cellStyle name="Data   - Opmaakprofiel2 2 9 14" xfId="13654"/>
    <cellStyle name="Data   - Opmaakprofiel2 2 9 2" xfId="866"/>
    <cellStyle name="Data   - Opmaakprofiel2 2 9 2 2" xfId="1433"/>
    <cellStyle name="Data   - Opmaakprofiel2 2 9 2 2 2" xfId="8595"/>
    <cellStyle name="Data   - Opmaakprofiel2 2 9 2 2 2 2" xfId="20893"/>
    <cellStyle name="Data   - Opmaakprofiel2 2 9 2 2 2 3" xfId="32945"/>
    <cellStyle name="Data   - Opmaakprofiel2 2 9 2 2 2 4" xfId="26821"/>
    <cellStyle name="Data   - Opmaakprofiel2 2 9 2 2 2 5" xfId="53560"/>
    <cellStyle name="Data   - Opmaakprofiel2 2 9 2 2 3" xfId="13659"/>
    <cellStyle name="Data   - Opmaakprofiel2 2 9 2 2 4" xfId="25711"/>
    <cellStyle name="Data   - Opmaakprofiel2 2 9 2 2 5" xfId="40410"/>
    <cellStyle name="Data   - Opmaakprofiel2 2 9 2 2 6" xfId="46219"/>
    <cellStyle name="Data   - Opmaakprofiel2 2 9 2 3" xfId="2877"/>
    <cellStyle name="Data   - Opmaakprofiel2 2 9 2 3 2" xfId="8596"/>
    <cellStyle name="Data   - Opmaakprofiel2 2 9 2 3 2 2" xfId="20894"/>
    <cellStyle name="Data   - Opmaakprofiel2 2 9 2 3 2 3" xfId="32946"/>
    <cellStyle name="Data   - Opmaakprofiel2 2 9 2 3 2 4" xfId="34244"/>
    <cellStyle name="Data   - Opmaakprofiel2 2 9 2 3 2 5" xfId="53561"/>
    <cellStyle name="Data   - Opmaakprofiel2 2 9 2 3 3" xfId="13660"/>
    <cellStyle name="Data   - Opmaakprofiel2 2 9 2 3 4" xfId="25712"/>
    <cellStyle name="Data   - Opmaakprofiel2 2 9 2 3 5" xfId="46005"/>
    <cellStyle name="Data   - Opmaakprofiel2 2 9 2 3 6" xfId="46223"/>
    <cellStyle name="Data   - Opmaakprofiel2 2 9 2 4" xfId="3730"/>
    <cellStyle name="Data   - Opmaakprofiel2 2 9 2 4 2" xfId="8597"/>
    <cellStyle name="Data   - Opmaakprofiel2 2 9 2 4 2 2" xfId="20895"/>
    <cellStyle name="Data   - Opmaakprofiel2 2 9 2 4 2 3" xfId="32947"/>
    <cellStyle name="Data   - Opmaakprofiel2 2 9 2 4 2 4" xfId="43026"/>
    <cellStyle name="Data   - Opmaakprofiel2 2 9 2 4 2 5" xfId="53562"/>
    <cellStyle name="Data   - Opmaakprofiel2 2 9 2 4 3" xfId="13661"/>
    <cellStyle name="Data   - Opmaakprofiel2 2 9 2 4 4" xfId="25713"/>
    <cellStyle name="Data   - Opmaakprofiel2 2 9 2 4 5" xfId="40409"/>
    <cellStyle name="Data   - Opmaakprofiel2 2 9 2 4 6" xfId="46226"/>
    <cellStyle name="Data   - Opmaakprofiel2 2 9 2 5" xfId="4651"/>
    <cellStyle name="Data   - Opmaakprofiel2 2 9 2 5 2" xfId="8598"/>
    <cellStyle name="Data   - Opmaakprofiel2 2 9 2 5 2 2" xfId="20896"/>
    <cellStyle name="Data   - Opmaakprofiel2 2 9 2 5 2 3" xfId="32948"/>
    <cellStyle name="Data   - Opmaakprofiel2 2 9 2 5 2 4" xfId="26828"/>
    <cellStyle name="Data   - Opmaakprofiel2 2 9 2 5 2 5" xfId="53563"/>
    <cellStyle name="Data   - Opmaakprofiel2 2 9 2 5 3" xfId="13662"/>
    <cellStyle name="Data   - Opmaakprofiel2 2 9 2 5 4" xfId="25714"/>
    <cellStyle name="Data   - Opmaakprofiel2 2 9 2 5 5" xfId="46004"/>
    <cellStyle name="Data   - Opmaakprofiel2 2 9 2 5 6" xfId="46229"/>
    <cellStyle name="Data   - Opmaakprofiel2 2 9 2 6" xfId="4652"/>
    <cellStyle name="Data   - Opmaakprofiel2 2 9 2 6 2" xfId="8599"/>
    <cellStyle name="Data   - Opmaakprofiel2 2 9 2 6 2 2" xfId="20897"/>
    <cellStyle name="Data   - Opmaakprofiel2 2 9 2 6 2 3" xfId="32949"/>
    <cellStyle name="Data   - Opmaakprofiel2 2 9 2 6 2 4" xfId="43025"/>
    <cellStyle name="Data   - Opmaakprofiel2 2 9 2 6 2 5" xfId="53564"/>
    <cellStyle name="Data   - Opmaakprofiel2 2 9 2 6 3" xfId="13663"/>
    <cellStyle name="Data   - Opmaakprofiel2 2 9 2 6 4" xfId="25715"/>
    <cellStyle name="Data   - Opmaakprofiel2 2 9 2 6 5" xfId="40408"/>
    <cellStyle name="Data   - Opmaakprofiel2 2 9 2 6 6" xfId="40734"/>
    <cellStyle name="Data   - Opmaakprofiel2 2 9 2 7" xfId="4653"/>
    <cellStyle name="Data   - Opmaakprofiel2 2 9 2 7 2" xfId="13664"/>
    <cellStyle name="Data   - Opmaakprofiel2 2 9 2 7 3" xfId="25716"/>
    <cellStyle name="Data   - Opmaakprofiel2 2 9 2 7 4" xfId="46003"/>
    <cellStyle name="Data   - Opmaakprofiel2 2 9 2 7 5" xfId="40738"/>
    <cellStyle name="Data   - Opmaakprofiel2 2 9 2 8" xfId="7401"/>
    <cellStyle name="Data   - Opmaakprofiel2 2 9 2 8 2" xfId="19699"/>
    <cellStyle name="Data   - Opmaakprofiel2 2 9 2 8 3" xfId="41502"/>
    <cellStyle name="Data   - Opmaakprofiel2 2 9 2 8 4" xfId="15577"/>
    <cellStyle name="Data   - Opmaakprofiel2 2 9 2 8 5" xfId="52371"/>
    <cellStyle name="Data   - Opmaakprofiel2 2 9 2 9" xfId="13658"/>
    <cellStyle name="Data   - Opmaakprofiel2 2 9 3" xfId="412"/>
    <cellStyle name="Data   - Opmaakprofiel2 2 9 3 2" xfId="2004"/>
    <cellStyle name="Data   - Opmaakprofiel2 2 9 3 2 2" xfId="8600"/>
    <cellStyle name="Data   - Opmaakprofiel2 2 9 3 2 2 2" xfId="20898"/>
    <cellStyle name="Data   - Opmaakprofiel2 2 9 3 2 2 3" xfId="32950"/>
    <cellStyle name="Data   - Opmaakprofiel2 2 9 3 2 2 4" xfId="34585"/>
    <cellStyle name="Data   - Opmaakprofiel2 2 9 3 2 2 5" xfId="53565"/>
    <cellStyle name="Data   - Opmaakprofiel2 2 9 3 2 3" xfId="13666"/>
    <cellStyle name="Data   - Opmaakprofiel2 2 9 3 2 4" xfId="25718"/>
    <cellStyle name="Data   - Opmaakprofiel2 2 9 3 2 5" xfId="46002"/>
    <cellStyle name="Data   - Opmaakprofiel2 2 9 3 2 6" xfId="40744"/>
    <cellStyle name="Data   - Opmaakprofiel2 2 9 3 3" xfId="2483"/>
    <cellStyle name="Data   - Opmaakprofiel2 2 9 3 3 2" xfId="8601"/>
    <cellStyle name="Data   - Opmaakprofiel2 2 9 3 3 2 2" xfId="20899"/>
    <cellStyle name="Data   - Opmaakprofiel2 2 9 3 3 2 3" xfId="32951"/>
    <cellStyle name="Data   - Opmaakprofiel2 2 9 3 3 2 4" xfId="43024"/>
    <cellStyle name="Data   - Opmaakprofiel2 2 9 3 3 2 5" xfId="53566"/>
    <cellStyle name="Data   - Opmaakprofiel2 2 9 3 3 3" xfId="13667"/>
    <cellStyle name="Data   - Opmaakprofiel2 2 9 3 3 4" xfId="25719"/>
    <cellStyle name="Data   - Opmaakprofiel2 2 9 3 3 5" xfId="40406"/>
    <cellStyle name="Data   - Opmaakprofiel2 2 9 3 3 6" xfId="46241"/>
    <cellStyle name="Data   - Opmaakprofiel2 2 9 3 4" xfId="2216"/>
    <cellStyle name="Data   - Opmaakprofiel2 2 9 3 4 2" xfId="8602"/>
    <cellStyle name="Data   - Opmaakprofiel2 2 9 3 4 2 2" xfId="20900"/>
    <cellStyle name="Data   - Opmaakprofiel2 2 9 3 4 2 3" xfId="32952"/>
    <cellStyle name="Data   - Opmaakprofiel2 2 9 3 4 2 4" xfId="26838"/>
    <cellStyle name="Data   - Opmaakprofiel2 2 9 3 4 2 5" xfId="53567"/>
    <cellStyle name="Data   - Opmaakprofiel2 2 9 3 4 3" xfId="13668"/>
    <cellStyle name="Data   - Opmaakprofiel2 2 9 3 4 4" xfId="25720"/>
    <cellStyle name="Data   - Opmaakprofiel2 2 9 3 4 5" xfId="40405"/>
    <cellStyle name="Data   - Opmaakprofiel2 2 9 3 4 6" xfId="40753"/>
    <cellStyle name="Data   - Opmaakprofiel2 2 9 3 5" xfId="4654"/>
    <cellStyle name="Data   - Opmaakprofiel2 2 9 3 5 2" xfId="8603"/>
    <cellStyle name="Data   - Opmaakprofiel2 2 9 3 5 2 2" xfId="20901"/>
    <cellStyle name="Data   - Opmaakprofiel2 2 9 3 5 2 3" xfId="32953"/>
    <cellStyle name="Data   - Opmaakprofiel2 2 9 3 5 2 4" xfId="34475"/>
    <cellStyle name="Data   - Opmaakprofiel2 2 9 3 5 2 5" xfId="53568"/>
    <cellStyle name="Data   - Opmaakprofiel2 2 9 3 5 3" xfId="13669"/>
    <cellStyle name="Data   - Opmaakprofiel2 2 9 3 5 4" xfId="25721"/>
    <cellStyle name="Data   - Opmaakprofiel2 2 9 3 5 5" xfId="40404"/>
    <cellStyle name="Data   - Opmaakprofiel2 2 9 3 5 6" xfId="46247"/>
    <cellStyle name="Data   - Opmaakprofiel2 2 9 3 6" xfId="4655"/>
    <cellStyle name="Data   - Opmaakprofiel2 2 9 3 6 2" xfId="8604"/>
    <cellStyle name="Data   - Opmaakprofiel2 2 9 3 6 2 2" xfId="20902"/>
    <cellStyle name="Data   - Opmaakprofiel2 2 9 3 6 2 3" xfId="32954"/>
    <cellStyle name="Data   - Opmaakprofiel2 2 9 3 6 2 4" xfId="43023"/>
    <cellStyle name="Data   - Opmaakprofiel2 2 9 3 6 2 5" xfId="53569"/>
    <cellStyle name="Data   - Opmaakprofiel2 2 9 3 6 3" xfId="13670"/>
    <cellStyle name="Data   - Opmaakprofiel2 2 9 3 6 4" xfId="25722"/>
    <cellStyle name="Data   - Opmaakprofiel2 2 9 3 6 5" xfId="46001"/>
    <cellStyle name="Data   - Opmaakprofiel2 2 9 3 6 6" xfId="40761"/>
    <cellStyle name="Data   - Opmaakprofiel2 2 9 3 7" xfId="4656"/>
    <cellStyle name="Data   - Opmaakprofiel2 2 9 3 7 2" xfId="13671"/>
    <cellStyle name="Data   - Opmaakprofiel2 2 9 3 7 3" xfId="25723"/>
    <cellStyle name="Data   - Opmaakprofiel2 2 9 3 7 4" xfId="40403"/>
    <cellStyle name="Data   - Opmaakprofiel2 2 9 3 7 5" xfId="46253"/>
    <cellStyle name="Data   - Opmaakprofiel2 2 9 3 8" xfId="10396"/>
    <cellStyle name="Data   - Opmaakprofiel2 2 9 3 8 2" xfId="22694"/>
    <cellStyle name="Data   - Opmaakprofiel2 2 9 3 8 3" xfId="44454"/>
    <cellStyle name="Data   - Opmaakprofiel2 2 9 3 8 4" xfId="42292"/>
    <cellStyle name="Data   - Opmaakprofiel2 2 9 3 8 5" xfId="55361"/>
    <cellStyle name="Data   - Opmaakprofiel2 2 9 3 9" xfId="13665"/>
    <cellStyle name="Data   - Opmaakprofiel2 2 9 4" xfId="423"/>
    <cellStyle name="Data   - Opmaakprofiel2 2 9 4 2" xfId="2059"/>
    <cellStyle name="Data   - Opmaakprofiel2 2 9 4 2 2" xfId="8605"/>
    <cellStyle name="Data   - Opmaakprofiel2 2 9 4 2 2 2" xfId="20903"/>
    <cellStyle name="Data   - Opmaakprofiel2 2 9 4 2 2 3" xfId="32955"/>
    <cellStyle name="Data   - Opmaakprofiel2 2 9 4 2 2 4" xfId="26842"/>
    <cellStyle name="Data   - Opmaakprofiel2 2 9 4 2 2 5" xfId="53570"/>
    <cellStyle name="Data   - Opmaakprofiel2 2 9 4 2 3" xfId="13673"/>
    <cellStyle name="Data   - Opmaakprofiel2 2 9 4 2 4" xfId="25725"/>
    <cellStyle name="Data   - Opmaakprofiel2 2 9 4 2 5" xfId="40402"/>
    <cellStyle name="Data   - Opmaakprofiel2 2 9 4 2 6" xfId="40773"/>
    <cellStyle name="Data   - Opmaakprofiel2 2 9 4 3" xfId="2494"/>
    <cellStyle name="Data   - Opmaakprofiel2 2 9 4 3 2" xfId="8606"/>
    <cellStyle name="Data   - Opmaakprofiel2 2 9 4 3 2 2" xfId="20904"/>
    <cellStyle name="Data   - Opmaakprofiel2 2 9 4 3 2 3" xfId="32956"/>
    <cellStyle name="Data   - Opmaakprofiel2 2 9 4 3 2 4" xfId="43022"/>
    <cellStyle name="Data   - Opmaakprofiel2 2 9 4 3 2 5" xfId="53571"/>
    <cellStyle name="Data   - Opmaakprofiel2 2 9 4 3 3" xfId="13674"/>
    <cellStyle name="Data   - Opmaakprofiel2 2 9 4 3 4" xfId="25726"/>
    <cellStyle name="Data   - Opmaakprofiel2 2 9 4 3 5" xfId="45999"/>
    <cellStyle name="Data   - Opmaakprofiel2 2 9 4 3 6" xfId="40777"/>
    <cellStyle name="Data   - Opmaakprofiel2 2 9 4 4" xfId="1673"/>
    <cellStyle name="Data   - Opmaakprofiel2 2 9 4 4 2" xfId="8607"/>
    <cellStyle name="Data   - Opmaakprofiel2 2 9 4 4 2 2" xfId="20905"/>
    <cellStyle name="Data   - Opmaakprofiel2 2 9 4 4 2 3" xfId="32957"/>
    <cellStyle name="Data   - Opmaakprofiel2 2 9 4 4 2 4" xfId="34368"/>
    <cellStyle name="Data   - Opmaakprofiel2 2 9 4 4 2 5" xfId="53572"/>
    <cellStyle name="Data   - Opmaakprofiel2 2 9 4 4 3" xfId="13675"/>
    <cellStyle name="Data   - Opmaakprofiel2 2 9 4 4 4" xfId="25727"/>
    <cellStyle name="Data   - Opmaakprofiel2 2 9 4 4 5" xfId="40401"/>
    <cellStyle name="Data   - Opmaakprofiel2 2 9 4 4 6" xfId="46263"/>
    <cellStyle name="Data   - Opmaakprofiel2 2 9 4 5" xfId="4657"/>
    <cellStyle name="Data   - Opmaakprofiel2 2 9 4 5 2" xfId="8608"/>
    <cellStyle name="Data   - Opmaakprofiel2 2 9 4 5 2 2" xfId="20906"/>
    <cellStyle name="Data   - Opmaakprofiel2 2 9 4 5 2 3" xfId="32958"/>
    <cellStyle name="Data   - Opmaakprofiel2 2 9 4 5 2 4" xfId="43021"/>
    <cellStyle name="Data   - Opmaakprofiel2 2 9 4 5 2 5" xfId="53573"/>
    <cellStyle name="Data   - Opmaakprofiel2 2 9 4 5 3" xfId="13676"/>
    <cellStyle name="Data   - Opmaakprofiel2 2 9 4 5 4" xfId="25728"/>
    <cellStyle name="Data   - Opmaakprofiel2 2 9 4 5 5" xfId="45998"/>
    <cellStyle name="Data   - Opmaakprofiel2 2 9 4 5 6" xfId="40785"/>
    <cellStyle name="Data   - Opmaakprofiel2 2 9 4 6" xfId="4658"/>
    <cellStyle name="Data   - Opmaakprofiel2 2 9 4 6 2" xfId="8609"/>
    <cellStyle name="Data   - Opmaakprofiel2 2 9 4 6 2 2" xfId="20907"/>
    <cellStyle name="Data   - Opmaakprofiel2 2 9 4 6 2 3" xfId="32959"/>
    <cellStyle name="Data   - Opmaakprofiel2 2 9 4 6 2 4" xfId="26849"/>
    <cellStyle name="Data   - Opmaakprofiel2 2 9 4 6 2 5" xfId="53574"/>
    <cellStyle name="Data   - Opmaakprofiel2 2 9 4 6 3" xfId="13677"/>
    <cellStyle name="Data   - Opmaakprofiel2 2 9 4 6 4" xfId="25729"/>
    <cellStyle name="Data   - Opmaakprofiel2 2 9 4 6 5" xfId="40400"/>
    <cellStyle name="Data   - Opmaakprofiel2 2 9 4 6 6" xfId="46269"/>
    <cellStyle name="Data   - Opmaakprofiel2 2 9 4 7" xfId="4659"/>
    <cellStyle name="Data   - Opmaakprofiel2 2 9 4 7 2" xfId="13678"/>
    <cellStyle name="Data   - Opmaakprofiel2 2 9 4 7 3" xfId="25730"/>
    <cellStyle name="Data   - Opmaakprofiel2 2 9 4 7 4" xfId="45997"/>
    <cellStyle name="Data   - Opmaakprofiel2 2 9 4 7 5" xfId="40793"/>
    <cellStyle name="Data   - Opmaakprofiel2 2 9 4 8" xfId="7700"/>
    <cellStyle name="Data   - Opmaakprofiel2 2 9 4 8 2" xfId="19998"/>
    <cellStyle name="Data   - Opmaakprofiel2 2 9 4 8 3" xfId="41801"/>
    <cellStyle name="Data   - Opmaakprofiel2 2 9 4 8 4" xfId="43399"/>
    <cellStyle name="Data   - Opmaakprofiel2 2 9 4 8 5" xfId="52670"/>
    <cellStyle name="Data   - Opmaakprofiel2 2 9 4 9" xfId="13672"/>
    <cellStyle name="Data   - Opmaakprofiel2 2 9 5" xfId="836"/>
    <cellStyle name="Data   - Opmaakprofiel2 2 9 5 2" xfId="1456"/>
    <cellStyle name="Data   - Opmaakprofiel2 2 9 5 2 2" xfId="8610"/>
    <cellStyle name="Data   - Opmaakprofiel2 2 9 5 2 2 2" xfId="20908"/>
    <cellStyle name="Data   - Opmaakprofiel2 2 9 5 2 2 3" xfId="32960"/>
    <cellStyle name="Data   - Opmaakprofiel2 2 9 5 2 2 4" xfId="43020"/>
    <cellStyle name="Data   - Opmaakprofiel2 2 9 5 2 2 5" xfId="53575"/>
    <cellStyle name="Data   - Opmaakprofiel2 2 9 5 2 3" xfId="13680"/>
    <cellStyle name="Data   - Opmaakprofiel2 2 9 5 2 4" xfId="25732"/>
    <cellStyle name="Data   - Opmaakprofiel2 2 9 5 2 5" xfId="40399"/>
    <cellStyle name="Data   - Opmaakprofiel2 2 9 5 2 6" xfId="40802"/>
    <cellStyle name="Data   - Opmaakprofiel2 2 9 5 3" xfId="2847"/>
    <cellStyle name="Data   - Opmaakprofiel2 2 9 5 3 2" xfId="8611"/>
    <cellStyle name="Data   - Opmaakprofiel2 2 9 5 3 2 2" xfId="20909"/>
    <cellStyle name="Data   - Opmaakprofiel2 2 9 5 3 2 3" xfId="32961"/>
    <cellStyle name="Data   - Opmaakprofiel2 2 9 5 3 2 4" xfId="31610"/>
    <cellStyle name="Data   - Opmaakprofiel2 2 9 5 3 2 5" xfId="53576"/>
    <cellStyle name="Data   - Opmaakprofiel2 2 9 5 3 3" xfId="13681"/>
    <cellStyle name="Data   - Opmaakprofiel2 2 9 5 3 4" xfId="25733"/>
    <cellStyle name="Data   - Opmaakprofiel2 2 9 5 3 5" xfId="40398"/>
    <cellStyle name="Data   - Opmaakprofiel2 2 9 5 3 6" xfId="46280"/>
    <cellStyle name="Data   - Opmaakprofiel2 2 9 5 4" xfId="3702"/>
    <cellStyle name="Data   - Opmaakprofiel2 2 9 5 4 2" xfId="8612"/>
    <cellStyle name="Data   - Opmaakprofiel2 2 9 5 4 2 2" xfId="20910"/>
    <cellStyle name="Data   - Opmaakprofiel2 2 9 5 4 2 3" xfId="32962"/>
    <cellStyle name="Data   - Opmaakprofiel2 2 9 5 4 2 4" xfId="43019"/>
    <cellStyle name="Data   - Opmaakprofiel2 2 9 5 4 2 5" xfId="53577"/>
    <cellStyle name="Data   - Opmaakprofiel2 2 9 5 4 3" xfId="13682"/>
    <cellStyle name="Data   - Opmaakprofiel2 2 9 5 4 4" xfId="25734"/>
    <cellStyle name="Data   - Opmaakprofiel2 2 9 5 4 5" xfId="45996"/>
    <cellStyle name="Data   - Opmaakprofiel2 2 9 5 4 6" xfId="40813"/>
    <cellStyle name="Data   - Opmaakprofiel2 2 9 5 5" xfId="4660"/>
    <cellStyle name="Data   - Opmaakprofiel2 2 9 5 5 2" xfId="8613"/>
    <cellStyle name="Data   - Opmaakprofiel2 2 9 5 5 2 2" xfId="20911"/>
    <cellStyle name="Data   - Opmaakprofiel2 2 9 5 5 2 3" xfId="32963"/>
    <cellStyle name="Data   - Opmaakprofiel2 2 9 5 5 2 4" xfId="26856"/>
    <cellStyle name="Data   - Opmaakprofiel2 2 9 5 5 2 5" xfId="53578"/>
    <cellStyle name="Data   - Opmaakprofiel2 2 9 5 5 3" xfId="13683"/>
    <cellStyle name="Data   - Opmaakprofiel2 2 9 5 5 4" xfId="25735"/>
    <cellStyle name="Data   - Opmaakprofiel2 2 9 5 5 5" xfId="40397"/>
    <cellStyle name="Data   - Opmaakprofiel2 2 9 5 5 6" xfId="46286"/>
    <cellStyle name="Data   - Opmaakprofiel2 2 9 5 6" xfId="4661"/>
    <cellStyle name="Data   - Opmaakprofiel2 2 9 5 6 2" xfId="8614"/>
    <cellStyle name="Data   - Opmaakprofiel2 2 9 5 6 2 2" xfId="20912"/>
    <cellStyle name="Data   - Opmaakprofiel2 2 9 5 6 2 3" xfId="32964"/>
    <cellStyle name="Data   - Opmaakprofiel2 2 9 5 6 2 4" xfId="34573"/>
    <cellStyle name="Data   - Opmaakprofiel2 2 9 5 6 2 5" xfId="53579"/>
    <cellStyle name="Data   - Opmaakprofiel2 2 9 5 6 3" xfId="13684"/>
    <cellStyle name="Data   - Opmaakprofiel2 2 9 5 6 4" xfId="25736"/>
    <cellStyle name="Data   - Opmaakprofiel2 2 9 5 6 5" xfId="45995"/>
    <cellStyle name="Data   - Opmaakprofiel2 2 9 5 6 6" xfId="46290"/>
    <cellStyle name="Data   - Opmaakprofiel2 2 9 5 7" xfId="4662"/>
    <cellStyle name="Data   - Opmaakprofiel2 2 9 5 7 2" xfId="13685"/>
    <cellStyle name="Data   - Opmaakprofiel2 2 9 5 7 3" xfId="25737"/>
    <cellStyle name="Data   - Opmaakprofiel2 2 9 5 7 4" xfId="40396"/>
    <cellStyle name="Data   - Opmaakprofiel2 2 9 5 7 5" xfId="40824"/>
    <cellStyle name="Data   - Opmaakprofiel2 2 9 5 8" xfId="7423"/>
    <cellStyle name="Data   - Opmaakprofiel2 2 9 5 8 2" xfId="19721"/>
    <cellStyle name="Data   - Opmaakprofiel2 2 9 5 8 3" xfId="41524"/>
    <cellStyle name="Data   - Opmaakprofiel2 2 9 5 8 4" xfId="15565"/>
    <cellStyle name="Data   - Opmaakprofiel2 2 9 5 8 5" xfId="52393"/>
    <cellStyle name="Data   - Opmaakprofiel2 2 9 5 9" xfId="13679"/>
    <cellStyle name="Data   - Opmaakprofiel2 2 9 6" xfId="1064"/>
    <cellStyle name="Data   - Opmaakprofiel2 2 9 6 2" xfId="2097"/>
    <cellStyle name="Data   - Opmaakprofiel2 2 9 6 2 2" xfId="8615"/>
    <cellStyle name="Data   - Opmaakprofiel2 2 9 6 2 2 2" xfId="20913"/>
    <cellStyle name="Data   - Opmaakprofiel2 2 9 6 2 2 3" xfId="32965"/>
    <cellStyle name="Data   - Opmaakprofiel2 2 9 6 2 2 4" xfId="26863"/>
    <cellStyle name="Data   - Opmaakprofiel2 2 9 6 2 2 5" xfId="53580"/>
    <cellStyle name="Data   - Opmaakprofiel2 2 9 6 2 3" xfId="13687"/>
    <cellStyle name="Data   - Opmaakprofiel2 2 9 6 2 4" xfId="25739"/>
    <cellStyle name="Data   - Opmaakprofiel2 2 9 6 2 5" xfId="40395"/>
    <cellStyle name="Data   - Opmaakprofiel2 2 9 6 2 6" xfId="40832"/>
    <cellStyle name="Data   - Opmaakprofiel2 2 9 6 3" xfId="3075"/>
    <cellStyle name="Data   - Opmaakprofiel2 2 9 6 3 2" xfId="8616"/>
    <cellStyle name="Data   - Opmaakprofiel2 2 9 6 3 2 2" xfId="20914"/>
    <cellStyle name="Data   - Opmaakprofiel2 2 9 6 3 2 3" xfId="32966"/>
    <cellStyle name="Data   - Opmaakprofiel2 2 9 6 3 2 4" xfId="43018"/>
    <cellStyle name="Data   - Opmaakprofiel2 2 9 6 3 2 5" xfId="53581"/>
    <cellStyle name="Data   - Opmaakprofiel2 2 9 6 3 3" xfId="13688"/>
    <cellStyle name="Data   - Opmaakprofiel2 2 9 6 3 4" xfId="25740"/>
    <cellStyle name="Data   - Opmaakprofiel2 2 9 6 3 5" xfId="45993"/>
    <cellStyle name="Data   - Opmaakprofiel2 2 9 6 3 6" xfId="40836"/>
    <cellStyle name="Data   - Opmaakprofiel2 2 9 6 4" xfId="3914"/>
    <cellStyle name="Data   - Opmaakprofiel2 2 9 6 4 2" xfId="8617"/>
    <cellStyle name="Data   - Opmaakprofiel2 2 9 6 4 2 2" xfId="20915"/>
    <cellStyle name="Data   - Opmaakprofiel2 2 9 6 4 2 3" xfId="32967"/>
    <cellStyle name="Data   - Opmaakprofiel2 2 9 6 4 2 4" xfId="31483"/>
    <cellStyle name="Data   - Opmaakprofiel2 2 9 6 4 2 5" xfId="53582"/>
    <cellStyle name="Data   - Opmaakprofiel2 2 9 6 4 3" xfId="13689"/>
    <cellStyle name="Data   - Opmaakprofiel2 2 9 6 4 4" xfId="25741"/>
    <cellStyle name="Data   - Opmaakprofiel2 2 9 6 4 5" xfId="40394"/>
    <cellStyle name="Data   - Opmaakprofiel2 2 9 6 4 6" xfId="46302"/>
    <cellStyle name="Data   - Opmaakprofiel2 2 9 6 5" xfId="4663"/>
    <cellStyle name="Data   - Opmaakprofiel2 2 9 6 5 2" xfId="8618"/>
    <cellStyle name="Data   - Opmaakprofiel2 2 9 6 5 2 2" xfId="20916"/>
    <cellStyle name="Data   - Opmaakprofiel2 2 9 6 5 2 3" xfId="32968"/>
    <cellStyle name="Data   - Opmaakprofiel2 2 9 6 5 2 4" xfId="43017"/>
    <cellStyle name="Data   - Opmaakprofiel2 2 9 6 5 2 5" xfId="53583"/>
    <cellStyle name="Data   - Opmaakprofiel2 2 9 6 5 3" xfId="13690"/>
    <cellStyle name="Data   - Opmaakprofiel2 2 9 6 5 4" xfId="25742"/>
    <cellStyle name="Data   - Opmaakprofiel2 2 9 6 5 5" xfId="45992"/>
    <cellStyle name="Data   - Opmaakprofiel2 2 9 6 5 6" xfId="46306"/>
    <cellStyle name="Data   - Opmaakprofiel2 2 9 6 6" xfId="4664"/>
    <cellStyle name="Data   - Opmaakprofiel2 2 9 6 6 2" xfId="8619"/>
    <cellStyle name="Data   - Opmaakprofiel2 2 9 6 6 2 2" xfId="20917"/>
    <cellStyle name="Data   - Opmaakprofiel2 2 9 6 6 2 3" xfId="32969"/>
    <cellStyle name="Data   - Opmaakprofiel2 2 9 6 6 2 4" xfId="26870"/>
    <cellStyle name="Data   - Opmaakprofiel2 2 9 6 6 2 5" xfId="53584"/>
    <cellStyle name="Data   - Opmaakprofiel2 2 9 6 6 3" xfId="13691"/>
    <cellStyle name="Data   - Opmaakprofiel2 2 9 6 6 4" xfId="25743"/>
    <cellStyle name="Data   - Opmaakprofiel2 2 9 6 6 5" xfId="40393"/>
    <cellStyle name="Data   - Opmaakprofiel2 2 9 6 6 6" xfId="40848"/>
    <cellStyle name="Data   - Opmaakprofiel2 2 9 6 7" xfId="4665"/>
    <cellStyle name="Data   - Opmaakprofiel2 2 9 6 7 2" xfId="13692"/>
    <cellStyle name="Data   - Opmaakprofiel2 2 9 6 7 3" xfId="25744"/>
    <cellStyle name="Data   - Opmaakprofiel2 2 9 6 7 4" xfId="40392"/>
    <cellStyle name="Data   - Opmaakprofiel2 2 9 6 7 5" xfId="40852"/>
    <cellStyle name="Data   - Opmaakprofiel2 2 9 6 8" xfId="9957"/>
    <cellStyle name="Data   - Opmaakprofiel2 2 9 6 8 2" xfId="22255"/>
    <cellStyle name="Data   - Opmaakprofiel2 2 9 6 8 3" xfId="44020"/>
    <cellStyle name="Data   - Opmaakprofiel2 2 9 6 8 4" xfId="28384"/>
    <cellStyle name="Data   - Opmaakprofiel2 2 9 6 8 5" xfId="54922"/>
    <cellStyle name="Data   - Opmaakprofiel2 2 9 6 9" xfId="13686"/>
    <cellStyle name="Data   - Opmaakprofiel2 2 9 7" xfId="2433"/>
    <cellStyle name="Data   - Opmaakprofiel2 2 9 7 2" xfId="8620"/>
    <cellStyle name="Data   - Opmaakprofiel2 2 9 7 2 2" xfId="20918"/>
    <cellStyle name="Data   - Opmaakprofiel2 2 9 7 2 3" xfId="32970"/>
    <cellStyle name="Data   - Opmaakprofiel2 2 9 7 2 4" xfId="43016"/>
    <cellStyle name="Data   - Opmaakprofiel2 2 9 7 2 5" xfId="53585"/>
    <cellStyle name="Data   - Opmaakprofiel2 2 9 7 3" xfId="13693"/>
    <cellStyle name="Data   - Opmaakprofiel2 2 9 7 4" xfId="25745"/>
    <cellStyle name="Data   - Opmaakprofiel2 2 9 7 5" xfId="40391"/>
    <cellStyle name="Data   - Opmaakprofiel2 2 9 7 6" xfId="40856"/>
    <cellStyle name="Data   - Opmaakprofiel2 2 9 8" xfId="2758"/>
    <cellStyle name="Data   - Opmaakprofiel2 2 9 8 2" xfId="8621"/>
    <cellStyle name="Data   - Opmaakprofiel2 2 9 8 2 2" xfId="20919"/>
    <cellStyle name="Data   - Opmaakprofiel2 2 9 8 2 3" xfId="32971"/>
    <cellStyle name="Data   - Opmaakprofiel2 2 9 8 2 4" xfId="31440"/>
    <cellStyle name="Data   - Opmaakprofiel2 2 9 8 2 5" xfId="53586"/>
    <cellStyle name="Data   - Opmaakprofiel2 2 9 8 3" xfId="13694"/>
    <cellStyle name="Data   - Opmaakprofiel2 2 9 8 4" xfId="25746"/>
    <cellStyle name="Data   - Opmaakprofiel2 2 9 8 5" xfId="45991"/>
    <cellStyle name="Data   - Opmaakprofiel2 2 9 8 6" xfId="46318"/>
    <cellStyle name="Data   - Opmaakprofiel2 2 9 9" xfId="3620"/>
    <cellStyle name="Data   - Opmaakprofiel2 2 9 9 2" xfId="8622"/>
    <cellStyle name="Data   - Opmaakprofiel2 2 9 9 2 2" xfId="20920"/>
    <cellStyle name="Data   - Opmaakprofiel2 2 9 9 2 3" xfId="32972"/>
    <cellStyle name="Data   - Opmaakprofiel2 2 9 9 2 4" xfId="43015"/>
    <cellStyle name="Data   - Opmaakprofiel2 2 9 9 2 5" xfId="53587"/>
    <cellStyle name="Data   - Opmaakprofiel2 2 9 9 3" xfId="13695"/>
    <cellStyle name="Data   - Opmaakprofiel2 2 9 9 4" xfId="25747"/>
    <cellStyle name="Data   - Opmaakprofiel2 2 9 9 5" xfId="40390"/>
    <cellStyle name="Data   - Opmaakprofiel2 2 9 9 6" xfId="46320"/>
    <cellStyle name="Data   - Opmaakprofiel2 3" xfId="224"/>
    <cellStyle name="Data   - Opmaakprofiel2 3 10" xfId="1000"/>
    <cellStyle name="Data   - Opmaakprofiel2 3 10 2" xfId="2407"/>
    <cellStyle name="Data   - Opmaakprofiel2 3 10 2 2" xfId="8623"/>
    <cellStyle name="Data   - Opmaakprofiel2 3 10 2 2 2" xfId="20921"/>
    <cellStyle name="Data   - Opmaakprofiel2 3 10 2 2 3" xfId="32973"/>
    <cellStyle name="Data   - Opmaakprofiel2 3 10 2 2 4" xfId="26880"/>
    <cellStyle name="Data   - Opmaakprofiel2 3 10 2 2 5" xfId="53588"/>
    <cellStyle name="Data   - Opmaakprofiel2 3 10 2 3" xfId="13698"/>
    <cellStyle name="Data   - Opmaakprofiel2 3 10 2 4" xfId="25750"/>
    <cellStyle name="Data   - Opmaakprofiel2 3 10 2 5" xfId="45989"/>
    <cellStyle name="Data   - Opmaakprofiel2 3 10 2 6" xfId="46329"/>
    <cellStyle name="Data   - Opmaakprofiel2 3 10 3" xfId="3011"/>
    <cellStyle name="Data   - Opmaakprofiel2 3 10 3 2" xfId="8624"/>
    <cellStyle name="Data   - Opmaakprofiel2 3 10 3 2 2" xfId="20922"/>
    <cellStyle name="Data   - Opmaakprofiel2 3 10 3 2 3" xfId="32974"/>
    <cellStyle name="Data   - Opmaakprofiel2 3 10 3 2 4" xfId="43014"/>
    <cellStyle name="Data   - Opmaakprofiel2 3 10 3 2 5" xfId="53589"/>
    <cellStyle name="Data   - Opmaakprofiel2 3 10 3 3" xfId="13699"/>
    <cellStyle name="Data   - Opmaakprofiel2 3 10 3 4" xfId="25751"/>
    <cellStyle name="Data   - Opmaakprofiel2 3 10 3 5" xfId="40388"/>
    <cellStyle name="Data   - Opmaakprofiel2 3 10 3 6" xfId="40880"/>
    <cellStyle name="Data   - Opmaakprofiel2 3 10 4" xfId="3857"/>
    <cellStyle name="Data   - Opmaakprofiel2 3 10 4 2" xfId="8625"/>
    <cellStyle name="Data   - Opmaakprofiel2 3 10 4 2 2" xfId="20923"/>
    <cellStyle name="Data   - Opmaakprofiel2 3 10 4 2 3" xfId="32975"/>
    <cellStyle name="Data   - Opmaakprofiel2 3 10 4 2 4" xfId="31817"/>
    <cellStyle name="Data   - Opmaakprofiel2 3 10 4 2 5" xfId="53590"/>
    <cellStyle name="Data   - Opmaakprofiel2 3 10 4 3" xfId="13700"/>
    <cellStyle name="Data   - Opmaakprofiel2 3 10 4 4" xfId="25752"/>
    <cellStyle name="Data   - Opmaakprofiel2 3 10 4 5" xfId="45988"/>
    <cellStyle name="Data   - Opmaakprofiel2 3 10 4 6" xfId="40884"/>
    <cellStyle name="Data   - Opmaakprofiel2 3 10 5" xfId="4666"/>
    <cellStyle name="Data   - Opmaakprofiel2 3 10 5 2" xfId="8626"/>
    <cellStyle name="Data   - Opmaakprofiel2 3 10 5 2 2" xfId="20924"/>
    <cellStyle name="Data   - Opmaakprofiel2 3 10 5 2 3" xfId="32976"/>
    <cellStyle name="Data   - Opmaakprofiel2 3 10 5 2 4" xfId="26884"/>
    <cellStyle name="Data   - Opmaakprofiel2 3 10 5 2 5" xfId="53591"/>
    <cellStyle name="Data   - Opmaakprofiel2 3 10 5 3" xfId="13701"/>
    <cellStyle name="Data   - Opmaakprofiel2 3 10 5 4" xfId="25753"/>
    <cellStyle name="Data   - Opmaakprofiel2 3 10 5 5" xfId="40387"/>
    <cellStyle name="Data   - Opmaakprofiel2 3 10 5 6" xfId="46336"/>
    <cellStyle name="Data   - Opmaakprofiel2 3 10 6" xfId="4667"/>
    <cellStyle name="Data   - Opmaakprofiel2 3 10 6 2" xfId="8627"/>
    <cellStyle name="Data   - Opmaakprofiel2 3 10 6 2 2" xfId="20925"/>
    <cellStyle name="Data   - Opmaakprofiel2 3 10 6 2 3" xfId="32977"/>
    <cellStyle name="Data   - Opmaakprofiel2 3 10 6 2 4" xfId="34394"/>
    <cellStyle name="Data   - Opmaakprofiel2 3 10 6 2 5" xfId="53592"/>
    <cellStyle name="Data   - Opmaakprofiel2 3 10 6 3" xfId="13702"/>
    <cellStyle name="Data   - Opmaakprofiel2 3 10 6 4" xfId="25754"/>
    <cellStyle name="Data   - Opmaakprofiel2 3 10 6 5" xfId="45987"/>
    <cellStyle name="Data   - Opmaakprofiel2 3 10 6 6" xfId="40892"/>
    <cellStyle name="Data   - Opmaakprofiel2 3 10 7" xfId="4668"/>
    <cellStyle name="Data   - Opmaakprofiel2 3 10 7 2" xfId="13703"/>
    <cellStyle name="Data   - Opmaakprofiel2 3 10 7 3" xfId="25755"/>
    <cellStyle name="Data   - Opmaakprofiel2 3 10 7 4" xfId="40386"/>
    <cellStyle name="Data   - Opmaakprofiel2 3 10 7 5" xfId="46343"/>
    <cellStyle name="Data   - Opmaakprofiel2 3 10 8" xfId="7312"/>
    <cellStyle name="Data   - Opmaakprofiel2 3 10 8 2" xfId="19610"/>
    <cellStyle name="Data   - Opmaakprofiel2 3 10 8 3" xfId="41413"/>
    <cellStyle name="Data   - Opmaakprofiel2 3 10 8 4" xfId="36852"/>
    <cellStyle name="Data   - Opmaakprofiel2 3 10 8 5" xfId="52282"/>
    <cellStyle name="Data   - Opmaakprofiel2 3 10 9" xfId="13697"/>
    <cellStyle name="Data   - Opmaakprofiel2 3 11" xfId="1176"/>
    <cellStyle name="Data   - Opmaakprofiel2 3 11 2" xfId="2351"/>
    <cellStyle name="Data   - Opmaakprofiel2 3 11 2 2" xfId="8628"/>
    <cellStyle name="Data   - Opmaakprofiel2 3 11 2 2 2" xfId="20926"/>
    <cellStyle name="Data   - Opmaakprofiel2 3 11 2 2 3" xfId="32978"/>
    <cellStyle name="Data   - Opmaakprofiel2 3 11 2 2 4" xfId="43013"/>
    <cellStyle name="Data   - Opmaakprofiel2 3 11 2 2 5" xfId="53593"/>
    <cellStyle name="Data   - Opmaakprofiel2 3 11 2 3" xfId="13705"/>
    <cellStyle name="Data   - Opmaakprofiel2 3 11 2 4" xfId="25757"/>
    <cellStyle name="Data   - Opmaakprofiel2 3 11 2 5" xfId="40384"/>
    <cellStyle name="Data   - Opmaakprofiel2 3 11 2 6" xfId="40903"/>
    <cellStyle name="Data   - Opmaakprofiel2 3 11 3" xfId="3187"/>
    <cellStyle name="Data   - Opmaakprofiel2 3 11 3 2" xfId="8629"/>
    <cellStyle name="Data   - Opmaakprofiel2 3 11 3 2 2" xfId="20927"/>
    <cellStyle name="Data   - Opmaakprofiel2 3 11 3 2 3" xfId="32979"/>
    <cellStyle name="Data   - Opmaakprofiel2 3 11 3 2 4" xfId="26891"/>
    <cellStyle name="Data   - Opmaakprofiel2 3 11 3 2 5" xfId="53594"/>
    <cellStyle name="Data   - Opmaakprofiel2 3 11 3 3" xfId="13706"/>
    <cellStyle name="Data   - Opmaakprofiel2 3 11 3 4" xfId="25758"/>
    <cellStyle name="Data   - Opmaakprofiel2 3 11 3 5" xfId="45986"/>
    <cellStyle name="Data   - Opmaakprofiel2 3 11 3 6" xfId="40907"/>
    <cellStyle name="Data   - Opmaakprofiel2 3 11 4" xfId="4006"/>
    <cellStyle name="Data   - Opmaakprofiel2 3 11 4 2" xfId="8630"/>
    <cellStyle name="Data   - Opmaakprofiel2 3 11 4 2 2" xfId="20928"/>
    <cellStyle name="Data   - Opmaakprofiel2 3 11 4 2 3" xfId="32980"/>
    <cellStyle name="Data   - Opmaakprofiel2 3 11 4 2 4" xfId="43012"/>
    <cellStyle name="Data   - Opmaakprofiel2 3 11 4 2 5" xfId="53595"/>
    <cellStyle name="Data   - Opmaakprofiel2 3 11 4 3" xfId="13707"/>
    <cellStyle name="Data   - Opmaakprofiel2 3 11 4 4" xfId="25759"/>
    <cellStyle name="Data   - Opmaakprofiel2 3 11 4 5" xfId="40383"/>
    <cellStyle name="Data   - Opmaakprofiel2 3 11 4 6" xfId="46354"/>
    <cellStyle name="Data   - Opmaakprofiel2 3 11 5" xfId="4669"/>
    <cellStyle name="Data   - Opmaakprofiel2 3 11 5 2" xfId="8631"/>
    <cellStyle name="Data   - Opmaakprofiel2 3 11 5 2 2" xfId="20929"/>
    <cellStyle name="Data   - Opmaakprofiel2 3 11 5 2 3" xfId="32981"/>
    <cellStyle name="Data   - Opmaakprofiel2 3 11 5 2 4" xfId="31639"/>
    <cellStyle name="Data   - Opmaakprofiel2 3 11 5 2 5" xfId="53596"/>
    <cellStyle name="Data   - Opmaakprofiel2 3 11 5 3" xfId="13708"/>
    <cellStyle name="Data   - Opmaakprofiel2 3 11 5 4" xfId="25760"/>
    <cellStyle name="Data   - Opmaakprofiel2 3 11 5 5" xfId="45985"/>
    <cellStyle name="Data   - Opmaakprofiel2 3 11 5 6" xfId="46358"/>
    <cellStyle name="Data   - Opmaakprofiel2 3 11 6" xfId="4670"/>
    <cellStyle name="Data   - Opmaakprofiel2 3 11 6 2" xfId="8632"/>
    <cellStyle name="Data   - Opmaakprofiel2 3 11 6 2 2" xfId="20930"/>
    <cellStyle name="Data   - Opmaakprofiel2 3 11 6 2 3" xfId="32982"/>
    <cellStyle name="Data   - Opmaakprofiel2 3 11 6 2 4" xfId="43011"/>
    <cellStyle name="Data   - Opmaakprofiel2 3 11 6 2 5" xfId="53597"/>
    <cellStyle name="Data   - Opmaakprofiel2 3 11 6 3" xfId="13709"/>
    <cellStyle name="Data   - Opmaakprofiel2 3 11 6 4" xfId="25761"/>
    <cellStyle name="Data   - Opmaakprofiel2 3 11 6 5" xfId="40382"/>
    <cellStyle name="Data   - Opmaakprofiel2 3 11 6 6" xfId="40919"/>
    <cellStyle name="Data   - Opmaakprofiel2 3 11 7" xfId="4671"/>
    <cellStyle name="Data   - Opmaakprofiel2 3 11 7 2" xfId="13710"/>
    <cellStyle name="Data   - Opmaakprofiel2 3 11 7 3" xfId="25762"/>
    <cellStyle name="Data   - Opmaakprofiel2 3 11 7 4" xfId="45984"/>
    <cellStyle name="Data   - Opmaakprofiel2 3 11 7 5" xfId="46364"/>
    <cellStyle name="Data   - Opmaakprofiel2 3 11 8" xfId="7192"/>
    <cellStyle name="Data   - Opmaakprofiel2 3 11 8 2" xfId="19490"/>
    <cellStyle name="Data   - Opmaakprofiel2 3 11 8 3" xfId="41293"/>
    <cellStyle name="Data   - Opmaakprofiel2 3 11 8 4" xfId="36922"/>
    <cellStyle name="Data   - Opmaakprofiel2 3 11 8 5" xfId="52162"/>
    <cellStyle name="Data   - Opmaakprofiel2 3 11 9" xfId="13704"/>
    <cellStyle name="Data   - Opmaakprofiel2 3 12" xfId="1277"/>
    <cellStyle name="Data   - Opmaakprofiel2 3 12 2" xfId="2203"/>
    <cellStyle name="Data   - Opmaakprofiel2 3 12 2 2" xfId="8633"/>
    <cellStyle name="Data   - Opmaakprofiel2 3 12 2 2 2" xfId="20931"/>
    <cellStyle name="Data   - Opmaakprofiel2 3 12 2 2 3" xfId="32983"/>
    <cellStyle name="Data   - Opmaakprofiel2 3 12 2 2 4" xfId="26898"/>
    <cellStyle name="Data   - Opmaakprofiel2 3 12 2 2 5" xfId="53598"/>
    <cellStyle name="Data   - Opmaakprofiel2 3 12 2 3" xfId="13712"/>
    <cellStyle name="Data   - Opmaakprofiel2 3 12 2 4" xfId="25764"/>
    <cellStyle name="Data   - Opmaakprofiel2 3 12 2 5" xfId="45983"/>
    <cellStyle name="Data   - Opmaakprofiel2 3 12 2 6" xfId="46370"/>
    <cellStyle name="Data   - Opmaakprofiel2 3 12 3" xfId="3288"/>
    <cellStyle name="Data   - Opmaakprofiel2 3 12 3 2" xfId="8634"/>
    <cellStyle name="Data   - Opmaakprofiel2 3 12 3 2 2" xfId="20932"/>
    <cellStyle name="Data   - Opmaakprofiel2 3 12 3 2 3" xfId="32984"/>
    <cellStyle name="Data   - Opmaakprofiel2 3 12 3 2 4" xfId="43010"/>
    <cellStyle name="Data   - Opmaakprofiel2 3 12 3 2 5" xfId="53599"/>
    <cellStyle name="Data   - Opmaakprofiel2 3 12 3 3" xfId="13713"/>
    <cellStyle name="Data   - Opmaakprofiel2 3 12 3 4" xfId="25765"/>
    <cellStyle name="Data   - Opmaakprofiel2 3 12 3 5" xfId="40380"/>
    <cellStyle name="Data   - Opmaakprofiel2 3 12 3 6" xfId="46372"/>
    <cellStyle name="Data   - Opmaakprofiel2 3 12 4" xfId="4087"/>
    <cellStyle name="Data   - Opmaakprofiel2 3 12 4 2" xfId="8635"/>
    <cellStyle name="Data   - Opmaakprofiel2 3 12 4 2 2" xfId="20933"/>
    <cellStyle name="Data   - Opmaakprofiel2 3 12 4 2 3" xfId="32985"/>
    <cellStyle name="Data   - Opmaakprofiel2 3 12 4 2 4" xfId="31707"/>
    <cellStyle name="Data   - Opmaakprofiel2 3 12 4 2 5" xfId="53600"/>
    <cellStyle name="Data   - Opmaakprofiel2 3 12 4 3" xfId="13714"/>
    <cellStyle name="Data   - Opmaakprofiel2 3 12 4 4" xfId="25766"/>
    <cellStyle name="Data   - Opmaakprofiel2 3 12 4 5" xfId="45982"/>
    <cellStyle name="Data   - Opmaakprofiel2 3 12 4 6" xfId="46376"/>
    <cellStyle name="Data   - Opmaakprofiel2 3 12 5" xfId="4672"/>
    <cellStyle name="Data   - Opmaakprofiel2 3 12 5 2" xfId="8636"/>
    <cellStyle name="Data   - Opmaakprofiel2 3 12 5 2 2" xfId="20934"/>
    <cellStyle name="Data   - Opmaakprofiel2 3 12 5 2 3" xfId="32986"/>
    <cellStyle name="Data   - Opmaakprofiel2 3 12 5 2 4" xfId="43009"/>
    <cellStyle name="Data   - Opmaakprofiel2 3 12 5 2 5" xfId="53601"/>
    <cellStyle name="Data   - Opmaakprofiel2 3 12 5 3" xfId="13715"/>
    <cellStyle name="Data   - Opmaakprofiel2 3 12 5 4" xfId="25767"/>
    <cellStyle name="Data   - Opmaakprofiel2 3 12 5 5" xfId="40379"/>
    <cellStyle name="Data   - Opmaakprofiel2 3 12 5 6" xfId="40943"/>
    <cellStyle name="Data   - Opmaakprofiel2 3 12 6" xfId="4673"/>
    <cellStyle name="Data   - Opmaakprofiel2 3 12 6 2" xfId="8637"/>
    <cellStyle name="Data   - Opmaakprofiel2 3 12 6 2 2" xfId="20935"/>
    <cellStyle name="Data   - Opmaakprofiel2 3 12 6 2 3" xfId="32987"/>
    <cellStyle name="Data   - Opmaakprofiel2 3 12 6 2 4" xfId="26905"/>
    <cellStyle name="Data   - Opmaakprofiel2 3 12 6 2 5" xfId="53602"/>
    <cellStyle name="Data   - Opmaakprofiel2 3 12 6 3" xfId="13716"/>
    <cellStyle name="Data   - Opmaakprofiel2 3 12 6 4" xfId="25768"/>
    <cellStyle name="Data   - Opmaakprofiel2 3 12 6 5" xfId="40378"/>
    <cellStyle name="Data   - Opmaakprofiel2 3 12 6 6" xfId="46382"/>
    <cellStyle name="Data   - Opmaakprofiel2 3 12 7" xfId="4674"/>
    <cellStyle name="Data   - Opmaakprofiel2 3 12 7 2" xfId="13717"/>
    <cellStyle name="Data   - Opmaakprofiel2 3 12 7 3" xfId="25769"/>
    <cellStyle name="Data   - Opmaakprofiel2 3 12 7 4" xfId="40377"/>
    <cellStyle name="Data   - Opmaakprofiel2 3 12 7 5" xfId="40951"/>
    <cellStyle name="Data   - Opmaakprofiel2 3 12 8" xfId="7099"/>
    <cellStyle name="Data   - Opmaakprofiel2 3 12 8 2" xfId="19397"/>
    <cellStyle name="Data   - Opmaakprofiel2 3 12 8 3" xfId="41200"/>
    <cellStyle name="Data   - Opmaakprofiel2 3 12 8 4" xfId="36976"/>
    <cellStyle name="Data   - Opmaakprofiel2 3 12 8 5" xfId="52070"/>
    <cellStyle name="Data   - Opmaakprofiel2 3 12 9" xfId="13711"/>
    <cellStyle name="Data   - Opmaakprofiel2 3 13" xfId="898"/>
    <cellStyle name="Data   - Opmaakprofiel2 3 13 2" xfId="1769"/>
    <cellStyle name="Data   - Opmaakprofiel2 3 13 2 2" xfId="8638"/>
    <cellStyle name="Data   - Opmaakprofiel2 3 13 2 2 2" xfId="20936"/>
    <cellStyle name="Data   - Opmaakprofiel2 3 13 2 2 3" xfId="32988"/>
    <cellStyle name="Data   - Opmaakprofiel2 3 13 2 2 4" xfId="31521"/>
    <cellStyle name="Data   - Opmaakprofiel2 3 13 2 2 5" xfId="53603"/>
    <cellStyle name="Data   - Opmaakprofiel2 3 13 2 3" xfId="13719"/>
    <cellStyle name="Data   - Opmaakprofiel2 3 13 2 4" xfId="25771"/>
    <cellStyle name="Data   - Opmaakprofiel2 3 13 2 5" xfId="40376"/>
    <cellStyle name="Data   - Opmaakprofiel2 3 13 2 6" xfId="46389"/>
    <cellStyle name="Data   - Opmaakprofiel2 3 13 3" xfId="2909"/>
    <cellStyle name="Data   - Opmaakprofiel2 3 13 3 2" xfId="8639"/>
    <cellStyle name="Data   - Opmaakprofiel2 3 13 3 2 2" xfId="20937"/>
    <cellStyle name="Data   - Opmaakprofiel2 3 13 3 2 3" xfId="32989"/>
    <cellStyle name="Data   - Opmaakprofiel2 3 13 3 2 4" xfId="26912"/>
    <cellStyle name="Data   - Opmaakprofiel2 3 13 3 2 5" xfId="53604"/>
    <cellStyle name="Data   - Opmaakprofiel2 3 13 3 3" xfId="13720"/>
    <cellStyle name="Data   - Opmaakprofiel2 3 13 3 4" xfId="25772"/>
    <cellStyle name="Data   - Opmaakprofiel2 3 13 3 5" xfId="45980"/>
    <cellStyle name="Data   - Opmaakprofiel2 3 13 3 6" xfId="46393"/>
    <cellStyle name="Data   - Opmaakprofiel2 3 13 4" xfId="3762"/>
    <cellStyle name="Data   - Opmaakprofiel2 3 13 4 2" xfId="8640"/>
    <cellStyle name="Data   - Opmaakprofiel2 3 13 4 2 2" xfId="20938"/>
    <cellStyle name="Data   - Opmaakprofiel2 3 13 4 2 3" xfId="32990"/>
    <cellStyle name="Data   - Opmaakprofiel2 3 13 4 2 4" xfId="43008"/>
    <cellStyle name="Data   - Opmaakprofiel2 3 13 4 2 5" xfId="53605"/>
    <cellStyle name="Data   - Opmaakprofiel2 3 13 4 3" xfId="13721"/>
    <cellStyle name="Data   - Opmaakprofiel2 3 13 4 4" xfId="25773"/>
    <cellStyle name="Data   - Opmaakprofiel2 3 13 4 5" xfId="40375"/>
    <cellStyle name="Data   - Opmaakprofiel2 3 13 4 6" xfId="40966"/>
    <cellStyle name="Data   - Opmaakprofiel2 3 13 5" xfId="4675"/>
    <cellStyle name="Data   - Opmaakprofiel2 3 13 5 2" xfId="8641"/>
    <cellStyle name="Data   - Opmaakprofiel2 3 13 5 2 2" xfId="20939"/>
    <cellStyle name="Data   - Opmaakprofiel2 3 13 5 2 3" xfId="32991"/>
    <cellStyle name="Data   - Opmaakprofiel2 3 13 5 2 4" xfId="34365"/>
    <cellStyle name="Data   - Opmaakprofiel2 3 13 5 2 5" xfId="53606"/>
    <cellStyle name="Data   - Opmaakprofiel2 3 13 5 3" xfId="13722"/>
    <cellStyle name="Data   - Opmaakprofiel2 3 13 5 4" xfId="25774"/>
    <cellStyle name="Data   - Opmaakprofiel2 3 13 5 5" xfId="40374"/>
    <cellStyle name="Data   - Opmaakprofiel2 3 13 5 6" xfId="46399"/>
    <cellStyle name="Data   - Opmaakprofiel2 3 13 6" xfId="4676"/>
    <cellStyle name="Data   - Opmaakprofiel2 3 13 6 2" xfId="8642"/>
    <cellStyle name="Data   - Opmaakprofiel2 3 13 6 2 2" xfId="20940"/>
    <cellStyle name="Data   - Opmaakprofiel2 3 13 6 2 3" xfId="32992"/>
    <cellStyle name="Data   - Opmaakprofiel2 3 13 6 2 4" xfId="43007"/>
    <cellStyle name="Data   - Opmaakprofiel2 3 13 6 2 5" xfId="53607"/>
    <cellStyle name="Data   - Opmaakprofiel2 3 13 6 3" xfId="13723"/>
    <cellStyle name="Data   - Opmaakprofiel2 3 13 6 4" xfId="25775"/>
    <cellStyle name="Data   - Opmaakprofiel2 3 13 6 5" xfId="45979"/>
    <cellStyle name="Data   - Opmaakprofiel2 3 13 6 6" xfId="40974"/>
    <cellStyle name="Data   - Opmaakprofiel2 3 13 7" xfId="4677"/>
    <cellStyle name="Data   - Opmaakprofiel2 3 13 7 2" xfId="13724"/>
    <cellStyle name="Data   - Opmaakprofiel2 3 13 7 3" xfId="25776"/>
    <cellStyle name="Data   - Opmaakprofiel2 3 13 7 4" xfId="40373"/>
    <cellStyle name="Data   - Opmaakprofiel2 3 13 7 5" xfId="46405"/>
    <cellStyle name="Data   - Opmaakprofiel2 3 13 8" xfId="7380"/>
    <cellStyle name="Data   - Opmaakprofiel2 3 13 8 2" xfId="19678"/>
    <cellStyle name="Data   - Opmaakprofiel2 3 13 8 3" xfId="41481"/>
    <cellStyle name="Data   - Opmaakprofiel2 3 13 8 4" xfId="43533"/>
    <cellStyle name="Data   - Opmaakprofiel2 3 13 8 5" xfId="52350"/>
    <cellStyle name="Data   - Opmaakprofiel2 3 13 9" xfId="13718"/>
    <cellStyle name="Data   - Opmaakprofiel2 3 14" xfId="1304"/>
    <cellStyle name="Data   - Opmaakprofiel2 3 14 2" xfId="2085"/>
    <cellStyle name="Data   - Opmaakprofiel2 3 14 2 2" xfId="8643"/>
    <cellStyle name="Data   - Opmaakprofiel2 3 14 2 2 2" xfId="20941"/>
    <cellStyle name="Data   - Opmaakprofiel2 3 14 2 2 3" xfId="32993"/>
    <cellStyle name="Data   - Opmaakprofiel2 3 14 2 2 4" xfId="26922"/>
    <cellStyle name="Data   - Opmaakprofiel2 3 14 2 2 5" xfId="53608"/>
    <cellStyle name="Data   - Opmaakprofiel2 3 14 2 3" xfId="13726"/>
    <cellStyle name="Data   - Opmaakprofiel2 3 14 2 4" xfId="25778"/>
    <cellStyle name="Data   - Opmaakprofiel2 3 14 2 5" xfId="40372"/>
    <cellStyle name="Data   - Opmaakprofiel2 3 14 2 6" xfId="46410"/>
    <cellStyle name="Data   - Opmaakprofiel2 3 14 3" xfId="3315"/>
    <cellStyle name="Data   - Opmaakprofiel2 3 14 3 2" xfId="8644"/>
    <cellStyle name="Data   - Opmaakprofiel2 3 14 3 2 2" xfId="20942"/>
    <cellStyle name="Data   - Opmaakprofiel2 3 14 3 2 3" xfId="32994"/>
    <cellStyle name="Data   - Opmaakprofiel2 3 14 3 2 4" xfId="43006"/>
    <cellStyle name="Data   - Opmaakprofiel2 3 14 3 2 5" xfId="53609"/>
    <cellStyle name="Data   - Opmaakprofiel2 3 14 3 3" xfId="13727"/>
    <cellStyle name="Data   - Opmaakprofiel2 3 14 3 4" xfId="25779"/>
    <cellStyle name="Data   - Opmaakprofiel2 3 14 3 5" xfId="45978"/>
    <cellStyle name="Data   - Opmaakprofiel2 3 14 3 6" xfId="40991"/>
    <cellStyle name="Data   - Opmaakprofiel2 3 14 4" xfId="4096"/>
    <cellStyle name="Data   - Opmaakprofiel2 3 14 4 2" xfId="8645"/>
    <cellStyle name="Data   - Opmaakprofiel2 3 14 4 2 2" xfId="20943"/>
    <cellStyle name="Data   - Opmaakprofiel2 3 14 4 2 3" xfId="32995"/>
    <cellStyle name="Data   - Opmaakprofiel2 3 14 4 2 4" xfId="31991"/>
    <cellStyle name="Data   - Opmaakprofiel2 3 14 4 2 5" xfId="53610"/>
    <cellStyle name="Data   - Opmaakprofiel2 3 14 4 3" xfId="13728"/>
    <cellStyle name="Data   - Opmaakprofiel2 3 14 4 4" xfId="25780"/>
    <cellStyle name="Data   - Opmaakprofiel2 3 14 4 5" xfId="40371"/>
    <cellStyle name="Data   - Opmaakprofiel2 3 14 4 6" xfId="46416"/>
    <cellStyle name="Data   - Opmaakprofiel2 3 14 5" xfId="4678"/>
    <cellStyle name="Data   - Opmaakprofiel2 3 14 5 2" xfId="8646"/>
    <cellStyle name="Data   - Opmaakprofiel2 3 14 5 2 2" xfId="20944"/>
    <cellStyle name="Data   - Opmaakprofiel2 3 14 5 2 3" xfId="32996"/>
    <cellStyle name="Data   - Opmaakprofiel2 3 14 5 2 4" xfId="43005"/>
    <cellStyle name="Data   - Opmaakprofiel2 3 14 5 2 5" xfId="53611"/>
    <cellStyle name="Data   - Opmaakprofiel2 3 14 5 3" xfId="13729"/>
    <cellStyle name="Data   - Opmaakprofiel2 3 14 5 4" xfId="25781"/>
    <cellStyle name="Data   - Opmaakprofiel2 3 14 5 5" xfId="40370"/>
    <cellStyle name="Data   - Opmaakprofiel2 3 14 5 6" xfId="40999"/>
    <cellStyle name="Data   - Opmaakprofiel2 3 14 6" xfId="4679"/>
    <cellStyle name="Data   - Opmaakprofiel2 3 14 6 2" xfId="8647"/>
    <cellStyle name="Data   - Opmaakprofiel2 3 14 6 2 2" xfId="20945"/>
    <cellStyle name="Data   - Opmaakprofiel2 3 14 6 2 3" xfId="32997"/>
    <cellStyle name="Data   - Opmaakprofiel2 3 14 6 2 4" xfId="26929"/>
    <cellStyle name="Data   - Opmaakprofiel2 3 14 6 2 5" xfId="53612"/>
    <cellStyle name="Data   - Opmaakprofiel2 3 14 6 3" xfId="13730"/>
    <cellStyle name="Data   - Opmaakprofiel2 3 14 6 4" xfId="25782"/>
    <cellStyle name="Data   - Opmaakprofiel2 3 14 6 5" xfId="45977"/>
    <cellStyle name="Data   - Opmaakprofiel2 3 14 6 6" xfId="41003"/>
    <cellStyle name="Data   - Opmaakprofiel2 3 14 7" xfId="4680"/>
    <cellStyle name="Data   - Opmaakprofiel2 3 14 7 2" xfId="13731"/>
    <cellStyle name="Data   - Opmaakprofiel2 3 14 7 3" xfId="25783"/>
    <cellStyle name="Data   - Opmaakprofiel2 3 14 7 4" xfId="40369"/>
    <cellStyle name="Data   - Opmaakprofiel2 3 14 7 5" xfId="46423"/>
    <cellStyle name="Data   - Opmaakprofiel2 3 14 8" xfId="7073"/>
    <cellStyle name="Data   - Opmaakprofiel2 3 14 8 2" xfId="19371"/>
    <cellStyle name="Data   - Opmaakprofiel2 3 14 8 3" xfId="41174"/>
    <cellStyle name="Data   - Opmaakprofiel2 3 14 8 4" xfId="36991"/>
    <cellStyle name="Data   - Opmaakprofiel2 3 14 8 5" xfId="52044"/>
    <cellStyle name="Data   - Opmaakprofiel2 3 14 9" xfId="13725"/>
    <cellStyle name="Data   - Opmaakprofiel2 3 15" xfId="1360"/>
    <cellStyle name="Data   - Opmaakprofiel2 3 15 2" xfId="1409"/>
    <cellStyle name="Data   - Opmaakprofiel2 3 15 2 2" xfId="8648"/>
    <cellStyle name="Data   - Opmaakprofiel2 3 15 2 2 2" xfId="20946"/>
    <cellStyle name="Data   - Opmaakprofiel2 3 15 2 2 3" xfId="32998"/>
    <cellStyle name="Data   - Opmaakprofiel2 3 15 2 2 4" xfId="43004"/>
    <cellStyle name="Data   - Opmaakprofiel2 3 15 2 2 5" xfId="53613"/>
    <cellStyle name="Data   - Opmaakprofiel2 3 15 2 3" xfId="13733"/>
    <cellStyle name="Data   - Opmaakprofiel2 3 15 2 4" xfId="25785"/>
    <cellStyle name="Data   - Opmaakprofiel2 3 15 2 5" xfId="40368"/>
    <cellStyle name="Data   - Opmaakprofiel2 3 15 2 6" xfId="41015"/>
    <cellStyle name="Data   - Opmaakprofiel2 3 15 3" xfId="3371"/>
    <cellStyle name="Data   - Opmaakprofiel2 3 15 3 2" xfId="8649"/>
    <cellStyle name="Data   - Opmaakprofiel2 3 15 3 2 2" xfId="20947"/>
    <cellStyle name="Data   - Opmaakprofiel2 3 15 3 2 3" xfId="32999"/>
    <cellStyle name="Data   - Opmaakprofiel2 3 15 3 2 4" xfId="31995"/>
    <cellStyle name="Data   - Opmaakprofiel2 3 15 3 2 5" xfId="53614"/>
    <cellStyle name="Data   - Opmaakprofiel2 3 15 3 3" xfId="13734"/>
    <cellStyle name="Data   - Opmaakprofiel2 3 15 3 4" xfId="25786"/>
    <cellStyle name="Data   - Opmaakprofiel2 3 15 3 5" xfId="45975"/>
    <cellStyle name="Data   - Opmaakprofiel2 3 15 3 6" xfId="46432"/>
    <cellStyle name="Data   - Opmaakprofiel2 3 15 4" xfId="4132"/>
    <cellStyle name="Data   - Opmaakprofiel2 3 15 4 2" xfId="8650"/>
    <cellStyle name="Data   - Opmaakprofiel2 3 15 4 2 2" xfId="20948"/>
    <cellStyle name="Data   - Opmaakprofiel2 3 15 4 2 3" xfId="33000"/>
    <cellStyle name="Data   - Opmaakprofiel2 3 15 4 2 4" xfId="26936"/>
    <cellStyle name="Data   - Opmaakprofiel2 3 15 4 2 5" xfId="53615"/>
    <cellStyle name="Data   - Opmaakprofiel2 3 15 4 3" xfId="13735"/>
    <cellStyle name="Data   - Opmaakprofiel2 3 15 4 4" xfId="25787"/>
    <cellStyle name="Data   - Opmaakprofiel2 3 15 4 5" xfId="40367"/>
    <cellStyle name="Data   - Opmaakprofiel2 3 15 4 6" xfId="41023"/>
    <cellStyle name="Data   - Opmaakprofiel2 3 15 5" xfId="4681"/>
    <cellStyle name="Data   - Opmaakprofiel2 3 15 5 2" xfId="8651"/>
    <cellStyle name="Data   - Opmaakprofiel2 3 15 5 2 2" xfId="20949"/>
    <cellStyle name="Data   - Opmaakprofiel2 3 15 5 2 3" xfId="33001"/>
    <cellStyle name="Data   - Opmaakprofiel2 3 15 5 2 4" xfId="34375"/>
    <cellStyle name="Data   - Opmaakprofiel2 3 15 5 2 5" xfId="53616"/>
    <cellStyle name="Data   - Opmaakprofiel2 3 15 5 3" xfId="13736"/>
    <cellStyle name="Data   - Opmaakprofiel2 3 15 5 4" xfId="25788"/>
    <cellStyle name="Data   - Opmaakprofiel2 3 15 5 5" xfId="45974"/>
    <cellStyle name="Data   - Opmaakprofiel2 3 15 5 6" xfId="46438"/>
    <cellStyle name="Data   - Opmaakprofiel2 3 15 6" xfId="4682"/>
    <cellStyle name="Data   - Opmaakprofiel2 3 15 6 2" xfId="8652"/>
    <cellStyle name="Data   - Opmaakprofiel2 3 15 6 2 2" xfId="20950"/>
    <cellStyle name="Data   - Opmaakprofiel2 3 15 6 2 3" xfId="33002"/>
    <cellStyle name="Data   - Opmaakprofiel2 3 15 6 2 4" xfId="43003"/>
    <cellStyle name="Data   - Opmaakprofiel2 3 15 6 2 5" xfId="53617"/>
    <cellStyle name="Data   - Opmaakprofiel2 3 15 6 3" xfId="13737"/>
    <cellStyle name="Data   - Opmaakprofiel2 3 15 6 4" xfId="25789"/>
    <cellStyle name="Data   - Opmaakprofiel2 3 15 6 5" xfId="40366"/>
    <cellStyle name="Data   - Opmaakprofiel2 3 15 6 6" xfId="46440"/>
    <cellStyle name="Data   - Opmaakprofiel2 3 15 7" xfId="4683"/>
    <cellStyle name="Data   - Opmaakprofiel2 3 15 7 2" xfId="13738"/>
    <cellStyle name="Data   - Opmaakprofiel2 3 15 7 3" xfId="25790"/>
    <cellStyle name="Data   - Opmaakprofiel2 3 15 7 4" xfId="45973"/>
    <cellStyle name="Data   - Opmaakprofiel2 3 15 7 5" xfId="46444"/>
    <cellStyle name="Data   - Opmaakprofiel2 3 15 8" xfId="7024"/>
    <cellStyle name="Data   - Opmaakprofiel2 3 15 8 2" xfId="19322"/>
    <cellStyle name="Data   - Opmaakprofiel2 3 15 8 3" xfId="41125"/>
    <cellStyle name="Data   - Opmaakprofiel2 3 15 8 4" xfId="37020"/>
    <cellStyle name="Data   - Opmaakprofiel2 3 15 8 5" xfId="51995"/>
    <cellStyle name="Data   - Opmaakprofiel2 3 15 9" xfId="13732"/>
    <cellStyle name="Data   - Opmaakprofiel2 3 16" xfId="1825"/>
    <cellStyle name="Data   - Opmaakprofiel2 3 16 2" xfId="8653"/>
    <cellStyle name="Data   - Opmaakprofiel2 3 16 2 2" xfId="20951"/>
    <cellStyle name="Data   - Opmaakprofiel2 3 16 2 3" xfId="33003"/>
    <cellStyle name="Data   - Opmaakprofiel2 3 16 2 4" xfId="26943"/>
    <cellStyle name="Data   - Opmaakprofiel2 3 16 2 5" xfId="53618"/>
    <cellStyle name="Data   - Opmaakprofiel2 3 16 3" xfId="13739"/>
    <cellStyle name="Data   - Opmaakprofiel2 3 16 4" xfId="25791"/>
    <cellStyle name="Data   - Opmaakprofiel2 3 16 5" xfId="40365"/>
    <cellStyle name="Data   - Opmaakprofiel2 3 16 6" xfId="41040"/>
    <cellStyle name="Data   - Opmaakprofiel2 3 17" xfId="2418"/>
    <cellStyle name="Data   - Opmaakprofiel2 3 17 2" xfId="8654"/>
    <cellStyle name="Data   - Opmaakprofiel2 3 17 2 2" xfId="20952"/>
    <cellStyle name="Data   - Opmaakprofiel2 3 17 2 3" xfId="33004"/>
    <cellStyle name="Data   - Opmaakprofiel2 3 17 2 4" xfId="43002"/>
    <cellStyle name="Data   - Opmaakprofiel2 3 17 2 5" xfId="53619"/>
    <cellStyle name="Data   - Opmaakprofiel2 3 17 3" xfId="13740"/>
    <cellStyle name="Data   - Opmaakprofiel2 3 17 4" xfId="25792"/>
    <cellStyle name="Data   - Opmaakprofiel2 3 17 5" xfId="40364"/>
    <cellStyle name="Data   - Opmaakprofiel2 3 17 6" xfId="46450"/>
    <cellStyle name="Data   - Opmaakprofiel2 3 18" xfId="2824"/>
    <cellStyle name="Data   - Opmaakprofiel2 3 18 2" xfId="8655"/>
    <cellStyle name="Data   - Opmaakprofiel2 3 18 2 2" xfId="20953"/>
    <cellStyle name="Data   - Opmaakprofiel2 3 18 2 3" xfId="33005"/>
    <cellStyle name="Data   - Opmaakprofiel2 3 18 2 4" xfId="32023"/>
    <cellStyle name="Data   - Opmaakprofiel2 3 18 2 5" xfId="53620"/>
    <cellStyle name="Data   - Opmaakprofiel2 3 18 3" xfId="13741"/>
    <cellStyle name="Data   - Opmaakprofiel2 3 18 4" xfId="25793"/>
    <cellStyle name="Data   - Opmaakprofiel2 3 18 5" xfId="40363"/>
    <cellStyle name="Data   - Opmaakprofiel2 3 18 6" xfId="41048"/>
    <cellStyle name="Data   - Opmaakprofiel2 3 19" xfId="4684"/>
    <cellStyle name="Data   - Opmaakprofiel2 3 19 2" xfId="8656"/>
    <cellStyle name="Data   - Opmaakprofiel2 3 19 2 2" xfId="20954"/>
    <cellStyle name="Data   - Opmaakprofiel2 3 19 2 3" xfId="33006"/>
    <cellStyle name="Data   - Opmaakprofiel2 3 19 2 4" xfId="43001"/>
    <cellStyle name="Data   - Opmaakprofiel2 3 19 2 5" xfId="53621"/>
    <cellStyle name="Data   - Opmaakprofiel2 3 19 3" xfId="13742"/>
    <cellStyle name="Data   - Opmaakprofiel2 3 19 4" xfId="25794"/>
    <cellStyle name="Data   - Opmaakprofiel2 3 19 5" xfId="45972"/>
    <cellStyle name="Data   - Opmaakprofiel2 3 19 6" xfId="41052"/>
    <cellStyle name="Data   - Opmaakprofiel2 3 2" xfId="342"/>
    <cellStyle name="Data   - Opmaakprofiel2 3 2 10" xfId="1725"/>
    <cellStyle name="Data   - Opmaakprofiel2 3 2 10 2" xfId="8657"/>
    <cellStyle name="Data   - Opmaakprofiel2 3 2 10 2 2" xfId="20955"/>
    <cellStyle name="Data   - Opmaakprofiel2 3 2 10 2 3" xfId="33007"/>
    <cellStyle name="Data   - Opmaakprofiel2 3 2 10 2 4" xfId="26950"/>
    <cellStyle name="Data   - Opmaakprofiel2 3 2 10 2 5" xfId="53622"/>
    <cellStyle name="Data   - Opmaakprofiel2 3 2 10 3" xfId="13744"/>
    <cellStyle name="Data   - Opmaakprofiel2 3 2 10 4" xfId="25796"/>
    <cellStyle name="Data   - Opmaakprofiel2 3 2 10 5" xfId="45971"/>
    <cellStyle name="Data   - Opmaakprofiel2 3 2 10 6" xfId="41055"/>
    <cellStyle name="Data   - Opmaakprofiel2 3 2 11" xfId="1787"/>
    <cellStyle name="Data   - Opmaakprofiel2 3 2 11 2" xfId="8658"/>
    <cellStyle name="Data   - Opmaakprofiel2 3 2 11 2 2" xfId="20956"/>
    <cellStyle name="Data   - Opmaakprofiel2 3 2 11 2 3" xfId="33008"/>
    <cellStyle name="Data   - Opmaakprofiel2 3 2 11 2 4" xfId="43000"/>
    <cellStyle name="Data   - Opmaakprofiel2 3 2 11 2 5" xfId="53623"/>
    <cellStyle name="Data   - Opmaakprofiel2 3 2 11 3" xfId="13745"/>
    <cellStyle name="Data   - Opmaakprofiel2 3 2 11 4" xfId="25797"/>
    <cellStyle name="Data   - Opmaakprofiel2 3 2 11 5" xfId="40361"/>
    <cellStyle name="Data   - Opmaakprofiel2 3 2 11 6" xfId="41056"/>
    <cellStyle name="Data   - Opmaakprofiel2 3 2 12" xfId="2356"/>
    <cellStyle name="Data   - Opmaakprofiel2 3 2 12 2" xfId="8659"/>
    <cellStyle name="Data   - Opmaakprofiel2 3 2 12 2 2" xfId="20957"/>
    <cellStyle name="Data   - Opmaakprofiel2 3 2 12 2 3" xfId="33009"/>
    <cellStyle name="Data   - Opmaakprofiel2 3 2 12 2 4" xfId="34228"/>
    <cellStyle name="Data   - Opmaakprofiel2 3 2 12 2 5" xfId="53624"/>
    <cellStyle name="Data   - Opmaakprofiel2 3 2 12 3" xfId="13746"/>
    <cellStyle name="Data   - Opmaakprofiel2 3 2 12 4" xfId="25798"/>
    <cellStyle name="Data   - Opmaakprofiel2 3 2 12 5" xfId="45970"/>
    <cellStyle name="Data   - Opmaakprofiel2 3 2 12 6" xfId="46458"/>
    <cellStyle name="Data   - Opmaakprofiel2 3 2 13" xfId="4685"/>
    <cellStyle name="Data   - Opmaakprofiel2 3 2 13 2" xfId="8660"/>
    <cellStyle name="Data   - Opmaakprofiel2 3 2 13 2 2" xfId="20958"/>
    <cellStyle name="Data   - Opmaakprofiel2 3 2 13 2 3" xfId="33010"/>
    <cellStyle name="Data   - Opmaakprofiel2 3 2 13 2 4" xfId="42999"/>
    <cellStyle name="Data   - Opmaakprofiel2 3 2 13 2 5" xfId="53625"/>
    <cellStyle name="Data   - Opmaakprofiel2 3 2 13 3" xfId="13747"/>
    <cellStyle name="Data   - Opmaakprofiel2 3 2 13 4" xfId="25799"/>
    <cellStyle name="Data   - Opmaakprofiel2 3 2 13 5" xfId="40360"/>
    <cellStyle name="Data   - Opmaakprofiel2 3 2 13 6" xfId="41057"/>
    <cellStyle name="Data   - Opmaakprofiel2 3 2 14" xfId="4686"/>
    <cellStyle name="Data   - Opmaakprofiel2 3 2 14 2" xfId="8661"/>
    <cellStyle name="Data   - Opmaakprofiel2 3 2 14 2 2" xfId="20959"/>
    <cellStyle name="Data   - Opmaakprofiel2 3 2 14 2 3" xfId="33011"/>
    <cellStyle name="Data   - Opmaakprofiel2 3 2 14 2 4" xfId="26957"/>
    <cellStyle name="Data   - Opmaakprofiel2 3 2 14 2 5" xfId="53626"/>
    <cellStyle name="Data   - Opmaakprofiel2 3 2 14 3" xfId="13748"/>
    <cellStyle name="Data   - Opmaakprofiel2 3 2 14 4" xfId="25800"/>
    <cellStyle name="Data   - Opmaakprofiel2 3 2 14 5" xfId="45969"/>
    <cellStyle name="Data   - Opmaakprofiel2 3 2 14 6" xfId="46459"/>
    <cellStyle name="Data   - Opmaakprofiel2 3 2 15" xfId="4687"/>
    <cellStyle name="Data   - Opmaakprofiel2 3 2 15 2" xfId="13749"/>
    <cellStyle name="Data   - Opmaakprofiel2 3 2 15 3" xfId="25801"/>
    <cellStyle name="Data   - Opmaakprofiel2 3 2 15 4" xfId="40359"/>
    <cellStyle name="Data   - Opmaakprofiel2 3 2 15 5" xfId="41058"/>
    <cellStyle name="Data   - Opmaakprofiel2 3 2 16" xfId="10447"/>
    <cellStyle name="Data   - Opmaakprofiel2 3 2 16 2" xfId="22745"/>
    <cellStyle name="Data   - Opmaakprofiel2 3 2 16 3" xfId="44504"/>
    <cellStyle name="Data   - Opmaakprofiel2 3 2 16 4" xfId="31349"/>
    <cellStyle name="Data   - Opmaakprofiel2 3 2 16 5" xfId="55412"/>
    <cellStyle name="Data   - Opmaakprofiel2 3 2 17" xfId="13743"/>
    <cellStyle name="Data   - Opmaakprofiel2 3 2 2" xfId="620"/>
    <cellStyle name="Data   - Opmaakprofiel2 3 2 2 2" xfId="2360"/>
    <cellStyle name="Data   - Opmaakprofiel2 3 2 2 2 2" xfId="8662"/>
    <cellStyle name="Data   - Opmaakprofiel2 3 2 2 2 2 2" xfId="20960"/>
    <cellStyle name="Data   - Opmaakprofiel2 3 2 2 2 2 3" xfId="33012"/>
    <cellStyle name="Data   - Opmaakprofiel2 3 2 2 2 2 4" xfId="32099"/>
    <cellStyle name="Data   - Opmaakprofiel2 3 2 2 2 2 5" xfId="53627"/>
    <cellStyle name="Data   - Opmaakprofiel2 3 2 2 2 3" xfId="13751"/>
    <cellStyle name="Data   - Opmaakprofiel2 3 2 2 2 4" xfId="25803"/>
    <cellStyle name="Data   - Opmaakprofiel2 3 2 2 2 5" xfId="40358"/>
    <cellStyle name="Data   - Opmaakprofiel2 3 2 2 2 6" xfId="41059"/>
    <cellStyle name="Data   - Opmaakprofiel2 3 2 2 3" xfId="2691"/>
    <cellStyle name="Data   - Opmaakprofiel2 3 2 2 3 2" xfId="8663"/>
    <cellStyle name="Data   - Opmaakprofiel2 3 2 2 3 2 2" xfId="20961"/>
    <cellStyle name="Data   - Opmaakprofiel2 3 2 2 3 2 3" xfId="33013"/>
    <cellStyle name="Data   - Opmaakprofiel2 3 2 2 3 2 4" xfId="26964"/>
    <cellStyle name="Data   - Opmaakprofiel2 3 2 2 3 2 5" xfId="53628"/>
    <cellStyle name="Data   - Opmaakprofiel2 3 2 2 3 3" xfId="13752"/>
    <cellStyle name="Data   - Opmaakprofiel2 3 2 2 3 4" xfId="25804"/>
    <cellStyle name="Data   - Opmaakprofiel2 3 2 2 3 5" xfId="40357"/>
    <cellStyle name="Data   - Opmaakprofiel2 3 2 2 3 6" xfId="46460"/>
    <cellStyle name="Data   - Opmaakprofiel2 3 2 2 4" xfId="3563"/>
    <cellStyle name="Data   - Opmaakprofiel2 3 2 2 4 2" xfId="8664"/>
    <cellStyle name="Data   - Opmaakprofiel2 3 2 2 4 2 2" xfId="20962"/>
    <cellStyle name="Data   - Opmaakprofiel2 3 2 2 4 2 3" xfId="33014"/>
    <cellStyle name="Data   - Opmaakprofiel2 3 2 2 4 2 4" xfId="42998"/>
    <cellStyle name="Data   - Opmaakprofiel2 3 2 2 4 2 5" xfId="53629"/>
    <cellStyle name="Data   - Opmaakprofiel2 3 2 2 4 3" xfId="13753"/>
    <cellStyle name="Data   - Opmaakprofiel2 3 2 2 4 4" xfId="25805"/>
    <cellStyle name="Data   - Opmaakprofiel2 3 2 2 4 5" xfId="40356"/>
    <cellStyle name="Data   - Opmaakprofiel2 3 2 2 4 6" xfId="41060"/>
    <cellStyle name="Data   - Opmaakprofiel2 3 2 2 5" xfId="4688"/>
    <cellStyle name="Data   - Opmaakprofiel2 3 2 2 5 2" xfId="8665"/>
    <cellStyle name="Data   - Opmaakprofiel2 3 2 2 5 2 2" xfId="20963"/>
    <cellStyle name="Data   - Opmaakprofiel2 3 2 2 5 2 3" xfId="33015"/>
    <cellStyle name="Data   - Opmaakprofiel2 3 2 2 5 2 4" xfId="31912"/>
    <cellStyle name="Data   - Opmaakprofiel2 3 2 2 5 2 5" xfId="53630"/>
    <cellStyle name="Data   - Opmaakprofiel2 3 2 2 5 3" xfId="13754"/>
    <cellStyle name="Data   - Opmaakprofiel2 3 2 2 5 4" xfId="25806"/>
    <cellStyle name="Data   - Opmaakprofiel2 3 2 2 5 5" xfId="45967"/>
    <cellStyle name="Data   - Opmaakprofiel2 3 2 2 5 6" xfId="46461"/>
    <cellStyle name="Data   - Opmaakprofiel2 3 2 2 6" xfId="4689"/>
    <cellStyle name="Data   - Opmaakprofiel2 3 2 2 6 2" xfId="8666"/>
    <cellStyle name="Data   - Opmaakprofiel2 3 2 2 6 2 2" xfId="20964"/>
    <cellStyle name="Data   - Opmaakprofiel2 3 2 2 6 2 3" xfId="33016"/>
    <cellStyle name="Data   - Opmaakprofiel2 3 2 2 6 2 4" xfId="42997"/>
    <cellStyle name="Data   - Opmaakprofiel2 3 2 2 6 2 5" xfId="53631"/>
    <cellStyle name="Data   - Opmaakprofiel2 3 2 2 6 3" xfId="13755"/>
    <cellStyle name="Data   - Opmaakprofiel2 3 2 2 6 4" xfId="25807"/>
    <cellStyle name="Data   - Opmaakprofiel2 3 2 2 6 5" xfId="40355"/>
    <cellStyle name="Data   - Opmaakprofiel2 3 2 2 6 6" xfId="41061"/>
    <cellStyle name="Data   - Opmaakprofiel2 3 2 2 7" xfId="4690"/>
    <cellStyle name="Data   - Opmaakprofiel2 3 2 2 7 2" xfId="13756"/>
    <cellStyle name="Data   - Opmaakprofiel2 3 2 2 7 3" xfId="25808"/>
    <cellStyle name="Data   - Opmaakprofiel2 3 2 2 7 4" xfId="45966"/>
    <cellStyle name="Data   - Opmaakprofiel2 3 2 2 7 5" xfId="46462"/>
    <cellStyle name="Data   - Opmaakprofiel2 3 2 2 8" xfId="10259"/>
    <cellStyle name="Data   - Opmaakprofiel2 3 2 2 8 2" xfId="22557"/>
    <cellStyle name="Data   - Opmaakprofiel2 3 2 2 8 3" xfId="44318"/>
    <cellStyle name="Data   - Opmaakprofiel2 3 2 2 8 4" xfId="34707"/>
    <cellStyle name="Data   - Opmaakprofiel2 3 2 2 8 5" xfId="55224"/>
    <cellStyle name="Data   - Opmaakprofiel2 3 2 2 9" xfId="13750"/>
    <cellStyle name="Data   - Opmaakprofiel2 3 2 3" xfId="443"/>
    <cellStyle name="Data   - Opmaakprofiel2 3 2 3 2" xfId="1844"/>
    <cellStyle name="Data   - Opmaakprofiel2 3 2 3 2 2" xfId="8667"/>
    <cellStyle name="Data   - Opmaakprofiel2 3 2 3 2 2 2" xfId="20965"/>
    <cellStyle name="Data   - Opmaakprofiel2 3 2 3 2 2 3" xfId="33017"/>
    <cellStyle name="Data   - Opmaakprofiel2 3 2 3 2 2 4" xfId="26971"/>
    <cellStyle name="Data   - Opmaakprofiel2 3 2 3 2 2 5" xfId="53632"/>
    <cellStyle name="Data   - Opmaakprofiel2 3 2 3 2 3" xfId="13758"/>
    <cellStyle name="Data   - Opmaakprofiel2 3 2 3 2 4" xfId="25810"/>
    <cellStyle name="Data   - Opmaakprofiel2 3 2 3 2 5" xfId="45965"/>
    <cellStyle name="Data   - Opmaakprofiel2 3 2 3 2 6" xfId="46463"/>
    <cellStyle name="Data   - Opmaakprofiel2 3 2 3 3" xfId="2514"/>
    <cellStyle name="Data   - Opmaakprofiel2 3 2 3 3 2" xfId="8668"/>
    <cellStyle name="Data   - Opmaakprofiel2 3 2 3 3 2 2" xfId="20966"/>
    <cellStyle name="Data   - Opmaakprofiel2 3 2 3 3 2 3" xfId="33018"/>
    <cellStyle name="Data   - Opmaakprofiel2 3 2 3 3 2 4" xfId="34733"/>
    <cellStyle name="Data   - Opmaakprofiel2 3 2 3 3 2 5" xfId="53633"/>
    <cellStyle name="Data   - Opmaakprofiel2 3 2 3 3 3" xfId="13759"/>
    <cellStyle name="Data   - Opmaakprofiel2 3 2 3 3 4" xfId="25811"/>
    <cellStyle name="Data   - Opmaakprofiel2 3 2 3 3 5" xfId="40354"/>
    <cellStyle name="Data   - Opmaakprofiel2 3 2 3 3 6" xfId="41062"/>
    <cellStyle name="Data   - Opmaakprofiel2 3 2 3 4" xfId="3402"/>
    <cellStyle name="Data   - Opmaakprofiel2 3 2 3 4 2" xfId="8669"/>
    <cellStyle name="Data   - Opmaakprofiel2 3 2 3 4 2 2" xfId="20967"/>
    <cellStyle name="Data   - Opmaakprofiel2 3 2 3 4 2 3" xfId="33019"/>
    <cellStyle name="Data   - Opmaakprofiel2 3 2 3 4 2 4" xfId="26978"/>
    <cellStyle name="Data   - Opmaakprofiel2 3 2 3 4 2 5" xfId="53634"/>
    <cellStyle name="Data   - Opmaakprofiel2 3 2 3 4 3" xfId="13760"/>
    <cellStyle name="Data   - Opmaakprofiel2 3 2 3 4 4" xfId="25812"/>
    <cellStyle name="Data   - Opmaakprofiel2 3 2 3 4 5" xfId="45964"/>
    <cellStyle name="Data   - Opmaakprofiel2 3 2 3 4 6" xfId="46464"/>
    <cellStyle name="Data   - Opmaakprofiel2 3 2 3 5" xfId="4691"/>
    <cellStyle name="Data   - Opmaakprofiel2 3 2 3 5 2" xfId="8670"/>
    <cellStyle name="Data   - Opmaakprofiel2 3 2 3 5 2 2" xfId="20968"/>
    <cellStyle name="Data   - Opmaakprofiel2 3 2 3 5 2 3" xfId="33020"/>
    <cellStyle name="Data   - Opmaakprofiel2 3 2 3 5 2 4" xfId="32028"/>
    <cellStyle name="Data   - Opmaakprofiel2 3 2 3 5 2 5" xfId="53635"/>
    <cellStyle name="Data   - Opmaakprofiel2 3 2 3 5 3" xfId="13761"/>
    <cellStyle name="Data   - Opmaakprofiel2 3 2 3 5 4" xfId="25813"/>
    <cellStyle name="Data   - Opmaakprofiel2 3 2 3 5 5" xfId="40353"/>
    <cellStyle name="Data   - Opmaakprofiel2 3 2 3 5 6" xfId="41063"/>
    <cellStyle name="Data   - Opmaakprofiel2 3 2 3 6" xfId="4692"/>
    <cellStyle name="Data   - Opmaakprofiel2 3 2 3 6 2" xfId="8671"/>
    <cellStyle name="Data   - Opmaakprofiel2 3 2 3 6 2 2" xfId="20969"/>
    <cellStyle name="Data   - Opmaakprofiel2 3 2 3 6 2 3" xfId="33021"/>
    <cellStyle name="Data   - Opmaakprofiel2 3 2 3 6 2 4" xfId="26985"/>
    <cellStyle name="Data   - Opmaakprofiel2 3 2 3 6 2 5" xfId="53636"/>
    <cellStyle name="Data   - Opmaakprofiel2 3 2 3 6 3" xfId="13762"/>
    <cellStyle name="Data   - Opmaakprofiel2 3 2 3 6 4" xfId="25814"/>
    <cellStyle name="Data   - Opmaakprofiel2 3 2 3 6 5" xfId="45963"/>
    <cellStyle name="Data   - Opmaakprofiel2 3 2 3 6 6" xfId="41064"/>
    <cellStyle name="Data   - Opmaakprofiel2 3 2 3 7" xfId="4693"/>
    <cellStyle name="Data   - Opmaakprofiel2 3 2 3 7 2" xfId="13763"/>
    <cellStyle name="Data   - Opmaakprofiel2 3 2 3 7 3" xfId="25815"/>
    <cellStyle name="Data   - Opmaakprofiel2 3 2 3 7 4" xfId="40352"/>
    <cellStyle name="Data   - Opmaakprofiel2 3 2 3 7 5" xfId="41065"/>
    <cellStyle name="Data   - Opmaakprofiel2 3 2 3 8" xfId="10374"/>
    <cellStyle name="Data   - Opmaakprofiel2 3 2 3 8 2" xfId="22672"/>
    <cellStyle name="Data   - Opmaakprofiel2 3 2 3 8 3" xfId="44432"/>
    <cellStyle name="Data   - Opmaakprofiel2 3 2 3 8 4" xfId="42301"/>
    <cellStyle name="Data   - Opmaakprofiel2 3 2 3 8 5" xfId="55339"/>
    <cellStyle name="Data   - Opmaakprofiel2 3 2 3 9" xfId="13757"/>
    <cellStyle name="Data   - Opmaakprofiel2 3 2 4" xfId="413"/>
    <cellStyle name="Data   - Opmaakprofiel2 3 2 4 2" xfId="2215"/>
    <cellStyle name="Data   - Opmaakprofiel2 3 2 4 2 2" xfId="8672"/>
    <cellStyle name="Data   - Opmaakprofiel2 3 2 4 2 2 2" xfId="20970"/>
    <cellStyle name="Data   - Opmaakprofiel2 3 2 4 2 2 3" xfId="33022"/>
    <cellStyle name="Data   - Opmaakprofiel2 3 2 4 2 2 4" xfId="31908"/>
    <cellStyle name="Data   - Opmaakprofiel2 3 2 4 2 2 5" xfId="53637"/>
    <cellStyle name="Data   - Opmaakprofiel2 3 2 4 2 3" xfId="13765"/>
    <cellStyle name="Data   - Opmaakprofiel2 3 2 4 2 4" xfId="25817"/>
    <cellStyle name="Data   - Opmaakprofiel2 3 2 4 2 5" xfId="40350"/>
    <cellStyle name="Data   - Opmaakprofiel2 3 2 4 2 6" xfId="41066"/>
    <cellStyle name="Data   - Opmaakprofiel2 3 2 4 3" xfId="2484"/>
    <cellStyle name="Data   - Opmaakprofiel2 3 2 4 3 2" xfId="8673"/>
    <cellStyle name="Data   - Opmaakprofiel2 3 2 4 3 2 2" xfId="20971"/>
    <cellStyle name="Data   - Opmaakprofiel2 3 2 4 3 2 3" xfId="33023"/>
    <cellStyle name="Data   - Opmaakprofiel2 3 2 4 3 2 4" xfId="26992"/>
    <cellStyle name="Data   - Opmaakprofiel2 3 2 4 3 2 5" xfId="53638"/>
    <cellStyle name="Data   - Opmaakprofiel2 3 2 4 3 3" xfId="13766"/>
    <cellStyle name="Data   - Opmaakprofiel2 3 2 4 3 4" xfId="25818"/>
    <cellStyle name="Data   - Opmaakprofiel2 3 2 4 3 5" xfId="45962"/>
    <cellStyle name="Data   - Opmaakprofiel2 3 2 4 3 6" xfId="46465"/>
    <cellStyle name="Data   - Opmaakprofiel2 3 2 4 4" xfId="1537"/>
    <cellStyle name="Data   - Opmaakprofiel2 3 2 4 4 2" xfId="8674"/>
    <cellStyle name="Data   - Opmaakprofiel2 3 2 4 4 2 2" xfId="20972"/>
    <cellStyle name="Data   - Opmaakprofiel2 3 2 4 4 2 3" xfId="33024"/>
    <cellStyle name="Data   - Opmaakprofiel2 3 2 4 4 2 4" xfId="31645"/>
    <cellStyle name="Data   - Opmaakprofiel2 3 2 4 4 2 5" xfId="53639"/>
    <cellStyle name="Data   - Opmaakprofiel2 3 2 4 4 3" xfId="13767"/>
    <cellStyle name="Data   - Opmaakprofiel2 3 2 4 4 4" xfId="25819"/>
    <cellStyle name="Data   - Opmaakprofiel2 3 2 4 4 5" xfId="40349"/>
    <cellStyle name="Data   - Opmaakprofiel2 3 2 4 4 6" xfId="41067"/>
    <cellStyle name="Data   - Opmaakprofiel2 3 2 4 5" xfId="4694"/>
    <cellStyle name="Data   - Opmaakprofiel2 3 2 4 5 2" xfId="8675"/>
    <cellStyle name="Data   - Opmaakprofiel2 3 2 4 5 2 2" xfId="20973"/>
    <cellStyle name="Data   - Opmaakprofiel2 3 2 4 5 2 3" xfId="33025"/>
    <cellStyle name="Data   - Opmaakprofiel2 3 2 4 5 2 4" xfId="26999"/>
    <cellStyle name="Data   - Opmaakprofiel2 3 2 4 5 2 5" xfId="53640"/>
    <cellStyle name="Data   - Opmaakprofiel2 3 2 4 5 3" xfId="13768"/>
    <cellStyle name="Data   - Opmaakprofiel2 3 2 4 5 4" xfId="25820"/>
    <cellStyle name="Data   - Opmaakprofiel2 3 2 4 5 5" xfId="45961"/>
    <cellStyle name="Data   - Opmaakprofiel2 3 2 4 5 6" xfId="46466"/>
    <cellStyle name="Data   - Opmaakprofiel2 3 2 4 6" xfId="4695"/>
    <cellStyle name="Data   - Opmaakprofiel2 3 2 4 6 2" xfId="8676"/>
    <cellStyle name="Data   - Opmaakprofiel2 3 2 4 6 2 2" xfId="20974"/>
    <cellStyle name="Data   - Opmaakprofiel2 3 2 4 6 2 3" xfId="33026"/>
    <cellStyle name="Data   - Opmaakprofiel2 3 2 4 6 2 4" xfId="31531"/>
    <cellStyle name="Data   - Opmaakprofiel2 3 2 4 6 2 5" xfId="53641"/>
    <cellStyle name="Data   - Opmaakprofiel2 3 2 4 6 3" xfId="13769"/>
    <cellStyle name="Data   - Opmaakprofiel2 3 2 4 6 4" xfId="25821"/>
    <cellStyle name="Data   - Opmaakprofiel2 3 2 4 6 5" xfId="40348"/>
    <cellStyle name="Data   - Opmaakprofiel2 3 2 4 6 6" xfId="41068"/>
    <cellStyle name="Data   - Opmaakprofiel2 3 2 4 7" xfId="4696"/>
    <cellStyle name="Data   - Opmaakprofiel2 3 2 4 7 2" xfId="13770"/>
    <cellStyle name="Data   - Opmaakprofiel2 3 2 4 7 3" xfId="25822"/>
    <cellStyle name="Data   - Opmaakprofiel2 3 2 4 7 4" xfId="45960"/>
    <cellStyle name="Data   - Opmaakprofiel2 3 2 4 7 5" xfId="46467"/>
    <cellStyle name="Data   - Opmaakprofiel2 3 2 4 8" xfId="7707"/>
    <cellStyle name="Data   - Opmaakprofiel2 3 2 4 8 2" xfId="20005"/>
    <cellStyle name="Data   - Opmaakprofiel2 3 2 4 8 3" xfId="41808"/>
    <cellStyle name="Data   - Opmaakprofiel2 3 2 4 8 4" xfId="25111"/>
    <cellStyle name="Data   - Opmaakprofiel2 3 2 4 8 5" xfId="52677"/>
    <cellStyle name="Data   - Opmaakprofiel2 3 2 4 9" xfId="13764"/>
    <cellStyle name="Data   - Opmaakprofiel2 3 2 5" xfId="843"/>
    <cellStyle name="Data   - Opmaakprofiel2 3 2 5 2" xfId="1452"/>
    <cellStyle name="Data   - Opmaakprofiel2 3 2 5 2 2" xfId="8677"/>
    <cellStyle name="Data   - Opmaakprofiel2 3 2 5 2 2 2" xfId="20975"/>
    <cellStyle name="Data   - Opmaakprofiel2 3 2 5 2 2 3" xfId="33027"/>
    <cellStyle name="Data   - Opmaakprofiel2 3 2 5 2 2 4" xfId="27006"/>
    <cellStyle name="Data   - Opmaakprofiel2 3 2 5 2 2 5" xfId="53642"/>
    <cellStyle name="Data   - Opmaakprofiel2 3 2 5 2 3" xfId="13772"/>
    <cellStyle name="Data   - Opmaakprofiel2 3 2 5 2 4" xfId="25824"/>
    <cellStyle name="Data   - Opmaakprofiel2 3 2 5 2 5" xfId="45959"/>
    <cellStyle name="Data   - Opmaakprofiel2 3 2 5 2 6" xfId="46468"/>
    <cellStyle name="Data   - Opmaakprofiel2 3 2 5 3" xfId="2854"/>
    <cellStyle name="Data   - Opmaakprofiel2 3 2 5 3 2" xfId="8678"/>
    <cellStyle name="Data   - Opmaakprofiel2 3 2 5 3 2 2" xfId="20976"/>
    <cellStyle name="Data   - Opmaakprofiel2 3 2 5 3 2 3" xfId="33028"/>
    <cellStyle name="Data   - Opmaakprofiel2 3 2 5 3 2 4" xfId="34211"/>
    <cellStyle name="Data   - Opmaakprofiel2 3 2 5 3 2 5" xfId="53643"/>
    <cellStyle name="Data   - Opmaakprofiel2 3 2 5 3 3" xfId="13773"/>
    <cellStyle name="Data   - Opmaakprofiel2 3 2 5 3 4" xfId="25825"/>
    <cellStyle name="Data   - Opmaakprofiel2 3 2 5 3 5" xfId="40346"/>
    <cellStyle name="Data   - Opmaakprofiel2 3 2 5 3 6" xfId="41069"/>
    <cellStyle name="Data   - Opmaakprofiel2 3 2 5 4" xfId="3708"/>
    <cellStyle name="Data   - Opmaakprofiel2 3 2 5 4 2" xfId="8679"/>
    <cellStyle name="Data   - Opmaakprofiel2 3 2 5 4 2 2" xfId="20977"/>
    <cellStyle name="Data   - Opmaakprofiel2 3 2 5 4 2 3" xfId="33029"/>
    <cellStyle name="Data   - Opmaakprofiel2 3 2 5 4 2 4" xfId="27013"/>
    <cellStyle name="Data   - Opmaakprofiel2 3 2 5 4 2 5" xfId="53644"/>
    <cellStyle name="Data   - Opmaakprofiel2 3 2 5 4 3" xfId="13774"/>
    <cellStyle name="Data   - Opmaakprofiel2 3 2 5 4 4" xfId="25826"/>
    <cellStyle name="Data   - Opmaakprofiel2 3 2 5 4 5" xfId="45958"/>
    <cellStyle name="Data   - Opmaakprofiel2 3 2 5 4 6" xfId="41070"/>
    <cellStyle name="Data   - Opmaakprofiel2 3 2 5 5" xfId="4697"/>
    <cellStyle name="Data   - Opmaakprofiel2 3 2 5 5 2" xfId="8680"/>
    <cellStyle name="Data   - Opmaakprofiel2 3 2 5 5 2 2" xfId="20978"/>
    <cellStyle name="Data   - Opmaakprofiel2 3 2 5 5 2 3" xfId="33030"/>
    <cellStyle name="Data   - Opmaakprofiel2 3 2 5 5 2 4" xfId="34163"/>
    <cellStyle name="Data   - Opmaakprofiel2 3 2 5 5 2 5" xfId="53645"/>
    <cellStyle name="Data   - Opmaakprofiel2 3 2 5 5 3" xfId="13775"/>
    <cellStyle name="Data   - Opmaakprofiel2 3 2 5 5 4" xfId="25827"/>
    <cellStyle name="Data   - Opmaakprofiel2 3 2 5 5 5" xfId="40345"/>
    <cellStyle name="Data   - Opmaakprofiel2 3 2 5 5 6" xfId="41071"/>
    <cellStyle name="Data   - Opmaakprofiel2 3 2 5 6" xfId="4698"/>
    <cellStyle name="Data   - Opmaakprofiel2 3 2 5 6 2" xfId="8681"/>
    <cellStyle name="Data   - Opmaakprofiel2 3 2 5 6 2 2" xfId="20979"/>
    <cellStyle name="Data   - Opmaakprofiel2 3 2 5 6 2 3" xfId="33031"/>
    <cellStyle name="Data   - Opmaakprofiel2 3 2 5 6 2 4" xfId="27020"/>
    <cellStyle name="Data   - Opmaakprofiel2 3 2 5 6 2 5" xfId="53646"/>
    <cellStyle name="Data   - Opmaakprofiel2 3 2 5 6 3" xfId="13776"/>
    <cellStyle name="Data   - Opmaakprofiel2 3 2 5 6 4" xfId="25828"/>
    <cellStyle name="Data   - Opmaakprofiel2 3 2 5 6 5" xfId="40344"/>
    <cellStyle name="Data   - Opmaakprofiel2 3 2 5 6 6" xfId="46469"/>
    <cellStyle name="Data   - Opmaakprofiel2 3 2 5 7" xfId="4699"/>
    <cellStyle name="Data   - Opmaakprofiel2 3 2 5 7 2" xfId="13777"/>
    <cellStyle name="Data   - Opmaakprofiel2 3 2 5 7 3" xfId="25829"/>
    <cellStyle name="Data   - Opmaakprofiel2 3 2 5 7 4" xfId="40343"/>
    <cellStyle name="Data   - Opmaakprofiel2 3 2 5 7 5" xfId="41072"/>
    <cellStyle name="Data   - Opmaakprofiel2 3 2 5 8" xfId="7418"/>
    <cellStyle name="Data   - Opmaakprofiel2 3 2 5 8 2" xfId="19716"/>
    <cellStyle name="Data   - Opmaakprofiel2 3 2 5 8 3" xfId="41519"/>
    <cellStyle name="Data   - Opmaakprofiel2 3 2 5 8 4" xfId="43517"/>
    <cellStyle name="Data   - Opmaakprofiel2 3 2 5 8 5" xfId="52388"/>
    <cellStyle name="Data   - Opmaakprofiel2 3 2 5 9" xfId="13771"/>
    <cellStyle name="Data   - Opmaakprofiel2 3 2 6" xfId="460"/>
    <cellStyle name="Data   - Opmaakprofiel2 3 2 6 2" xfId="1991"/>
    <cellStyle name="Data   - Opmaakprofiel2 3 2 6 2 2" xfId="8682"/>
    <cellStyle name="Data   - Opmaakprofiel2 3 2 6 2 2 2" xfId="20980"/>
    <cellStyle name="Data   - Opmaakprofiel2 3 2 6 2 2 3" xfId="33032"/>
    <cellStyle name="Data   - Opmaakprofiel2 3 2 6 2 2 4" xfId="31499"/>
    <cellStyle name="Data   - Opmaakprofiel2 3 2 6 2 2 5" xfId="53647"/>
    <cellStyle name="Data   - Opmaakprofiel2 3 2 6 2 3" xfId="13779"/>
    <cellStyle name="Data   - Opmaakprofiel2 3 2 6 2 4" xfId="25831"/>
    <cellStyle name="Data   - Opmaakprofiel2 3 2 6 2 5" xfId="40342"/>
    <cellStyle name="Data   - Opmaakprofiel2 3 2 6 2 6" xfId="41073"/>
    <cellStyle name="Data   - Opmaakprofiel2 3 2 6 3" xfId="2531"/>
    <cellStyle name="Data   - Opmaakprofiel2 3 2 6 3 2" xfId="8683"/>
    <cellStyle name="Data   - Opmaakprofiel2 3 2 6 3 2 2" xfId="20981"/>
    <cellStyle name="Data   - Opmaakprofiel2 3 2 6 3 2 3" xfId="33033"/>
    <cellStyle name="Data   - Opmaakprofiel2 3 2 6 3 2 4" xfId="27027"/>
    <cellStyle name="Data   - Opmaakprofiel2 3 2 6 3 2 5" xfId="53648"/>
    <cellStyle name="Data   - Opmaakprofiel2 3 2 6 3 3" xfId="13780"/>
    <cellStyle name="Data   - Opmaakprofiel2 3 2 6 3 4" xfId="25832"/>
    <cellStyle name="Data   - Opmaakprofiel2 3 2 6 3 5" xfId="45956"/>
    <cellStyle name="Data   - Opmaakprofiel2 3 2 6 3 6" xfId="46470"/>
    <cellStyle name="Data   - Opmaakprofiel2 3 2 6 4" xfId="3419"/>
    <cellStyle name="Data   - Opmaakprofiel2 3 2 6 4 2" xfId="8684"/>
    <cellStyle name="Data   - Opmaakprofiel2 3 2 6 4 2 2" xfId="20982"/>
    <cellStyle name="Data   - Opmaakprofiel2 3 2 6 4 2 3" xfId="33034"/>
    <cellStyle name="Data   - Opmaakprofiel2 3 2 6 4 2 4" xfId="31346"/>
    <cellStyle name="Data   - Opmaakprofiel2 3 2 6 4 2 5" xfId="53649"/>
    <cellStyle name="Data   - Opmaakprofiel2 3 2 6 4 3" xfId="13781"/>
    <cellStyle name="Data   - Opmaakprofiel2 3 2 6 4 4" xfId="25833"/>
    <cellStyle name="Data   - Opmaakprofiel2 3 2 6 4 5" xfId="40341"/>
    <cellStyle name="Data   - Opmaakprofiel2 3 2 6 4 6" xfId="41074"/>
    <cellStyle name="Data   - Opmaakprofiel2 3 2 6 5" xfId="4700"/>
    <cellStyle name="Data   - Opmaakprofiel2 3 2 6 5 2" xfId="8685"/>
    <cellStyle name="Data   - Opmaakprofiel2 3 2 6 5 2 2" xfId="20983"/>
    <cellStyle name="Data   - Opmaakprofiel2 3 2 6 5 2 3" xfId="33035"/>
    <cellStyle name="Data   - Opmaakprofiel2 3 2 6 5 2 4" xfId="27034"/>
    <cellStyle name="Data   - Opmaakprofiel2 3 2 6 5 2 5" xfId="53650"/>
    <cellStyle name="Data   - Opmaakprofiel2 3 2 6 5 3" xfId="13782"/>
    <cellStyle name="Data   - Opmaakprofiel2 3 2 6 5 4" xfId="25834"/>
    <cellStyle name="Data   - Opmaakprofiel2 3 2 6 5 5" xfId="45955"/>
    <cellStyle name="Data   - Opmaakprofiel2 3 2 6 5 6" xfId="46471"/>
    <cellStyle name="Data   - Opmaakprofiel2 3 2 6 6" xfId="4701"/>
    <cellStyle name="Data   - Opmaakprofiel2 3 2 6 6 2" xfId="8686"/>
    <cellStyle name="Data   - Opmaakprofiel2 3 2 6 6 2 2" xfId="20984"/>
    <cellStyle name="Data   - Opmaakprofiel2 3 2 6 6 2 3" xfId="33036"/>
    <cellStyle name="Data   - Opmaakprofiel2 3 2 6 6 2 4" xfId="31603"/>
    <cellStyle name="Data   - Opmaakprofiel2 3 2 6 6 2 5" xfId="53651"/>
    <cellStyle name="Data   - Opmaakprofiel2 3 2 6 6 3" xfId="13783"/>
    <cellStyle name="Data   - Opmaakprofiel2 3 2 6 6 4" xfId="25835"/>
    <cellStyle name="Data   - Opmaakprofiel2 3 2 6 6 5" xfId="40340"/>
    <cellStyle name="Data   - Opmaakprofiel2 3 2 6 6 6" xfId="41075"/>
    <cellStyle name="Data   - Opmaakprofiel2 3 2 6 7" xfId="4702"/>
    <cellStyle name="Data   - Opmaakprofiel2 3 2 6 7 2" xfId="13784"/>
    <cellStyle name="Data   - Opmaakprofiel2 3 2 6 7 3" xfId="25836"/>
    <cellStyle name="Data   - Opmaakprofiel2 3 2 6 7 4" xfId="45954"/>
    <cellStyle name="Data   - Opmaakprofiel2 3 2 6 7 5" xfId="46472"/>
    <cellStyle name="Data   - Opmaakprofiel2 3 2 6 8" xfId="10364"/>
    <cellStyle name="Data   - Opmaakprofiel2 3 2 6 8 2" xfId="22662"/>
    <cellStyle name="Data   - Opmaakprofiel2 3 2 6 8 3" xfId="44422"/>
    <cellStyle name="Data   - Opmaakprofiel2 3 2 6 8 4" xfId="42305"/>
    <cellStyle name="Data   - Opmaakprofiel2 3 2 6 8 5" xfId="55329"/>
    <cellStyle name="Data   - Opmaakprofiel2 3 2 6 9" xfId="13778"/>
    <cellStyle name="Data   - Opmaakprofiel2 3 2 7" xfId="1206"/>
    <cellStyle name="Data   - Opmaakprofiel2 3 2 7 2" xfId="2473"/>
    <cellStyle name="Data   - Opmaakprofiel2 3 2 7 2 2" xfId="8687"/>
    <cellStyle name="Data   - Opmaakprofiel2 3 2 7 2 2 2" xfId="20985"/>
    <cellStyle name="Data   - Opmaakprofiel2 3 2 7 2 2 3" xfId="33037"/>
    <cellStyle name="Data   - Opmaakprofiel2 3 2 7 2 2 4" xfId="27041"/>
    <cellStyle name="Data   - Opmaakprofiel2 3 2 7 2 2 5" xfId="53652"/>
    <cellStyle name="Data   - Opmaakprofiel2 3 2 7 2 3" xfId="13786"/>
    <cellStyle name="Data   - Opmaakprofiel2 3 2 7 2 4" xfId="25838"/>
    <cellStyle name="Data   - Opmaakprofiel2 3 2 7 2 5" xfId="45953"/>
    <cellStyle name="Data   - Opmaakprofiel2 3 2 7 2 6" xfId="41076"/>
    <cellStyle name="Data   - Opmaakprofiel2 3 2 7 3" xfId="3217"/>
    <cellStyle name="Data   - Opmaakprofiel2 3 2 7 3 2" xfId="8688"/>
    <cellStyle name="Data   - Opmaakprofiel2 3 2 7 3 2 2" xfId="20986"/>
    <cellStyle name="Data   - Opmaakprofiel2 3 2 7 3 2 3" xfId="33038"/>
    <cellStyle name="Data   - Opmaakprofiel2 3 2 7 3 2 4" xfId="31379"/>
    <cellStyle name="Data   - Opmaakprofiel2 3 2 7 3 2 5" xfId="53653"/>
    <cellStyle name="Data   - Opmaakprofiel2 3 2 7 3 3" xfId="13787"/>
    <cellStyle name="Data   - Opmaakprofiel2 3 2 7 3 4" xfId="25839"/>
    <cellStyle name="Data   - Opmaakprofiel2 3 2 7 3 5" xfId="40338"/>
    <cellStyle name="Data   - Opmaakprofiel2 3 2 7 3 6" xfId="46473"/>
    <cellStyle name="Data   - Opmaakprofiel2 3 2 7 4" xfId="4032"/>
    <cellStyle name="Data   - Opmaakprofiel2 3 2 7 4 2" xfId="8689"/>
    <cellStyle name="Data   - Opmaakprofiel2 3 2 7 4 2 2" xfId="20987"/>
    <cellStyle name="Data   - Opmaakprofiel2 3 2 7 4 2 3" xfId="33039"/>
    <cellStyle name="Data   - Opmaakprofiel2 3 2 7 4 2 4" xfId="27048"/>
    <cellStyle name="Data   - Opmaakprofiel2 3 2 7 4 2 5" xfId="53654"/>
    <cellStyle name="Data   - Opmaakprofiel2 3 2 7 4 3" xfId="13788"/>
    <cellStyle name="Data   - Opmaakprofiel2 3 2 7 4 4" xfId="25840"/>
    <cellStyle name="Data   - Opmaakprofiel2 3 2 7 4 5" xfId="40337"/>
    <cellStyle name="Data   - Opmaakprofiel2 3 2 7 4 6" xfId="41077"/>
    <cellStyle name="Data   - Opmaakprofiel2 3 2 7 5" xfId="4703"/>
    <cellStyle name="Data   - Opmaakprofiel2 3 2 7 5 2" xfId="8690"/>
    <cellStyle name="Data   - Opmaakprofiel2 3 2 7 5 2 2" xfId="20988"/>
    <cellStyle name="Data   - Opmaakprofiel2 3 2 7 5 2 3" xfId="33040"/>
    <cellStyle name="Data   - Opmaakprofiel2 3 2 7 5 2 4" xfId="31382"/>
    <cellStyle name="Data   - Opmaakprofiel2 3 2 7 5 2 5" xfId="53655"/>
    <cellStyle name="Data   - Opmaakprofiel2 3 2 7 5 3" xfId="13789"/>
    <cellStyle name="Data   - Opmaakprofiel2 3 2 7 5 4" xfId="25841"/>
    <cellStyle name="Data   - Opmaakprofiel2 3 2 7 5 5" xfId="40336"/>
    <cellStyle name="Data   - Opmaakprofiel2 3 2 7 5 6" xfId="46474"/>
    <cellStyle name="Data   - Opmaakprofiel2 3 2 7 6" xfId="4704"/>
    <cellStyle name="Data   - Opmaakprofiel2 3 2 7 6 2" xfId="8691"/>
    <cellStyle name="Data   - Opmaakprofiel2 3 2 7 6 2 2" xfId="20989"/>
    <cellStyle name="Data   - Opmaakprofiel2 3 2 7 6 2 3" xfId="33041"/>
    <cellStyle name="Data   - Opmaakprofiel2 3 2 7 6 2 4" xfId="31330"/>
    <cellStyle name="Data   - Opmaakprofiel2 3 2 7 6 2 5" xfId="53656"/>
    <cellStyle name="Data   - Opmaakprofiel2 3 2 7 6 3" xfId="13790"/>
    <cellStyle name="Data   - Opmaakprofiel2 3 2 7 6 4" xfId="25842"/>
    <cellStyle name="Data   - Opmaakprofiel2 3 2 7 6 5" xfId="45952"/>
    <cellStyle name="Data   - Opmaakprofiel2 3 2 7 6 6" xfId="41078"/>
    <cellStyle name="Data   - Opmaakprofiel2 3 2 7 7" xfId="4705"/>
    <cellStyle name="Data   - Opmaakprofiel2 3 2 7 7 2" xfId="13791"/>
    <cellStyle name="Data   - Opmaakprofiel2 3 2 7 7 3" xfId="25843"/>
    <cellStyle name="Data   - Opmaakprofiel2 3 2 7 7 4" xfId="40335"/>
    <cellStyle name="Data   - Opmaakprofiel2 3 2 7 7 5" xfId="41079"/>
    <cellStyle name="Data   - Opmaakprofiel2 3 2 7 8" xfId="7168"/>
    <cellStyle name="Data   - Opmaakprofiel2 3 2 7 8 2" xfId="19466"/>
    <cellStyle name="Data   - Opmaakprofiel2 3 2 7 8 3" xfId="41269"/>
    <cellStyle name="Data   - Opmaakprofiel2 3 2 7 8 4" xfId="36936"/>
    <cellStyle name="Data   - Opmaakprofiel2 3 2 7 8 5" xfId="52138"/>
    <cellStyle name="Data   - Opmaakprofiel2 3 2 7 9" xfId="13785"/>
    <cellStyle name="Data   - Opmaakprofiel2 3 2 8" xfId="1318"/>
    <cellStyle name="Data   - Opmaakprofiel2 3 2 8 2" xfId="1821"/>
    <cellStyle name="Data   - Opmaakprofiel2 3 2 8 2 2" xfId="8692"/>
    <cellStyle name="Data   - Opmaakprofiel2 3 2 8 2 2 2" xfId="20990"/>
    <cellStyle name="Data   - Opmaakprofiel2 3 2 8 2 2 3" xfId="33042"/>
    <cellStyle name="Data   - Opmaakprofiel2 3 2 8 2 2 4" xfId="31340"/>
    <cellStyle name="Data   - Opmaakprofiel2 3 2 8 2 2 5" xfId="53657"/>
    <cellStyle name="Data   - Opmaakprofiel2 3 2 8 2 3" xfId="13793"/>
    <cellStyle name="Data   - Opmaakprofiel2 3 2 8 2 4" xfId="25845"/>
    <cellStyle name="Data   - Opmaakprofiel2 3 2 8 2 5" xfId="40334"/>
    <cellStyle name="Data   - Opmaakprofiel2 3 2 8 2 6" xfId="31339"/>
    <cellStyle name="Data   - Opmaakprofiel2 3 2 8 3" xfId="3329"/>
    <cellStyle name="Data   - Opmaakprofiel2 3 2 8 3 2" xfId="8693"/>
    <cellStyle name="Data   - Opmaakprofiel2 3 2 8 3 2 2" xfId="20991"/>
    <cellStyle name="Data   - Opmaakprofiel2 3 2 8 3 2 3" xfId="33043"/>
    <cellStyle name="Data   - Opmaakprofiel2 3 2 8 3 2 4" xfId="27055"/>
    <cellStyle name="Data   - Opmaakprofiel2 3 2 8 3 2 5" xfId="53658"/>
    <cellStyle name="Data   - Opmaakprofiel2 3 2 8 3 3" xfId="13794"/>
    <cellStyle name="Data   - Opmaakprofiel2 3 2 8 3 4" xfId="25846"/>
    <cellStyle name="Data   - Opmaakprofiel2 3 2 8 3 5" xfId="40333"/>
    <cellStyle name="Data   - Opmaakprofiel2 3 2 8 3 6" xfId="31334"/>
    <cellStyle name="Data   - Opmaakprofiel2 3 2 8 4" xfId="4110"/>
    <cellStyle name="Data   - Opmaakprofiel2 3 2 8 4 2" xfId="8694"/>
    <cellStyle name="Data   - Opmaakprofiel2 3 2 8 4 2 2" xfId="20992"/>
    <cellStyle name="Data   - Opmaakprofiel2 3 2 8 4 2 3" xfId="33044"/>
    <cellStyle name="Data   - Opmaakprofiel2 3 2 8 4 2 4" xfId="31332"/>
    <cellStyle name="Data   - Opmaakprofiel2 3 2 8 4 2 5" xfId="53659"/>
    <cellStyle name="Data   - Opmaakprofiel2 3 2 8 4 3" xfId="13795"/>
    <cellStyle name="Data   - Opmaakprofiel2 3 2 8 4 4" xfId="25847"/>
    <cellStyle name="Data   - Opmaakprofiel2 3 2 8 4 5" xfId="45950"/>
    <cellStyle name="Data   - Opmaakprofiel2 3 2 8 4 6" xfId="41080"/>
    <cellStyle name="Data   - Opmaakprofiel2 3 2 8 5" xfId="4706"/>
    <cellStyle name="Data   - Opmaakprofiel2 3 2 8 5 2" xfId="8695"/>
    <cellStyle name="Data   - Opmaakprofiel2 3 2 8 5 2 2" xfId="20993"/>
    <cellStyle name="Data   - Opmaakprofiel2 3 2 8 5 2 3" xfId="33045"/>
    <cellStyle name="Data   - Opmaakprofiel2 3 2 8 5 2 4" xfId="31350"/>
    <cellStyle name="Data   - Opmaakprofiel2 3 2 8 5 2 5" xfId="53660"/>
    <cellStyle name="Data   - Opmaakprofiel2 3 2 8 5 3" xfId="13796"/>
    <cellStyle name="Data   - Opmaakprofiel2 3 2 8 5 4" xfId="25848"/>
    <cellStyle name="Data   - Opmaakprofiel2 3 2 8 5 5" xfId="40332"/>
    <cellStyle name="Data   - Opmaakprofiel2 3 2 8 5 6" xfId="41081"/>
    <cellStyle name="Data   - Opmaakprofiel2 3 2 8 6" xfId="4707"/>
    <cellStyle name="Data   - Opmaakprofiel2 3 2 8 6 2" xfId="8696"/>
    <cellStyle name="Data   - Opmaakprofiel2 3 2 8 6 2 2" xfId="20994"/>
    <cellStyle name="Data   - Opmaakprofiel2 3 2 8 6 2 3" xfId="33046"/>
    <cellStyle name="Data   - Opmaakprofiel2 3 2 8 6 2 4" xfId="27066"/>
    <cellStyle name="Data   - Opmaakprofiel2 3 2 8 6 2 5" xfId="53661"/>
    <cellStyle name="Data   - Opmaakprofiel2 3 2 8 6 3" xfId="13797"/>
    <cellStyle name="Data   - Opmaakprofiel2 3 2 8 6 4" xfId="25849"/>
    <cellStyle name="Data   - Opmaakprofiel2 3 2 8 6 5" xfId="45949"/>
    <cellStyle name="Data   - Opmaakprofiel2 3 2 8 6 6" xfId="41082"/>
    <cellStyle name="Data   - Opmaakprofiel2 3 2 8 7" xfId="4708"/>
    <cellStyle name="Data   - Opmaakprofiel2 3 2 8 7 2" xfId="13798"/>
    <cellStyle name="Data   - Opmaakprofiel2 3 2 8 7 3" xfId="25850"/>
    <cellStyle name="Data   - Opmaakprofiel2 3 2 8 7 4" xfId="40331"/>
    <cellStyle name="Data   - Opmaakprofiel2 3 2 8 7 5" xfId="41083"/>
    <cellStyle name="Data   - Opmaakprofiel2 3 2 8 8" xfId="7059"/>
    <cellStyle name="Data   - Opmaakprofiel2 3 2 8 8 2" xfId="19357"/>
    <cellStyle name="Data   - Opmaakprofiel2 3 2 8 8 3" xfId="41160"/>
    <cellStyle name="Data   - Opmaakprofiel2 3 2 8 8 4" xfId="36999"/>
    <cellStyle name="Data   - Opmaakprofiel2 3 2 8 8 5" xfId="52030"/>
    <cellStyle name="Data   - Opmaakprofiel2 3 2 8 9" xfId="13792"/>
    <cellStyle name="Data   - Opmaakprofiel2 3 2 9" xfId="1374"/>
    <cellStyle name="Data   - Opmaakprofiel2 3 2 9 2" xfId="1395"/>
    <cellStyle name="Data   - Opmaakprofiel2 3 2 9 2 2" xfId="8697"/>
    <cellStyle name="Data   - Opmaakprofiel2 3 2 9 2 2 2" xfId="20995"/>
    <cellStyle name="Data   - Opmaakprofiel2 3 2 9 2 2 3" xfId="33047"/>
    <cellStyle name="Data   - Opmaakprofiel2 3 2 9 2 2 4" xfId="31835"/>
    <cellStyle name="Data   - Opmaakprofiel2 3 2 9 2 2 5" xfId="53662"/>
    <cellStyle name="Data   - Opmaakprofiel2 3 2 9 2 3" xfId="13800"/>
    <cellStyle name="Data   - Opmaakprofiel2 3 2 9 2 4" xfId="25852"/>
    <cellStyle name="Data   - Opmaakprofiel2 3 2 9 2 5" xfId="40330"/>
    <cellStyle name="Data   - Opmaakprofiel2 3 2 9 2 6" xfId="47551"/>
    <cellStyle name="Data   - Opmaakprofiel2 3 2 9 3" xfId="3385"/>
    <cellStyle name="Data   - Opmaakprofiel2 3 2 9 3 2" xfId="8698"/>
    <cellStyle name="Data   - Opmaakprofiel2 3 2 9 3 2 2" xfId="20996"/>
    <cellStyle name="Data   - Opmaakprofiel2 3 2 9 3 2 3" xfId="33048"/>
    <cellStyle name="Data   - Opmaakprofiel2 3 2 9 3 2 4" xfId="27070"/>
    <cellStyle name="Data   - Opmaakprofiel2 3 2 9 3 2 5" xfId="53663"/>
    <cellStyle name="Data   - Opmaakprofiel2 3 2 9 3 3" xfId="13801"/>
    <cellStyle name="Data   - Opmaakprofiel2 3 2 9 3 4" xfId="25853"/>
    <cellStyle name="Data   - Opmaakprofiel2 3 2 9 3 5" xfId="40329"/>
    <cellStyle name="Data   - Opmaakprofiel2 3 2 9 3 6" xfId="47552"/>
    <cellStyle name="Data   - Opmaakprofiel2 3 2 9 4" xfId="4146"/>
    <cellStyle name="Data   - Opmaakprofiel2 3 2 9 4 2" xfId="8699"/>
    <cellStyle name="Data   - Opmaakprofiel2 3 2 9 4 2 2" xfId="20997"/>
    <cellStyle name="Data   - Opmaakprofiel2 3 2 9 4 2 3" xfId="33049"/>
    <cellStyle name="Data   - Opmaakprofiel2 3 2 9 4 2 4" xfId="31720"/>
    <cellStyle name="Data   - Opmaakprofiel2 3 2 9 4 2 5" xfId="53664"/>
    <cellStyle name="Data   - Opmaakprofiel2 3 2 9 4 3" xfId="13802"/>
    <cellStyle name="Data   - Opmaakprofiel2 3 2 9 4 4" xfId="25854"/>
    <cellStyle name="Data   - Opmaakprofiel2 3 2 9 4 5" xfId="45947"/>
    <cellStyle name="Data   - Opmaakprofiel2 3 2 9 4 6" xfId="47553"/>
    <cellStyle name="Data   - Opmaakprofiel2 3 2 9 5" xfId="4709"/>
    <cellStyle name="Data   - Opmaakprofiel2 3 2 9 5 2" xfId="8700"/>
    <cellStyle name="Data   - Opmaakprofiel2 3 2 9 5 2 2" xfId="20998"/>
    <cellStyle name="Data   - Opmaakprofiel2 3 2 9 5 2 3" xfId="33050"/>
    <cellStyle name="Data   - Opmaakprofiel2 3 2 9 5 2 4" xfId="27077"/>
    <cellStyle name="Data   - Opmaakprofiel2 3 2 9 5 2 5" xfId="53665"/>
    <cellStyle name="Data   - Opmaakprofiel2 3 2 9 5 3" xfId="13803"/>
    <cellStyle name="Data   - Opmaakprofiel2 3 2 9 5 4" xfId="25855"/>
    <cellStyle name="Data   - Opmaakprofiel2 3 2 9 5 5" xfId="40328"/>
    <cellStyle name="Data   - Opmaakprofiel2 3 2 9 5 6" xfId="47554"/>
    <cellStyle name="Data   - Opmaakprofiel2 3 2 9 6" xfId="4710"/>
    <cellStyle name="Data   - Opmaakprofiel2 3 2 9 6 2" xfId="8701"/>
    <cellStyle name="Data   - Opmaakprofiel2 3 2 9 6 2 2" xfId="20999"/>
    <cellStyle name="Data   - Opmaakprofiel2 3 2 9 6 2 3" xfId="33051"/>
    <cellStyle name="Data   - Opmaakprofiel2 3 2 9 6 2 4" xfId="31653"/>
    <cellStyle name="Data   - Opmaakprofiel2 3 2 9 6 2 5" xfId="53666"/>
    <cellStyle name="Data   - Opmaakprofiel2 3 2 9 6 3" xfId="13804"/>
    <cellStyle name="Data   - Opmaakprofiel2 3 2 9 6 4" xfId="25856"/>
    <cellStyle name="Data   - Opmaakprofiel2 3 2 9 6 5" xfId="45946"/>
    <cellStyle name="Data   - Opmaakprofiel2 3 2 9 6 6" xfId="47555"/>
    <cellStyle name="Data   - Opmaakprofiel2 3 2 9 7" xfId="4711"/>
    <cellStyle name="Data   - Opmaakprofiel2 3 2 9 7 2" xfId="13805"/>
    <cellStyle name="Data   - Opmaakprofiel2 3 2 9 7 3" xfId="25857"/>
    <cellStyle name="Data   - Opmaakprofiel2 3 2 9 7 4" xfId="40327"/>
    <cellStyle name="Data   - Opmaakprofiel2 3 2 9 7 5" xfId="47556"/>
    <cellStyle name="Data   - Opmaakprofiel2 3 2 9 8" xfId="7012"/>
    <cellStyle name="Data   - Opmaakprofiel2 3 2 9 8 2" xfId="19310"/>
    <cellStyle name="Data   - Opmaakprofiel2 3 2 9 8 3" xfId="41113"/>
    <cellStyle name="Data   - Opmaakprofiel2 3 2 9 8 4" xfId="37027"/>
    <cellStyle name="Data   - Opmaakprofiel2 3 2 9 8 5" xfId="51983"/>
    <cellStyle name="Data   - Opmaakprofiel2 3 2 9 9" xfId="13799"/>
    <cellStyle name="Data   - Opmaakprofiel2 3 20" xfId="4712"/>
    <cellStyle name="Data   - Opmaakprofiel2 3 20 2" xfId="8702"/>
    <cellStyle name="Data   - Opmaakprofiel2 3 20 2 2" xfId="21000"/>
    <cellStyle name="Data   - Opmaakprofiel2 3 20 2 3" xfId="33052"/>
    <cellStyle name="Data   - Opmaakprofiel2 3 20 2 4" xfId="31337"/>
    <cellStyle name="Data   - Opmaakprofiel2 3 20 2 5" xfId="53667"/>
    <cellStyle name="Data   - Opmaakprofiel2 3 20 3" xfId="13806"/>
    <cellStyle name="Data   - Opmaakprofiel2 3 20 4" xfId="25858"/>
    <cellStyle name="Data   - Opmaakprofiel2 3 20 5" xfId="45945"/>
    <cellStyle name="Data   - Opmaakprofiel2 3 20 6" xfId="47557"/>
    <cellStyle name="Data   - Opmaakprofiel2 3 21" xfId="4713"/>
    <cellStyle name="Data   - Opmaakprofiel2 3 21 2" xfId="13807"/>
    <cellStyle name="Data   - Opmaakprofiel2 3 21 3" xfId="25859"/>
    <cellStyle name="Data   - Opmaakprofiel2 3 21 4" xfId="40326"/>
    <cellStyle name="Data   - Opmaakprofiel2 3 21 5" xfId="47558"/>
    <cellStyle name="Data   - Opmaakprofiel2 3 22" xfId="7780"/>
    <cellStyle name="Data   - Opmaakprofiel2 3 22 2" xfId="20078"/>
    <cellStyle name="Data   - Opmaakprofiel2 3 22 3" xfId="41881"/>
    <cellStyle name="Data   - Opmaakprofiel2 3 22 4" xfId="34284"/>
    <cellStyle name="Data   - Opmaakprofiel2 3 22 5" xfId="52750"/>
    <cellStyle name="Data   - Opmaakprofiel2 3 23" xfId="13696"/>
    <cellStyle name="Data   - Opmaakprofiel2 3 3" xfId="381"/>
    <cellStyle name="Data   - Opmaakprofiel2 3 3 10" xfId="2475"/>
    <cellStyle name="Data   - Opmaakprofiel2 3 3 10 2" xfId="8703"/>
    <cellStyle name="Data   - Opmaakprofiel2 3 3 10 2 2" xfId="21001"/>
    <cellStyle name="Data   - Opmaakprofiel2 3 3 10 2 3" xfId="33053"/>
    <cellStyle name="Data   - Opmaakprofiel2 3 3 10 2 4" xfId="27084"/>
    <cellStyle name="Data   - Opmaakprofiel2 3 3 10 2 5" xfId="53668"/>
    <cellStyle name="Data   - Opmaakprofiel2 3 3 10 3" xfId="13809"/>
    <cellStyle name="Data   - Opmaakprofiel2 3 3 10 4" xfId="25861"/>
    <cellStyle name="Data   - Opmaakprofiel2 3 3 10 5" xfId="40325"/>
    <cellStyle name="Data   - Opmaakprofiel2 3 3 10 6" xfId="47559"/>
    <cellStyle name="Data   - Opmaakprofiel2 3 3 11" xfId="2481"/>
    <cellStyle name="Data   - Opmaakprofiel2 3 3 11 2" xfId="8704"/>
    <cellStyle name="Data   - Opmaakprofiel2 3 3 11 2 2" xfId="21002"/>
    <cellStyle name="Data   - Opmaakprofiel2 3 3 11 2 3" xfId="33054"/>
    <cellStyle name="Data   - Opmaakprofiel2 3 3 11 2 4" xfId="34254"/>
    <cellStyle name="Data   - Opmaakprofiel2 3 3 11 2 5" xfId="53669"/>
    <cellStyle name="Data   - Opmaakprofiel2 3 3 11 3" xfId="13810"/>
    <cellStyle name="Data   - Opmaakprofiel2 3 3 11 4" xfId="25862"/>
    <cellStyle name="Data   - Opmaakprofiel2 3 3 11 5" xfId="45943"/>
    <cellStyle name="Data   - Opmaakprofiel2 3 3 11 6" xfId="47560"/>
    <cellStyle name="Data   - Opmaakprofiel2 3 3 12" xfId="3308"/>
    <cellStyle name="Data   - Opmaakprofiel2 3 3 12 2" xfId="8705"/>
    <cellStyle name="Data   - Opmaakprofiel2 3 3 12 2 2" xfId="21003"/>
    <cellStyle name="Data   - Opmaakprofiel2 3 3 12 2 3" xfId="33055"/>
    <cellStyle name="Data   - Opmaakprofiel2 3 3 12 2 4" xfId="27091"/>
    <cellStyle name="Data   - Opmaakprofiel2 3 3 12 2 5" xfId="53670"/>
    <cellStyle name="Data   - Opmaakprofiel2 3 3 12 3" xfId="13811"/>
    <cellStyle name="Data   - Opmaakprofiel2 3 3 12 4" xfId="25863"/>
    <cellStyle name="Data   - Opmaakprofiel2 3 3 12 5" xfId="40324"/>
    <cellStyle name="Data   - Opmaakprofiel2 3 3 12 6" xfId="47561"/>
    <cellStyle name="Data   - Opmaakprofiel2 3 3 13" xfId="4714"/>
    <cellStyle name="Data   - Opmaakprofiel2 3 3 13 2" xfId="8706"/>
    <cellStyle name="Data   - Opmaakprofiel2 3 3 13 2 2" xfId="21004"/>
    <cellStyle name="Data   - Opmaakprofiel2 3 3 13 2 3" xfId="33056"/>
    <cellStyle name="Data   - Opmaakprofiel2 3 3 13 2 4" xfId="31538"/>
    <cellStyle name="Data   - Opmaakprofiel2 3 3 13 2 5" xfId="53671"/>
    <cellStyle name="Data   - Opmaakprofiel2 3 3 13 3" xfId="13812"/>
    <cellStyle name="Data   - Opmaakprofiel2 3 3 13 4" xfId="25864"/>
    <cellStyle name="Data   - Opmaakprofiel2 3 3 13 5" xfId="40323"/>
    <cellStyle name="Data   - Opmaakprofiel2 3 3 13 6" xfId="47562"/>
    <cellStyle name="Data   - Opmaakprofiel2 3 3 14" xfId="4715"/>
    <cellStyle name="Data   - Opmaakprofiel2 3 3 14 2" xfId="8707"/>
    <cellStyle name="Data   - Opmaakprofiel2 3 3 14 2 2" xfId="21005"/>
    <cellStyle name="Data   - Opmaakprofiel2 3 3 14 2 3" xfId="33057"/>
    <cellStyle name="Data   - Opmaakprofiel2 3 3 14 2 4" xfId="27098"/>
    <cellStyle name="Data   - Opmaakprofiel2 3 3 14 2 5" xfId="53672"/>
    <cellStyle name="Data   - Opmaakprofiel2 3 3 14 3" xfId="13813"/>
    <cellStyle name="Data   - Opmaakprofiel2 3 3 14 4" xfId="25865"/>
    <cellStyle name="Data   - Opmaakprofiel2 3 3 14 5" xfId="40322"/>
    <cellStyle name="Data   - Opmaakprofiel2 3 3 14 6" xfId="47563"/>
    <cellStyle name="Data   - Opmaakprofiel2 3 3 15" xfId="4716"/>
    <cellStyle name="Data   - Opmaakprofiel2 3 3 15 2" xfId="13814"/>
    <cellStyle name="Data   - Opmaakprofiel2 3 3 15 3" xfId="25866"/>
    <cellStyle name="Data   - Opmaakprofiel2 3 3 15 4" xfId="45942"/>
    <cellStyle name="Data   - Opmaakprofiel2 3 3 15 5" xfId="47564"/>
    <cellStyle name="Data   - Opmaakprofiel2 3 3 16" xfId="7726"/>
    <cellStyle name="Data   - Opmaakprofiel2 3 3 16 2" xfId="20024"/>
    <cellStyle name="Data   - Opmaakprofiel2 3 3 16 3" xfId="41827"/>
    <cellStyle name="Data   - Opmaakprofiel2 3 3 16 4" xfId="34431"/>
    <cellStyle name="Data   - Opmaakprofiel2 3 3 16 5" xfId="52696"/>
    <cellStyle name="Data   - Opmaakprofiel2 3 3 17" xfId="13808"/>
    <cellStyle name="Data   - Opmaakprofiel2 3 3 2" xfId="655"/>
    <cellStyle name="Data   - Opmaakprofiel2 3 3 2 2" xfId="1653"/>
    <cellStyle name="Data   - Opmaakprofiel2 3 3 2 2 2" xfId="8708"/>
    <cellStyle name="Data   - Opmaakprofiel2 3 3 2 2 2 2" xfId="21006"/>
    <cellStyle name="Data   - Opmaakprofiel2 3 3 2 2 2 3" xfId="33058"/>
    <cellStyle name="Data   - Opmaakprofiel2 3 3 2 2 2 4" xfId="31331"/>
    <cellStyle name="Data   - Opmaakprofiel2 3 3 2 2 2 5" xfId="53673"/>
    <cellStyle name="Data   - Opmaakprofiel2 3 3 2 2 3" xfId="13816"/>
    <cellStyle name="Data   - Opmaakprofiel2 3 3 2 2 4" xfId="25868"/>
    <cellStyle name="Data   - Opmaakprofiel2 3 3 2 2 5" xfId="45941"/>
    <cellStyle name="Data   - Opmaakprofiel2 3 3 2 2 6" xfId="47565"/>
    <cellStyle name="Data   - Opmaakprofiel2 3 3 2 3" xfId="2721"/>
    <cellStyle name="Data   - Opmaakprofiel2 3 3 2 3 2" xfId="8709"/>
    <cellStyle name="Data   - Opmaakprofiel2 3 3 2 3 2 2" xfId="21007"/>
    <cellStyle name="Data   - Opmaakprofiel2 3 3 2 3 2 3" xfId="33059"/>
    <cellStyle name="Data   - Opmaakprofiel2 3 3 2 3 2 4" xfId="34285"/>
    <cellStyle name="Data   - Opmaakprofiel2 3 3 2 3 2 5" xfId="53674"/>
    <cellStyle name="Data   - Opmaakprofiel2 3 3 2 3 3" xfId="13817"/>
    <cellStyle name="Data   - Opmaakprofiel2 3 3 2 3 4" xfId="25869"/>
    <cellStyle name="Data   - Opmaakprofiel2 3 3 2 3 5" xfId="40320"/>
    <cellStyle name="Data   - Opmaakprofiel2 3 3 2 3 6" xfId="47566"/>
    <cellStyle name="Data   - Opmaakprofiel2 3 3 2 4" xfId="3588"/>
    <cellStyle name="Data   - Opmaakprofiel2 3 3 2 4 2" xfId="8710"/>
    <cellStyle name="Data   - Opmaakprofiel2 3 3 2 4 2 2" xfId="21008"/>
    <cellStyle name="Data   - Opmaakprofiel2 3 3 2 4 2 3" xfId="33060"/>
    <cellStyle name="Data   - Opmaakprofiel2 3 3 2 4 2 4" xfId="32137"/>
    <cellStyle name="Data   - Opmaakprofiel2 3 3 2 4 2 5" xfId="53675"/>
    <cellStyle name="Data   - Opmaakprofiel2 3 3 2 4 3" xfId="13818"/>
    <cellStyle name="Data   - Opmaakprofiel2 3 3 2 4 4" xfId="25870"/>
    <cellStyle name="Data   - Opmaakprofiel2 3 3 2 4 5" xfId="45940"/>
    <cellStyle name="Data   - Opmaakprofiel2 3 3 2 4 6" xfId="47567"/>
    <cellStyle name="Data   - Opmaakprofiel2 3 3 2 5" xfId="4717"/>
    <cellStyle name="Data   - Opmaakprofiel2 3 3 2 5 2" xfId="8711"/>
    <cellStyle name="Data   - Opmaakprofiel2 3 3 2 5 2 2" xfId="21009"/>
    <cellStyle name="Data   - Opmaakprofiel2 3 3 2 5 2 3" xfId="33061"/>
    <cellStyle name="Data   - Opmaakprofiel2 3 3 2 5 2 4" xfId="27111"/>
    <cellStyle name="Data   - Opmaakprofiel2 3 3 2 5 2 5" xfId="53676"/>
    <cellStyle name="Data   - Opmaakprofiel2 3 3 2 5 3" xfId="13819"/>
    <cellStyle name="Data   - Opmaakprofiel2 3 3 2 5 4" xfId="25871"/>
    <cellStyle name="Data   - Opmaakprofiel2 3 3 2 5 5" xfId="40319"/>
    <cellStyle name="Data   - Opmaakprofiel2 3 3 2 5 6" xfId="47568"/>
    <cellStyle name="Data   - Opmaakprofiel2 3 3 2 6" xfId="4718"/>
    <cellStyle name="Data   - Opmaakprofiel2 3 3 2 6 2" xfId="8712"/>
    <cellStyle name="Data   - Opmaakprofiel2 3 3 2 6 2 2" xfId="21010"/>
    <cellStyle name="Data   - Opmaakprofiel2 3 3 2 6 2 3" xfId="33062"/>
    <cellStyle name="Data   - Opmaakprofiel2 3 3 2 6 2 4" xfId="42995"/>
    <cellStyle name="Data   - Opmaakprofiel2 3 3 2 6 2 5" xfId="53677"/>
    <cellStyle name="Data   - Opmaakprofiel2 3 3 2 6 3" xfId="13820"/>
    <cellStyle name="Data   - Opmaakprofiel2 3 3 2 6 4" xfId="25872"/>
    <cellStyle name="Data   - Opmaakprofiel2 3 3 2 6 5" xfId="45939"/>
    <cellStyle name="Data   - Opmaakprofiel2 3 3 2 6 6" xfId="47569"/>
    <cellStyle name="Data   - Opmaakprofiel2 3 3 2 7" xfId="4719"/>
    <cellStyle name="Data   - Opmaakprofiel2 3 3 2 7 2" xfId="13821"/>
    <cellStyle name="Data   - Opmaakprofiel2 3 3 2 7 3" xfId="25873"/>
    <cellStyle name="Data   - Opmaakprofiel2 3 3 2 7 4" xfId="40318"/>
    <cellStyle name="Data   - Opmaakprofiel2 3 3 2 7 5" xfId="47570"/>
    <cellStyle name="Data   - Opmaakprofiel2 3 3 2 8" xfId="7545"/>
    <cellStyle name="Data   - Opmaakprofiel2 3 3 2 8 2" xfId="19843"/>
    <cellStyle name="Data   - Opmaakprofiel2 3 3 2 8 3" xfId="41646"/>
    <cellStyle name="Data   - Opmaakprofiel2 3 3 2 8 4" xfId="31631"/>
    <cellStyle name="Data   - Opmaakprofiel2 3 3 2 8 5" xfId="52515"/>
    <cellStyle name="Data   - Opmaakprofiel2 3 3 2 9" xfId="13815"/>
    <cellStyle name="Data   - Opmaakprofiel2 3 3 3" xfId="832"/>
    <cellStyle name="Data   - Opmaakprofiel2 3 3 3 2" xfId="207"/>
    <cellStyle name="Data   - Opmaakprofiel2 3 3 3 2 2" xfId="8713"/>
    <cellStyle name="Data   - Opmaakprofiel2 3 3 3 2 2 2" xfId="21011"/>
    <cellStyle name="Data   - Opmaakprofiel2 3 3 3 2 2 3" xfId="33063"/>
    <cellStyle name="Data   - Opmaakprofiel2 3 3 3 2 2 4" xfId="31871"/>
    <cellStyle name="Data   - Opmaakprofiel2 3 3 3 2 2 5" xfId="53678"/>
    <cellStyle name="Data   - Opmaakprofiel2 3 3 3 2 3" xfId="13823"/>
    <cellStyle name="Data   - Opmaakprofiel2 3 3 3 2 4" xfId="25875"/>
    <cellStyle name="Data   - Opmaakprofiel2 3 3 3 2 5" xfId="40317"/>
    <cellStyle name="Data   - Opmaakprofiel2 3 3 3 2 6" xfId="47571"/>
    <cellStyle name="Data   - Opmaakprofiel2 3 3 3 3" xfId="2843"/>
    <cellStyle name="Data   - Opmaakprofiel2 3 3 3 3 2" xfId="8714"/>
    <cellStyle name="Data   - Opmaakprofiel2 3 3 3 3 2 2" xfId="21012"/>
    <cellStyle name="Data   - Opmaakprofiel2 3 3 3 3 2 3" xfId="33064"/>
    <cellStyle name="Data   - Opmaakprofiel2 3 3 3 3 2 4" xfId="42994"/>
    <cellStyle name="Data   - Opmaakprofiel2 3 3 3 3 2 5" xfId="53679"/>
    <cellStyle name="Data   - Opmaakprofiel2 3 3 3 3 3" xfId="13824"/>
    <cellStyle name="Data   - Opmaakprofiel2 3 3 3 3 4" xfId="25876"/>
    <cellStyle name="Data   - Opmaakprofiel2 3 3 3 3 5" xfId="40316"/>
    <cellStyle name="Data   - Opmaakprofiel2 3 3 3 3 6" xfId="47572"/>
    <cellStyle name="Data   - Opmaakprofiel2 3 3 3 4" xfId="3699"/>
    <cellStyle name="Data   - Opmaakprofiel2 3 3 3 4 2" xfId="8715"/>
    <cellStyle name="Data   - Opmaakprofiel2 3 3 3 4 2 2" xfId="21013"/>
    <cellStyle name="Data   - Opmaakprofiel2 3 3 3 4 2 3" xfId="33065"/>
    <cellStyle name="Data   - Opmaakprofiel2 3 3 3 4 2 4" xfId="27115"/>
    <cellStyle name="Data   - Opmaakprofiel2 3 3 3 4 2 5" xfId="53680"/>
    <cellStyle name="Data   - Opmaakprofiel2 3 3 3 4 3" xfId="13825"/>
    <cellStyle name="Data   - Opmaakprofiel2 3 3 3 4 4" xfId="25877"/>
    <cellStyle name="Data   - Opmaakprofiel2 3 3 3 4 5" xfId="40315"/>
    <cellStyle name="Data   - Opmaakprofiel2 3 3 3 4 6" xfId="47573"/>
    <cellStyle name="Data   - Opmaakprofiel2 3 3 3 5" xfId="4720"/>
    <cellStyle name="Data   - Opmaakprofiel2 3 3 3 5 2" xfId="8716"/>
    <cellStyle name="Data   - Opmaakprofiel2 3 3 3 5 2 2" xfId="21014"/>
    <cellStyle name="Data   - Opmaakprofiel2 3 3 3 5 2 3" xfId="33066"/>
    <cellStyle name="Data   - Opmaakprofiel2 3 3 3 5 2 4" xfId="31753"/>
    <cellStyle name="Data   - Opmaakprofiel2 3 3 3 5 2 5" xfId="53681"/>
    <cellStyle name="Data   - Opmaakprofiel2 3 3 3 5 3" xfId="13826"/>
    <cellStyle name="Data   - Opmaakprofiel2 3 3 3 5 4" xfId="25878"/>
    <cellStyle name="Data   - Opmaakprofiel2 3 3 3 5 5" xfId="45937"/>
    <cellStyle name="Data   - Opmaakprofiel2 3 3 3 5 6" xfId="47574"/>
    <cellStyle name="Data   - Opmaakprofiel2 3 3 3 6" xfId="4721"/>
    <cellStyle name="Data   - Opmaakprofiel2 3 3 3 6 2" xfId="8717"/>
    <cellStyle name="Data   - Opmaakprofiel2 3 3 3 6 2 2" xfId="21015"/>
    <cellStyle name="Data   - Opmaakprofiel2 3 3 3 6 2 3" xfId="33067"/>
    <cellStyle name="Data   - Opmaakprofiel2 3 3 3 6 2 4" xfId="42993"/>
    <cellStyle name="Data   - Opmaakprofiel2 3 3 3 6 2 5" xfId="53682"/>
    <cellStyle name="Data   - Opmaakprofiel2 3 3 3 6 3" xfId="13827"/>
    <cellStyle name="Data   - Opmaakprofiel2 3 3 3 6 4" xfId="25879"/>
    <cellStyle name="Data   - Opmaakprofiel2 3 3 3 6 5" xfId="40314"/>
    <cellStyle name="Data   - Opmaakprofiel2 3 3 3 6 6" xfId="47575"/>
    <cellStyle name="Data   - Opmaakprofiel2 3 3 3 7" xfId="4722"/>
    <cellStyle name="Data   - Opmaakprofiel2 3 3 3 7 2" xfId="13828"/>
    <cellStyle name="Data   - Opmaakprofiel2 3 3 3 7 3" xfId="25880"/>
    <cellStyle name="Data   - Opmaakprofiel2 3 3 3 7 4" xfId="45936"/>
    <cellStyle name="Data   - Opmaakprofiel2 3 3 3 7 5" xfId="47576"/>
    <cellStyle name="Data   - Opmaakprofiel2 3 3 3 8" xfId="7426"/>
    <cellStyle name="Data   - Opmaakprofiel2 3 3 3 8 2" xfId="19724"/>
    <cellStyle name="Data   - Opmaakprofiel2 3 3 3 8 3" xfId="41527"/>
    <cellStyle name="Data   - Opmaakprofiel2 3 3 3 8 4" xfId="15563"/>
    <cellStyle name="Data   - Opmaakprofiel2 3 3 3 8 5" xfId="52396"/>
    <cellStyle name="Data   - Opmaakprofiel2 3 3 3 9" xfId="13822"/>
    <cellStyle name="Data   - Opmaakprofiel2 3 3 4" xfId="523"/>
    <cellStyle name="Data   - Opmaakprofiel2 3 3 4 2" xfId="1628"/>
    <cellStyle name="Data   - Opmaakprofiel2 3 3 4 2 2" xfId="8718"/>
    <cellStyle name="Data   - Opmaakprofiel2 3 3 4 2 2 2" xfId="21016"/>
    <cellStyle name="Data   - Opmaakprofiel2 3 3 4 2 2 3" xfId="33068"/>
    <cellStyle name="Data   - Opmaakprofiel2 3 3 4 2 2 4" xfId="27122"/>
    <cellStyle name="Data   - Opmaakprofiel2 3 3 4 2 2 5" xfId="53683"/>
    <cellStyle name="Data   - Opmaakprofiel2 3 3 4 2 3" xfId="13830"/>
    <cellStyle name="Data   - Opmaakprofiel2 3 3 4 2 4" xfId="25882"/>
    <cellStyle name="Data   - Opmaakprofiel2 3 3 4 2 5" xfId="45935"/>
    <cellStyle name="Data   - Opmaakprofiel2 3 3 4 2 6" xfId="47577"/>
    <cellStyle name="Data   - Opmaakprofiel2 3 3 4 3" xfId="2594"/>
    <cellStyle name="Data   - Opmaakprofiel2 3 3 4 3 2" xfId="8719"/>
    <cellStyle name="Data   - Opmaakprofiel2 3 3 4 3 2 2" xfId="21017"/>
    <cellStyle name="Data   - Opmaakprofiel2 3 3 4 3 2 3" xfId="33069"/>
    <cellStyle name="Data   - Opmaakprofiel2 3 3 4 3 2 4" xfId="42992"/>
    <cellStyle name="Data   - Opmaakprofiel2 3 3 4 3 2 5" xfId="53684"/>
    <cellStyle name="Data   - Opmaakprofiel2 3 3 4 3 3" xfId="13831"/>
    <cellStyle name="Data   - Opmaakprofiel2 3 3 4 3 4" xfId="25883"/>
    <cellStyle name="Data   - Opmaakprofiel2 3 3 4 3 5" xfId="40313"/>
    <cellStyle name="Data   - Opmaakprofiel2 3 3 4 3 6" xfId="47578"/>
    <cellStyle name="Data   - Opmaakprofiel2 3 3 4 4" xfId="3475"/>
    <cellStyle name="Data   - Opmaakprofiel2 3 3 4 4 2" xfId="8720"/>
    <cellStyle name="Data   - Opmaakprofiel2 3 3 4 4 2 2" xfId="21018"/>
    <cellStyle name="Data   - Opmaakprofiel2 3 3 4 4 2 3" xfId="33070"/>
    <cellStyle name="Data   - Opmaakprofiel2 3 3 4 4 2 4" xfId="31999"/>
    <cellStyle name="Data   - Opmaakprofiel2 3 3 4 4 2 5" xfId="53685"/>
    <cellStyle name="Data   - Opmaakprofiel2 3 3 4 4 3" xfId="13832"/>
    <cellStyle name="Data   - Opmaakprofiel2 3 3 4 4 4" xfId="25884"/>
    <cellStyle name="Data   - Opmaakprofiel2 3 3 4 4 5" xfId="45934"/>
    <cellStyle name="Data   - Opmaakprofiel2 3 3 4 4 6" xfId="47579"/>
    <cellStyle name="Data   - Opmaakprofiel2 3 3 4 5" xfId="4723"/>
    <cellStyle name="Data   - Opmaakprofiel2 3 3 4 5 2" xfId="8721"/>
    <cellStyle name="Data   - Opmaakprofiel2 3 3 4 5 2 2" xfId="21019"/>
    <cellStyle name="Data   - Opmaakprofiel2 3 3 4 5 2 3" xfId="33071"/>
    <cellStyle name="Data   - Opmaakprofiel2 3 3 4 5 2 4" xfId="42991"/>
    <cellStyle name="Data   - Opmaakprofiel2 3 3 4 5 2 5" xfId="53686"/>
    <cellStyle name="Data   - Opmaakprofiel2 3 3 4 5 3" xfId="13833"/>
    <cellStyle name="Data   - Opmaakprofiel2 3 3 4 5 4" xfId="25885"/>
    <cellStyle name="Data   - Opmaakprofiel2 3 3 4 5 5" xfId="40312"/>
    <cellStyle name="Data   - Opmaakprofiel2 3 3 4 5 6" xfId="47580"/>
    <cellStyle name="Data   - Opmaakprofiel2 3 3 4 6" xfId="4724"/>
    <cellStyle name="Data   - Opmaakprofiel2 3 3 4 6 2" xfId="8722"/>
    <cellStyle name="Data   - Opmaakprofiel2 3 3 4 6 2 2" xfId="21020"/>
    <cellStyle name="Data   - Opmaakprofiel2 3 3 4 6 2 3" xfId="33072"/>
    <cellStyle name="Data   - Opmaakprofiel2 3 3 4 6 2 4" xfId="27129"/>
    <cellStyle name="Data   - Opmaakprofiel2 3 3 4 6 2 5" xfId="53687"/>
    <cellStyle name="Data   - Opmaakprofiel2 3 3 4 6 3" xfId="13834"/>
    <cellStyle name="Data   - Opmaakprofiel2 3 3 4 6 4" xfId="25886"/>
    <cellStyle name="Data   - Opmaakprofiel2 3 3 4 6 5" xfId="45933"/>
    <cellStyle name="Data   - Opmaakprofiel2 3 3 4 6 6" xfId="47581"/>
    <cellStyle name="Data   - Opmaakprofiel2 3 3 4 7" xfId="4725"/>
    <cellStyle name="Data   - Opmaakprofiel2 3 3 4 7 2" xfId="13835"/>
    <cellStyle name="Data   - Opmaakprofiel2 3 3 4 7 3" xfId="25887"/>
    <cellStyle name="Data   - Opmaakprofiel2 3 3 4 7 4" xfId="40311"/>
    <cellStyle name="Data   - Opmaakprofiel2 3 3 4 7 5" xfId="47582"/>
    <cellStyle name="Data   - Opmaakprofiel2 3 3 4 8" xfId="7634"/>
    <cellStyle name="Data   - Opmaakprofiel2 3 3 4 8 2" xfId="19932"/>
    <cellStyle name="Data   - Opmaakprofiel2 3 3 4 8 3" xfId="41735"/>
    <cellStyle name="Data   - Opmaakprofiel2 3 3 4 8 4" xfId="43427"/>
    <cellStyle name="Data   - Opmaakprofiel2 3 3 4 8 5" xfId="52604"/>
    <cellStyle name="Data   - Opmaakprofiel2 3 3 4 9" xfId="13829"/>
    <cellStyle name="Data   - Opmaakprofiel2 3 3 5" xfId="1078"/>
    <cellStyle name="Data   - Opmaakprofiel2 3 3 5 2" xfId="1489"/>
    <cellStyle name="Data   - Opmaakprofiel2 3 3 5 2 2" xfId="8723"/>
    <cellStyle name="Data   - Opmaakprofiel2 3 3 5 2 2 2" xfId="21021"/>
    <cellStyle name="Data   - Opmaakprofiel2 3 3 5 2 2 3" xfId="33073"/>
    <cellStyle name="Data   - Opmaakprofiel2 3 3 5 2 2 4" xfId="42990"/>
    <cellStyle name="Data   - Opmaakprofiel2 3 3 5 2 2 5" xfId="53688"/>
    <cellStyle name="Data   - Opmaakprofiel2 3 3 5 2 3" xfId="13837"/>
    <cellStyle name="Data   - Opmaakprofiel2 3 3 5 2 4" xfId="25889"/>
    <cellStyle name="Data   - Opmaakprofiel2 3 3 5 2 5" xfId="40309"/>
    <cellStyle name="Data   - Opmaakprofiel2 3 3 5 2 6" xfId="47583"/>
    <cellStyle name="Data   - Opmaakprofiel2 3 3 5 3" xfId="3089"/>
    <cellStyle name="Data   - Opmaakprofiel2 3 3 5 3 2" xfId="8724"/>
    <cellStyle name="Data   - Opmaakprofiel2 3 3 5 3 2 2" xfId="21022"/>
    <cellStyle name="Data   - Opmaakprofiel2 3 3 5 3 2 3" xfId="33074"/>
    <cellStyle name="Data   - Opmaakprofiel2 3 3 5 3 2 4" xfId="31945"/>
    <cellStyle name="Data   - Opmaakprofiel2 3 3 5 3 2 5" xfId="53689"/>
    <cellStyle name="Data   - Opmaakprofiel2 3 3 5 3 3" xfId="13838"/>
    <cellStyle name="Data   - Opmaakprofiel2 3 3 5 3 4" xfId="25890"/>
    <cellStyle name="Data   - Opmaakprofiel2 3 3 5 3 5" xfId="45932"/>
    <cellStyle name="Data   - Opmaakprofiel2 3 3 5 3 6" xfId="47584"/>
    <cellStyle name="Data   - Opmaakprofiel2 3 3 5 4" xfId="3928"/>
    <cellStyle name="Data   - Opmaakprofiel2 3 3 5 4 2" xfId="8725"/>
    <cellStyle name="Data   - Opmaakprofiel2 3 3 5 4 2 2" xfId="21023"/>
    <cellStyle name="Data   - Opmaakprofiel2 3 3 5 4 2 3" xfId="33075"/>
    <cellStyle name="Data   - Opmaakprofiel2 3 3 5 4 2 4" xfId="42989"/>
    <cellStyle name="Data   - Opmaakprofiel2 3 3 5 4 2 5" xfId="53690"/>
    <cellStyle name="Data   - Opmaakprofiel2 3 3 5 4 3" xfId="13839"/>
    <cellStyle name="Data   - Opmaakprofiel2 3 3 5 4 4" xfId="25891"/>
    <cellStyle name="Data   - Opmaakprofiel2 3 3 5 4 5" xfId="40308"/>
    <cellStyle name="Data   - Opmaakprofiel2 3 3 5 4 6" xfId="47585"/>
    <cellStyle name="Data   - Opmaakprofiel2 3 3 5 5" xfId="4726"/>
    <cellStyle name="Data   - Opmaakprofiel2 3 3 5 5 2" xfId="8726"/>
    <cellStyle name="Data   - Opmaakprofiel2 3 3 5 5 2 2" xfId="21024"/>
    <cellStyle name="Data   - Opmaakprofiel2 3 3 5 5 2 3" xfId="33076"/>
    <cellStyle name="Data   - Opmaakprofiel2 3 3 5 5 2 4" xfId="27136"/>
    <cellStyle name="Data   - Opmaakprofiel2 3 3 5 5 2 5" xfId="53691"/>
    <cellStyle name="Data   - Opmaakprofiel2 3 3 5 5 3" xfId="13840"/>
    <cellStyle name="Data   - Opmaakprofiel2 3 3 5 5 4" xfId="25892"/>
    <cellStyle name="Data   - Opmaakprofiel2 3 3 5 5 5" xfId="45931"/>
    <cellStyle name="Data   - Opmaakprofiel2 3 3 5 5 6" xfId="47586"/>
    <cellStyle name="Data   - Opmaakprofiel2 3 3 5 6" xfId="4727"/>
    <cellStyle name="Data   - Opmaakprofiel2 3 3 5 6 2" xfId="8727"/>
    <cellStyle name="Data   - Opmaakprofiel2 3 3 5 6 2 2" xfId="21025"/>
    <cellStyle name="Data   - Opmaakprofiel2 3 3 5 6 2 3" xfId="33077"/>
    <cellStyle name="Data   - Opmaakprofiel2 3 3 5 6 2 4" xfId="31894"/>
    <cellStyle name="Data   - Opmaakprofiel2 3 3 5 6 2 5" xfId="53692"/>
    <cellStyle name="Data   - Opmaakprofiel2 3 3 5 6 3" xfId="13841"/>
    <cellStyle name="Data   - Opmaakprofiel2 3 3 5 6 4" xfId="25893"/>
    <cellStyle name="Data   - Opmaakprofiel2 3 3 5 6 5" xfId="40307"/>
    <cellStyle name="Data   - Opmaakprofiel2 3 3 5 6 6" xfId="47587"/>
    <cellStyle name="Data   - Opmaakprofiel2 3 3 5 7" xfId="4728"/>
    <cellStyle name="Data   - Opmaakprofiel2 3 3 5 7 2" xfId="13842"/>
    <cellStyle name="Data   - Opmaakprofiel2 3 3 5 7 3" xfId="25894"/>
    <cellStyle name="Data   - Opmaakprofiel2 3 3 5 7 4" xfId="45930"/>
    <cellStyle name="Data   - Opmaakprofiel2 3 3 5 7 5" xfId="47588"/>
    <cellStyle name="Data   - Opmaakprofiel2 3 3 5 8" xfId="7257"/>
    <cellStyle name="Data   - Opmaakprofiel2 3 3 5 8 2" xfId="19555"/>
    <cellStyle name="Data   - Opmaakprofiel2 3 3 5 8 3" xfId="41358"/>
    <cellStyle name="Data   - Opmaakprofiel2 3 3 5 8 4" xfId="36884"/>
    <cellStyle name="Data   - Opmaakprofiel2 3 3 5 8 5" xfId="52227"/>
    <cellStyle name="Data   - Opmaakprofiel2 3 3 5 9" xfId="13836"/>
    <cellStyle name="Data   - Opmaakprofiel2 3 3 6" xfId="839"/>
    <cellStyle name="Data   - Opmaakprofiel2 3 3 6 2" xfId="1568"/>
    <cellStyle name="Data   - Opmaakprofiel2 3 3 6 2 2" xfId="8728"/>
    <cellStyle name="Data   - Opmaakprofiel2 3 3 6 2 2 2" xfId="21026"/>
    <cellStyle name="Data   - Opmaakprofiel2 3 3 6 2 2 3" xfId="33078"/>
    <cellStyle name="Data   - Opmaakprofiel2 3 3 6 2 2 4" xfId="27143"/>
    <cellStyle name="Data   - Opmaakprofiel2 3 3 6 2 2 5" xfId="53693"/>
    <cellStyle name="Data   - Opmaakprofiel2 3 3 6 2 3" xfId="13844"/>
    <cellStyle name="Data   - Opmaakprofiel2 3 3 6 2 4" xfId="25896"/>
    <cellStyle name="Data   - Opmaakprofiel2 3 3 6 2 5" xfId="45929"/>
    <cellStyle name="Data   - Opmaakprofiel2 3 3 6 2 6" xfId="47589"/>
    <cellStyle name="Data   - Opmaakprofiel2 3 3 6 3" xfId="2850"/>
    <cellStyle name="Data   - Opmaakprofiel2 3 3 6 3 2" xfId="8729"/>
    <cellStyle name="Data   - Opmaakprofiel2 3 3 6 3 2 2" xfId="21027"/>
    <cellStyle name="Data   - Opmaakprofiel2 3 3 6 3 2 3" xfId="33079"/>
    <cellStyle name="Data   - Opmaakprofiel2 3 3 6 3 2 4" xfId="42988"/>
    <cellStyle name="Data   - Opmaakprofiel2 3 3 6 3 2 5" xfId="53694"/>
    <cellStyle name="Data   - Opmaakprofiel2 3 3 6 3 3" xfId="13845"/>
    <cellStyle name="Data   - Opmaakprofiel2 3 3 6 3 4" xfId="25897"/>
    <cellStyle name="Data   - Opmaakprofiel2 3 3 6 3 5" xfId="40305"/>
    <cellStyle name="Data   - Opmaakprofiel2 3 3 6 3 6" xfId="47590"/>
    <cellStyle name="Data   - Opmaakprofiel2 3 3 6 4" xfId="3705"/>
    <cellStyle name="Data   - Opmaakprofiel2 3 3 6 4 2" xfId="8730"/>
    <cellStyle name="Data   - Opmaakprofiel2 3 3 6 4 2 2" xfId="21028"/>
    <cellStyle name="Data   - Opmaakprofiel2 3 3 6 4 2 3" xfId="33080"/>
    <cellStyle name="Data   - Opmaakprofiel2 3 3 6 4 2 4" xfId="31447"/>
    <cellStyle name="Data   - Opmaakprofiel2 3 3 6 4 2 5" xfId="53695"/>
    <cellStyle name="Data   - Opmaakprofiel2 3 3 6 4 3" xfId="13846"/>
    <cellStyle name="Data   - Opmaakprofiel2 3 3 6 4 4" xfId="25898"/>
    <cellStyle name="Data   - Opmaakprofiel2 3 3 6 4 5" xfId="45928"/>
    <cellStyle name="Data   - Opmaakprofiel2 3 3 6 4 6" xfId="47591"/>
    <cellStyle name="Data   - Opmaakprofiel2 3 3 6 5" xfId="4729"/>
    <cellStyle name="Data   - Opmaakprofiel2 3 3 6 5 2" xfId="8731"/>
    <cellStyle name="Data   - Opmaakprofiel2 3 3 6 5 2 2" xfId="21029"/>
    <cellStyle name="Data   - Opmaakprofiel2 3 3 6 5 2 3" xfId="33081"/>
    <cellStyle name="Data   - Opmaakprofiel2 3 3 6 5 2 4" xfId="42987"/>
    <cellStyle name="Data   - Opmaakprofiel2 3 3 6 5 2 5" xfId="53696"/>
    <cellStyle name="Data   - Opmaakprofiel2 3 3 6 5 3" xfId="13847"/>
    <cellStyle name="Data   - Opmaakprofiel2 3 3 6 5 4" xfId="25899"/>
    <cellStyle name="Data   - Opmaakprofiel2 3 3 6 5 5" xfId="40304"/>
    <cellStyle name="Data   - Opmaakprofiel2 3 3 6 5 6" xfId="47592"/>
    <cellStyle name="Data   - Opmaakprofiel2 3 3 6 6" xfId="4730"/>
    <cellStyle name="Data   - Opmaakprofiel2 3 3 6 6 2" xfId="8732"/>
    <cellStyle name="Data   - Opmaakprofiel2 3 3 6 6 2 2" xfId="21030"/>
    <cellStyle name="Data   - Opmaakprofiel2 3 3 6 6 2 3" xfId="33082"/>
    <cellStyle name="Data   - Opmaakprofiel2 3 3 6 6 2 4" xfId="27153"/>
    <cellStyle name="Data   - Opmaakprofiel2 3 3 6 6 2 5" xfId="53697"/>
    <cellStyle name="Data   - Opmaakprofiel2 3 3 6 6 3" xfId="13848"/>
    <cellStyle name="Data   - Opmaakprofiel2 3 3 6 6 4" xfId="25900"/>
    <cellStyle name="Data   - Opmaakprofiel2 3 3 6 6 5" xfId="40303"/>
    <cellStyle name="Data   - Opmaakprofiel2 3 3 6 6 6" xfId="47593"/>
    <cellStyle name="Data   - Opmaakprofiel2 3 3 6 7" xfId="4731"/>
    <cellStyle name="Data   - Opmaakprofiel2 3 3 6 7 2" xfId="13849"/>
    <cellStyle name="Data   - Opmaakprofiel2 3 3 6 7 3" xfId="25901"/>
    <cellStyle name="Data   - Opmaakprofiel2 3 3 6 7 4" xfId="40302"/>
    <cellStyle name="Data   - Opmaakprofiel2 3 3 6 7 5" xfId="47594"/>
    <cellStyle name="Data   - Opmaakprofiel2 3 3 6 8" xfId="7421"/>
    <cellStyle name="Data   - Opmaakprofiel2 3 3 6 8 2" xfId="19719"/>
    <cellStyle name="Data   - Opmaakprofiel2 3 3 6 8 3" xfId="41522"/>
    <cellStyle name="Data   - Opmaakprofiel2 3 3 6 8 4" xfId="15566"/>
    <cellStyle name="Data   - Opmaakprofiel2 3 3 6 8 5" xfId="52391"/>
    <cellStyle name="Data   - Opmaakprofiel2 3 3 6 9" xfId="13843"/>
    <cellStyle name="Data   - Opmaakprofiel2 3 3 7" xfId="1226"/>
    <cellStyle name="Data   - Opmaakprofiel2 3 3 7 2" xfId="1687"/>
    <cellStyle name="Data   - Opmaakprofiel2 3 3 7 2 2" xfId="8733"/>
    <cellStyle name="Data   - Opmaakprofiel2 3 3 7 2 2 2" xfId="21031"/>
    <cellStyle name="Data   - Opmaakprofiel2 3 3 7 2 2 3" xfId="33083"/>
    <cellStyle name="Data   - Opmaakprofiel2 3 3 7 2 2 4" xfId="42986"/>
    <cellStyle name="Data   - Opmaakprofiel2 3 3 7 2 2 5" xfId="53698"/>
    <cellStyle name="Data   - Opmaakprofiel2 3 3 7 2 3" xfId="13851"/>
    <cellStyle name="Data   - Opmaakprofiel2 3 3 7 2 4" xfId="25903"/>
    <cellStyle name="Data   - Opmaakprofiel2 3 3 7 2 5" xfId="40301"/>
    <cellStyle name="Data   - Opmaakprofiel2 3 3 7 2 6" xfId="47595"/>
    <cellStyle name="Data   - Opmaakprofiel2 3 3 7 3" xfId="3237"/>
    <cellStyle name="Data   - Opmaakprofiel2 3 3 7 3 2" xfId="8734"/>
    <cellStyle name="Data   - Opmaakprofiel2 3 3 7 3 2 2" xfId="21032"/>
    <cellStyle name="Data   - Opmaakprofiel2 3 3 7 3 2 3" xfId="33084"/>
    <cellStyle name="Data   - Opmaakprofiel2 3 3 7 3 2 4" xfId="34524"/>
    <cellStyle name="Data   - Opmaakprofiel2 3 3 7 3 2 5" xfId="53699"/>
    <cellStyle name="Data   - Opmaakprofiel2 3 3 7 3 3" xfId="13852"/>
    <cellStyle name="Data   - Opmaakprofiel2 3 3 7 3 4" xfId="25904"/>
    <cellStyle name="Data   - Opmaakprofiel2 3 3 7 3 5" xfId="45926"/>
    <cellStyle name="Data   - Opmaakprofiel2 3 3 7 3 6" xfId="47596"/>
    <cellStyle name="Data   - Opmaakprofiel2 3 3 7 4" xfId="4052"/>
    <cellStyle name="Data   - Opmaakprofiel2 3 3 7 4 2" xfId="8735"/>
    <cellStyle name="Data   - Opmaakprofiel2 3 3 7 4 2 2" xfId="21033"/>
    <cellStyle name="Data   - Opmaakprofiel2 3 3 7 4 2 3" xfId="33085"/>
    <cellStyle name="Data   - Opmaakprofiel2 3 3 7 4 2 4" xfId="42985"/>
    <cellStyle name="Data   - Opmaakprofiel2 3 3 7 4 2 5" xfId="53700"/>
    <cellStyle name="Data   - Opmaakprofiel2 3 3 7 4 3" xfId="13853"/>
    <cellStyle name="Data   - Opmaakprofiel2 3 3 7 4 4" xfId="25905"/>
    <cellStyle name="Data   - Opmaakprofiel2 3 3 7 4 5" xfId="40300"/>
    <cellStyle name="Data   - Opmaakprofiel2 3 3 7 4 6" xfId="47597"/>
    <cellStyle name="Data   - Opmaakprofiel2 3 3 7 5" xfId="4732"/>
    <cellStyle name="Data   - Opmaakprofiel2 3 3 7 5 2" xfId="8736"/>
    <cellStyle name="Data   - Opmaakprofiel2 3 3 7 5 2 2" xfId="21034"/>
    <cellStyle name="Data   - Opmaakprofiel2 3 3 7 5 2 3" xfId="33086"/>
    <cellStyle name="Data   - Opmaakprofiel2 3 3 7 5 2 4" xfId="27157"/>
    <cellStyle name="Data   - Opmaakprofiel2 3 3 7 5 2 5" xfId="53701"/>
    <cellStyle name="Data   - Opmaakprofiel2 3 3 7 5 3" xfId="13854"/>
    <cellStyle name="Data   - Opmaakprofiel2 3 3 7 5 4" xfId="25906"/>
    <cellStyle name="Data   - Opmaakprofiel2 3 3 7 5 5" xfId="45925"/>
    <cellStyle name="Data   - Opmaakprofiel2 3 3 7 5 6" xfId="47598"/>
    <cellStyle name="Data   - Opmaakprofiel2 3 3 7 6" xfId="4733"/>
    <cellStyle name="Data   - Opmaakprofiel2 3 3 7 6 2" xfId="8737"/>
    <cellStyle name="Data   - Opmaakprofiel2 3 3 7 6 2 2" xfId="21035"/>
    <cellStyle name="Data   - Opmaakprofiel2 3 3 7 6 2 3" xfId="33087"/>
    <cellStyle name="Data   - Opmaakprofiel2 3 3 7 6 2 4" xfId="42984"/>
    <cellStyle name="Data   - Opmaakprofiel2 3 3 7 6 2 5" xfId="53702"/>
    <cellStyle name="Data   - Opmaakprofiel2 3 3 7 6 3" xfId="13855"/>
    <cellStyle name="Data   - Opmaakprofiel2 3 3 7 6 4" xfId="25907"/>
    <cellStyle name="Data   - Opmaakprofiel2 3 3 7 6 5" xfId="40299"/>
    <cellStyle name="Data   - Opmaakprofiel2 3 3 7 6 6" xfId="47599"/>
    <cellStyle name="Data   - Opmaakprofiel2 3 3 7 7" xfId="4734"/>
    <cellStyle name="Data   - Opmaakprofiel2 3 3 7 7 2" xfId="13856"/>
    <cellStyle name="Data   - Opmaakprofiel2 3 3 7 7 3" xfId="25908"/>
    <cellStyle name="Data   - Opmaakprofiel2 3 3 7 7 4" xfId="45924"/>
    <cellStyle name="Data   - Opmaakprofiel2 3 3 7 7 5" xfId="47600"/>
    <cellStyle name="Data   - Opmaakprofiel2 3 3 7 8" xfId="7148"/>
    <cellStyle name="Data   - Opmaakprofiel2 3 3 7 8 2" xfId="19446"/>
    <cellStyle name="Data   - Opmaakprofiel2 3 3 7 8 3" xfId="41249"/>
    <cellStyle name="Data   - Opmaakprofiel2 3 3 7 8 4" xfId="43630"/>
    <cellStyle name="Data   - Opmaakprofiel2 3 3 7 8 5" xfId="52118"/>
    <cellStyle name="Data   - Opmaakprofiel2 3 3 7 9" xfId="13850"/>
    <cellStyle name="Data   - Opmaakprofiel2 3 3 8" xfId="1329"/>
    <cellStyle name="Data   - Opmaakprofiel2 3 3 8 2" xfId="2308"/>
    <cellStyle name="Data   - Opmaakprofiel2 3 3 8 2 2" xfId="8738"/>
    <cellStyle name="Data   - Opmaakprofiel2 3 3 8 2 2 2" xfId="21036"/>
    <cellStyle name="Data   - Opmaakprofiel2 3 3 8 2 2 3" xfId="33088"/>
    <cellStyle name="Data   - Opmaakprofiel2 3 3 8 2 2 4" xfId="34409"/>
    <cellStyle name="Data   - Opmaakprofiel2 3 3 8 2 2 5" xfId="53703"/>
    <cellStyle name="Data   - Opmaakprofiel2 3 3 8 2 3" xfId="13858"/>
    <cellStyle name="Data   - Opmaakprofiel2 3 3 8 2 4" xfId="25910"/>
    <cellStyle name="Data   - Opmaakprofiel2 3 3 8 2 5" xfId="45923"/>
    <cellStyle name="Data   - Opmaakprofiel2 3 3 8 2 6" xfId="47601"/>
    <cellStyle name="Data   - Opmaakprofiel2 3 3 8 3" xfId="3340"/>
    <cellStyle name="Data   - Opmaakprofiel2 3 3 8 3 2" xfId="8739"/>
    <cellStyle name="Data   - Opmaakprofiel2 3 3 8 3 2 2" xfId="21037"/>
    <cellStyle name="Data   - Opmaakprofiel2 3 3 8 3 2 3" xfId="33089"/>
    <cellStyle name="Data   - Opmaakprofiel2 3 3 8 3 2 4" xfId="27164"/>
    <cellStyle name="Data   - Opmaakprofiel2 3 3 8 3 2 5" xfId="53704"/>
    <cellStyle name="Data   - Opmaakprofiel2 3 3 8 3 3" xfId="13859"/>
    <cellStyle name="Data   - Opmaakprofiel2 3 3 8 3 4" xfId="25911"/>
    <cellStyle name="Data   - Opmaakprofiel2 3 3 8 3 5" xfId="40297"/>
    <cellStyle name="Data   - Opmaakprofiel2 3 3 8 3 6" xfId="47602"/>
    <cellStyle name="Data   - Opmaakprofiel2 3 3 8 4" xfId="4121"/>
    <cellStyle name="Data   - Opmaakprofiel2 3 3 8 4 2" xfId="8740"/>
    <cellStyle name="Data   - Opmaakprofiel2 3 3 8 4 2 2" xfId="21038"/>
    <cellStyle name="Data   - Opmaakprofiel2 3 3 8 4 2 3" xfId="33090"/>
    <cellStyle name="Data   - Opmaakprofiel2 3 3 8 4 2 4" xfId="31651"/>
    <cellStyle name="Data   - Opmaakprofiel2 3 3 8 4 2 5" xfId="53705"/>
    <cellStyle name="Data   - Opmaakprofiel2 3 3 8 4 3" xfId="13860"/>
    <cellStyle name="Data   - Opmaakprofiel2 3 3 8 4 4" xfId="25912"/>
    <cellStyle name="Data   - Opmaakprofiel2 3 3 8 4 5" xfId="40296"/>
    <cellStyle name="Data   - Opmaakprofiel2 3 3 8 4 6" xfId="47603"/>
    <cellStyle name="Data   - Opmaakprofiel2 3 3 8 5" xfId="4735"/>
    <cellStyle name="Data   - Opmaakprofiel2 3 3 8 5 2" xfId="8741"/>
    <cellStyle name="Data   - Opmaakprofiel2 3 3 8 5 2 2" xfId="21039"/>
    <cellStyle name="Data   - Opmaakprofiel2 3 3 8 5 2 3" xfId="33091"/>
    <cellStyle name="Data   - Opmaakprofiel2 3 3 8 5 2 4" xfId="42983"/>
    <cellStyle name="Data   - Opmaakprofiel2 3 3 8 5 2 5" xfId="53706"/>
    <cellStyle name="Data   - Opmaakprofiel2 3 3 8 5 3" xfId="13861"/>
    <cellStyle name="Data   - Opmaakprofiel2 3 3 8 5 4" xfId="25913"/>
    <cellStyle name="Data   - Opmaakprofiel2 3 3 8 5 5" xfId="40295"/>
    <cellStyle name="Data   - Opmaakprofiel2 3 3 8 5 6" xfId="47604"/>
    <cellStyle name="Data   - Opmaakprofiel2 3 3 8 6" xfId="4736"/>
    <cellStyle name="Data   - Opmaakprofiel2 3 3 8 6 2" xfId="8742"/>
    <cellStyle name="Data   - Opmaakprofiel2 3 3 8 6 2 2" xfId="21040"/>
    <cellStyle name="Data   - Opmaakprofiel2 3 3 8 6 2 3" xfId="33092"/>
    <cellStyle name="Data   - Opmaakprofiel2 3 3 8 6 2 4" xfId="27171"/>
    <cellStyle name="Data   - Opmaakprofiel2 3 3 8 6 2 5" xfId="53707"/>
    <cellStyle name="Data   - Opmaakprofiel2 3 3 8 6 3" xfId="13862"/>
    <cellStyle name="Data   - Opmaakprofiel2 3 3 8 6 4" xfId="25914"/>
    <cellStyle name="Data   - Opmaakprofiel2 3 3 8 6 5" xfId="45922"/>
    <cellStyle name="Data   - Opmaakprofiel2 3 3 8 6 6" xfId="47605"/>
    <cellStyle name="Data   - Opmaakprofiel2 3 3 8 7" xfId="4737"/>
    <cellStyle name="Data   - Opmaakprofiel2 3 3 8 7 2" xfId="13863"/>
    <cellStyle name="Data   - Opmaakprofiel2 3 3 8 7 3" xfId="25915"/>
    <cellStyle name="Data   - Opmaakprofiel2 3 3 8 7 4" xfId="40294"/>
    <cellStyle name="Data   - Opmaakprofiel2 3 3 8 7 5" xfId="47606"/>
    <cellStyle name="Data   - Opmaakprofiel2 3 3 8 8" xfId="9855"/>
    <cellStyle name="Data   - Opmaakprofiel2 3 3 8 8 2" xfId="22153"/>
    <cellStyle name="Data   - Opmaakprofiel2 3 3 8 8 3" xfId="43920"/>
    <cellStyle name="Data   - Opmaakprofiel2 3 3 8 8 4" xfId="32135"/>
    <cellStyle name="Data   - Opmaakprofiel2 3 3 8 8 5" xfId="54820"/>
    <cellStyle name="Data   - Opmaakprofiel2 3 3 8 9" xfId="13857"/>
    <cellStyle name="Data   - Opmaakprofiel2 3 3 9" xfId="1385"/>
    <cellStyle name="Data   - Opmaakprofiel2 3 3 9 2" xfId="238"/>
    <cellStyle name="Data   - Opmaakprofiel2 3 3 9 2 2" xfId="8743"/>
    <cellStyle name="Data   - Opmaakprofiel2 3 3 9 2 2 2" xfId="21041"/>
    <cellStyle name="Data   - Opmaakprofiel2 3 3 9 2 2 3" xfId="33093"/>
    <cellStyle name="Data   - Opmaakprofiel2 3 3 9 2 2 4" xfId="42982"/>
    <cellStyle name="Data   - Opmaakprofiel2 3 3 9 2 2 5" xfId="53708"/>
    <cellStyle name="Data   - Opmaakprofiel2 3 3 9 2 3" xfId="13865"/>
    <cellStyle name="Data   - Opmaakprofiel2 3 3 9 2 4" xfId="25917"/>
    <cellStyle name="Data   - Opmaakprofiel2 3 3 9 2 5" xfId="40293"/>
    <cellStyle name="Data   - Opmaakprofiel2 3 3 9 2 6" xfId="47607"/>
    <cellStyle name="Data   - Opmaakprofiel2 3 3 9 3" xfId="3396"/>
    <cellStyle name="Data   - Opmaakprofiel2 3 3 9 3 2" xfId="8744"/>
    <cellStyle name="Data   - Opmaakprofiel2 3 3 9 3 2 2" xfId="21042"/>
    <cellStyle name="Data   - Opmaakprofiel2 3 3 9 3 2 3" xfId="33094"/>
    <cellStyle name="Data   - Opmaakprofiel2 3 3 9 3 2 4" xfId="31591"/>
    <cellStyle name="Data   - Opmaakprofiel2 3 3 9 3 2 5" xfId="53709"/>
    <cellStyle name="Data   - Opmaakprofiel2 3 3 9 3 3" xfId="13866"/>
    <cellStyle name="Data   - Opmaakprofiel2 3 3 9 3 4" xfId="25918"/>
    <cellStyle name="Data   - Opmaakprofiel2 3 3 9 3 5" xfId="40292"/>
    <cellStyle name="Data   - Opmaakprofiel2 3 3 9 3 6" xfId="47608"/>
    <cellStyle name="Data   - Opmaakprofiel2 3 3 9 4" xfId="4157"/>
    <cellStyle name="Data   - Opmaakprofiel2 3 3 9 4 2" xfId="8745"/>
    <cellStyle name="Data   - Opmaakprofiel2 3 3 9 4 2 2" xfId="21043"/>
    <cellStyle name="Data   - Opmaakprofiel2 3 3 9 4 2 3" xfId="33095"/>
    <cellStyle name="Data   - Opmaakprofiel2 3 3 9 4 2 4" xfId="42981"/>
    <cellStyle name="Data   - Opmaakprofiel2 3 3 9 4 2 5" xfId="53710"/>
    <cellStyle name="Data   - Opmaakprofiel2 3 3 9 4 3" xfId="13867"/>
    <cellStyle name="Data   - Opmaakprofiel2 3 3 9 4 4" xfId="25919"/>
    <cellStyle name="Data   - Opmaakprofiel2 3 3 9 4 5" xfId="40291"/>
    <cellStyle name="Data   - Opmaakprofiel2 3 3 9 4 6" xfId="47609"/>
    <cellStyle name="Data   - Opmaakprofiel2 3 3 9 5" xfId="4738"/>
    <cellStyle name="Data   - Opmaakprofiel2 3 3 9 5 2" xfId="8746"/>
    <cellStyle name="Data   - Opmaakprofiel2 3 3 9 5 2 2" xfId="21044"/>
    <cellStyle name="Data   - Opmaakprofiel2 3 3 9 5 2 3" xfId="33096"/>
    <cellStyle name="Data   - Opmaakprofiel2 3 3 9 5 2 4" xfId="27178"/>
    <cellStyle name="Data   - Opmaakprofiel2 3 3 9 5 2 5" xfId="53711"/>
    <cellStyle name="Data   - Opmaakprofiel2 3 3 9 5 3" xfId="13868"/>
    <cellStyle name="Data   - Opmaakprofiel2 3 3 9 5 4" xfId="25920"/>
    <cellStyle name="Data   - Opmaakprofiel2 3 3 9 5 5" xfId="45920"/>
    <cellStyle name="Data   - Opmaakprofiel2 3 3 9 5 6" xfId="47610"/>
    <cellStyle name="Data   - Opmaakprofiel2 3 3 9 6" xfId="4739"/>
    <cellStyle name="Data   - Opmaakprofiel2 3 3 9 6 2" xfId="8747"/>
    <cellStyle name="Data   - Opmaakprofiel2 3 3 9 6 2 2" xfId="21045"/>
    <cellStyle name="Data   - Opmaakprofiel2 3 3 9 6 2 3" xfId="33097"/>
    <cellStyle name="Data   - Opmaakprofiel2 3 3 9 6 2 4" xfId="42980"/>
    <cellStyle name="Data   - Opmaakprofiel2 3 3 9 6 2 5" xfId="53712"/>
    <cellStyle name="Data   - Opmaakprofiel2 3 3 9 6 3" xfId="13869"/>
    <cellStyle name="Data   - Opmaakprofiel2 3 3 9 6 4" xfId="25921"/>
    <cellStyle name="Data   - Opmaakprofiel2 3 3 9 6 5" xfId="40290"/>
    <cellStyle name="Data   - Opmaakprofiel2 3 3 9 6 6" xfId="47611"/>
    <cellStyle name="Data   - Opmaakprofiel2 3 3 9 7" xfId="4740"/>
    <cellStyle name="Data   - Opmaakprofiel2 3 3 9 7 2" xfId="13870"/>
    <cellStyle name="Data   - Opmaakprofiel2 3 3 9 7 3" xfId="25922"/>
    <cellStyle name="Data   - Opmaakprofiel2 3 3 9 7 4" xfId="45919"/>
    <cellStyle name="Data   - Opmaakprofiel2 3 3 9 7 5" xfId="47612"/>
    <cellStyle name="Data   - Opmaakprofiel2 3 3 9 8" xfId="9807"/>
    <cellStyle name="Data   - Opmaakprofiel2 3 3 9 8 2" xfId="22105"/>
    <cellStyle name="Data   - Opmaakprofiel2 3 3 9 8 3" xfId="43873"/>
    <cellStyle name="Data   - Opmaakprofiel2 3 3 9 8 4" xfId="42538"/>
    <cellStyle name="Data   - Opmaakprofiel2 3 3 9 8 5" xfId="54772"/>
    <cellStyle name="Data   - Opmaakprofiel2 3 3 9 9" xfId="13864"/>
    <cellStyle name="Data   - Opmaakprofiel2 3 4" xfId="371"/>
    <cellStyle name="Data   - Opmaakprofiel2 3 4 10" xfId="1747"/>
    <cellStyle name="Data   - Opmaakprofiel2 3 4 10 2" xfId="8748"/>
    <cellStyle name="Data   - Opmaakprofiel2 3 4 10 2 2" xfId="21046"/>
    <cellStyle name="Data   - Opmaakprofiel2 3 4 10 2 3" xfId="33098"/>
    <cellStyle name="Data   - Opmaakprofiel2 3 4 10 2 4" xfId="31536"/>
    <cellStyle name="Data   - Opmaakprofiel2 3 4 10 2 5" xfId="53713"/>
    <cellStyle name="Data   - Opmaakprofiel2 3 4 10 3" xfId="13872"/>
    <cellStyle name="Data   - Opmaakprofiel2 3 4 10 4" xfId="25924"/>
    <cellStyle name="Data   - Opmaakprofiel2 3 4 10 5" xfId="45918"/>
    <cellStyle name="Data   - Opmaakprofiel2 3 4 10 6" xfId="47613"/>
    <cellStyle name="Data   - Opmaakprofiel2 3 4 11" xfId="2477"/>
    <cellStyle name="Data   - Opmaakprofiel2 3 4 11 2" xfId="8749"/>
    <cellStyle name="Data   - Opmaakprofiel2 3 4 11 2 2" xfId="21047"/>
    <cellStyle name="Data   - Opmaakprofiel2 3 4 11 2 3" xfId="33099"/>
    <cellStyle name="Data   - Opmaakprofiel2 3 4 11 2 4" xfId="42979"/>
    <cellStyle name="Data   - Opmaakprofiel2 3 4 11 2 5" xfId="53714"/>
    <cellStyle name="Data   - Opmaakprofiel2 3 4 11 3" xfId="13873"/>
    <cellStyle name="Data   - Opmaakprofiel2 3 4 11 4" xfId="25925"/>
    <cellStyle name="Data   - Opmaakprofiel2 3 4 11 5" xfId="40288"/>
    <cellStyle name="Data   - Opmaakprofiel2 3 4 11 6" xfId="47614"/>
    <cellStyle name="Data   - Opmaakprofiel2 3 4 12" xfId="2098"/>
    <cellStyle name="Data   - Opmaakprofiel2 3 4 12 2" xfId="8750"/>
    <cellStyle name="Data   - Opmaakprofiel2 3 4 12 2 2" xfId="21048"/>
    <cellStyle name="Data   - Opmaakprofiel2 3 4 12 2 3" xfId="33100"/>
    <cellStyle name="Data   - Opmaakprofiel2 3 4 12 2 4" xfId="27185"/>
    <cellStyle name="Data   - Opmaakprofiel2 3 4 12 2 5" xfId="53715"/>
    <cellStyle name="Data   - Opmaakprofiel2 3 4 12 3" xfId="13874"/>
    <cellStyle name="Data   - Opmaakprofiel2 3 4 12 4" xfId="25926"/>
    <cellStyle name="Data   - Opmaakprofiel2 3 4 12 5" xfId="45917"/>
    <cellStyle name="Data   - Opmaakprofiel2 3 4 12 6" xfId="47615"/>
    <cellStyle name="Data   - Opmaakprofiel2 3 4 13" xfId="4741"/>
    <cellStyle name="Data   - Opmaakprofiel2 3 4 13 2" xfId="8751"/>
    <cellStyle name="Data   - Opmaakprofiel2 3 4 13 2 2" xfId="21049"/>
    <cellStyle name="Data   - Opmaakprofiel2 3 4 13 2 3" xfId="33101"/>
    <cellStyle name="Data   - Opmaakprofiel2 3 4 13 2 4" xfId="34247"/>
    <cellStyle name="Data   - Opmaakprofiel2 3 4 13 2 5" xfId="53716"/>
    <cellStyle name="Data   - Opmaakprofiel2 3 4 13 3" xfId="13875"/>
    <cellStyle name="Data   - Opmaakprofiel2 3 4 13 4" xfId="25927"/>
    <cellStyle name="Data   - Opmaakprofiel2 3 4 13 5" xfId="40287"/>
    <cellStyle name="Data   - Opmaakprofiel2 3 4 13 6" xfId="47616"/>
    <cellStyle name="Data   - Opmaakprofiel2 3 4 14" xfId="4742"/>
    <cellStyle name="Data   - Opmaakprofiel2 3 4 14 2" xfId="8752"/>
    <cellStyle name="Data   - Opmaakprofiel2 3 4 14 2 2" xfId="21050"/>
    <cellStyle name="Data   - Opmaakprofiel2 3 4 14 2 3" xfId="33102"/>
    <cellStyle name="Data   - Opmaakprofiel2 3 4 14 2 4" xfId="27195"/>
    <cellStyle name="Data   - Opmaakprofiel2 3 4 14 2 5" xfId="53717"/>
    <cellStyle name="Data   - Opmaakprofiel2 3 4 14 3" xfId="13876"/>
    <cellStyle name="Data   - Opmaakprofiel2 3 4 14 4" xfId="25928"/>
    <cellStyle name="Data   - Opmaakprofiel2 3 4 14 5" xfId="45916"/>
    <cellStyle name="Data   - Opmaakprofiel2 3 4 14 6" xfId="47617"/>
    <cellStyle name="Data   - Opmaakprofiel2 3 4 15" xfId="4743"/>
    <cellStyle name="Data   - Opmaakprofiel2 3 4 15 2" xfId="13877"/>
    <cellStyle name="Data   - Opmaakprofiel2 3 4 15 3" xfId="25929"/>
    <cellStyle name="Data   - Opmaakprofiel2 3 4 15 4" xfId="40286"/>
    <cellStyle name="Data   - Opmaakprofiel2 3 4 15 5" xfId="47618"/>
    <cellStyle name="Data   - Opmaakprofiel2 3 4 16" xfId="7732"/>
    <cellStyle name="Data   - Opmaakprofiel2 3 4 16 2" xfId="20030"/>
    <cellStyle name="Data   - Opmaakprofiel2 3 4 16 3" xfId="41833"/>
    <cellStyle name="Data   - Opmaakprofiel2 3 4 16 4" xfId="31766"/>
    <cellStyle name="Data   - Opmaakprofiel2 3 4 16 5" xfId="52702"/>
    <cellStyle name="Data   - Opmaakprofiel2 3 4 17" xfId="13871"/>
    <cellStyle name="Data   - Opmaakprofiel2 3 4 2" xfId="646"/>
    <cellStyle name="Data   - Opmaakprofiel2 3 4 2 2" xfId="2086"/>
    <cellStyle name="Data   - Opmaakprofiel2 3 4 2 2 2" xfId="8753"/>
    <cellStyle name="Data   - Opmaakprofiel2 3 4 2 2 2 2" xfId="21051"/>
    <cellStyle name="Data   - Opmaakprofiel2 3 4 2 2 2 3" xfId="33103"/>
    <cellStyle name="Data   - Opmaakprofiel2 3 4 2 2 2 4" xfId="42978"/>
    <cellStyle name="Data   - Opmaakprofiel2 3 4 2 2 2 5" xfId="53718"/>
    <cellStyle name="Data   - Opmaakprofiel2 3 4 2 2 3" xfId="13879"/>
    <cellStyle name="Data   - Opmaakprofiel2 3 4 2 2 4" xfId="25931"/>
    <cellStyle name="Data   - Opmaakprofiel2 3 4 2 2 5" xfId="40285"/>
    <cellStyle name="Data   - Opmaakprofiel2 3 4 2 2 6" xfId="47619"/>
    <cellStyle name="Data   - Opmaakprofiel2 3 4 2 3" xfId="2712"/>
    <cellStyle name="Data   - Opmaakprofiel2 3 4 2 3 2" xfId="8754"/>
    <cellStyle name="Data   - Opmaakprofiel2 3 4 2 3 2 2" xfId="21052"/>
    <cellStyle name="Data   - Opmaakprofiel2 3 4 2 3 2 3" xfId="33104"/>
    <cellStyle name="Data   - Opmaakprofiel2 3 4 2 3 2 4" xfId="31875"/>
    <cellStyle name="Data   - Opmaakprofiel2 3 4 2 3 2 5" xfId="53719"/>
    <cellStyle name="Data   - Opmaakprofiel2 3 4 2 3 3" xfId="13880"/>
    <cellStyle name="Data   - Opmaakprofiel2 3 4 2 3 4" xfId="25932"/>
    <cellStyle name="Data   - Opmaakprofiel2 3 4 2 3 5" xfId="45915"/>
    <cellStyle name="Data   - Opmaakprofiel2 3 4 2 3 6" xfId="47620"/>
    <cellStyle name="Data   - Opmaakprofiel2 3 4 2 4" xfId="3581"/>
    <cellStyle name="Data   - Opmaakprofiel2 3 4 2 4 2" xfId="8755"/>
    <cellStyle name="Data   - Opmaakprofiel2 3 4 2 4 2 2" xfId="21053"/>
    <cellStyle name="Data   - Opmaakprofiel2 3 4 2 4 2 3" xfId="33105"/>
    <cellStyle name="Data   - Opmaakprofiel2 3 4 2 4 2 4" xfId="42977"/>
    <cellStyle name="Data   - Opmaakprofiel2 3 4 2 4 2 5" xfId="53720"/>
    <cellStyle name="Data   - Opmaakprofiel2 3 4 2 4 3" xfId="13881"/>
    <cellStyle name="Data   - Opmaakprofiel2 3 4 2 4 4" xfId="25933"/>
    <cellStyle name="Data   - Opmaakprofiel2 3 4 2 4 5" xfId="40284"/>
    <cellStyle name="Data   - Opmaakprofiel2 3 4 2 4 6" xfId="47621"/>
    <cellStyle name="Data   - Opmaakprofiel2 3 4 2 5" xfId="4744"/>
    <cellStyle name="Data   - Opmaakprofiel2 3 4 2 5 2" xfId="8756"/>
    <cellStyle name="Data   - Opmaakprofiel2 3 4 2 5 2 2" xfId="21054"/>
    <cellStyle name="Data   - Opmaakprofiel2 3 4 2 5 2 3" xfId="33106"/>
    <cellStyle name="Data   - Opmaakprofiel2 3 4 2 5 2 4" xfId="27199"/>
    <cellStyle name="Data   - Opmaakprofiel2 3 4 2 5 2 5" xfId="53721"/>
    <cellStyle name="Data   - Opmaakprofiel2 3 4 2 5 3" xfId="13882"/>
    <cellStyle name="Data   - Opmaakprofiel2 3 4 2 5 4" xfId="25934"/>
    <cellStyle name="Data   - Opmaakprofiel2 3 4 2 5 5" xfId="45914"/>
    <cellStyle name="Data   - Opmaakprofiel2 3 4 2 5 6" xfId="47622"/>
    <cellStyle name="Data   - Opmaakprofiel2 3 4 2 6" xfId="4745"/>
    <cellStyle name="Data   - Opmaakprofiel2 3 4 2 6 2" xfId="8757"/>
    <cellStyle name="Data   - Opmaakprofiel2 3 4 2 6 2 2" xfId="21055"/>
    <cellStyle name="Data   - Opmaakprofiel2 3 4 2 6 2 3" xfId="33107"/>
    <cellStyle name="Data   - Opmaakprofiel2 3 4 2 6 2 4" xfId="42976"/>
    <cellStyle name="Data   - Opmaakprofiel2 3 4 2 6 2 5" xfId="53722"/>
    <cellStyle name="Data   - Opmaakprofiel2 3 4 2 6 3" xfId="13883"/>
    <cellStyle name="Data   - Opmaakprofiel2 3 4 2 6 4" xfId="25935"/>
    <cellStyle name="Data   - Opmaakprofiel2 3 4 2 6 5" xfId="40283"/>
    <cellStyle name="Data   - Opmaakprofiel2 3 4 2 6 6" xfId="47623"/>
    <cellStyle name="Data   - Opmaakprofiel2 3 4 2 7" xfId="4746"/>
    <cellStyle name="Data   - Opmaakprofiel2 3 4 2 7 2" xfId="13884"/>
    <cellStyle name="Data   - Opmaakprofiel2 3 4 2 7 3" xfId="25936"/>
    <cellStyle name="Data   - Opmaakprofiel2 3 4 2 7 4" xfId="45913"/>
    <cellStyle name="Data   - Opmaakprofiel2 3 4 2 7 5" xfId="47624"/>
    <cellStyle name="Data   - Opmaakprofiel2 3 4 2 8" xfId="10242"/>
    <cellStyle name="Data   - Opmaakprofiel2 3 4 2 8 2" xfId="22540"/>
    <cellStyle name="Data   - Opmaakprofiel2 3 4 2 8 3" xfId="44302"/>
    <cellStyle name="Data   - Opmaakprofiel2 3 4 2 8 4" xfId="42356"/>
    <cellStyle name="Data   - Opmaakprofiel2 3 4 2 8 5" xfId="55207"/>
    <cellStyle name="Data   - Opmaakprofiel2 3 4 2 9" xfId="13878"/>
    <cellStyle name="Data   - Opmaakprofiel2 3 4 3" xfId="421"/>
    <cellStyle name="Data   - Opmaakprofiel2 3 4 3 2" xfId="2185"/>
    <cellStyle name="Data   - Opmaakprofiel2 3 4 3 2 2" xfId="8758"/>
    <cellStyle name="Data   - Opmaakprofiel2 3 4 3 2 2 2" xfId="21056"/>
    <cellStyle name="Data   - Opmaakprofiel2 3 4 3 2 2 3" xfId="33108"/>
    <cellStyle name="Data   - Opmaakprofiel2 3 4 3 2 2 4" xfId="34447"/>
    <cellStyle name="Data   - Opmaakprofiel2 3 4 3 2 2 5" xfId="53723"/>
    <cellStyle name="Data   - Opmaakprofiel2 3 4 3 2 3" xfId="13886"/>
    <cellStyle name="Data   - Opmaakprofiel2 3 4 3 2 4" xfId="25938"/>
    <cellStyle name="Data   - Opmaakprofiel2 3 4 3 2 5" xfId="45912"/>
    <cellStyle name="Data   - Opmaakprofiel2 3 4 3 2 6" xfId="47625"/>
    <cellStyle name="Data   - Opmaakprofiel2 3 4 3 3" xfId="2492"/>
    <cellStyle name="Data   - Opmaakprofiel2 3 4 3 3 2" xfId="8759"/>
    <cellStyle name="Data   - Opmaakprofiel2 3 4 3 3 2 2" xfId="21057"/>
    <cellStyle name="Data   - Opmaakprofiel2 3 4 3 3 2 3" xfId="33109"/>
    <cellStyle name="Data   - Opmaakprofiel2 3 4 3 3 2 4" xfId="42975"/>
    <cellStyle name="Data   - Opmaakprofiel2 3 4 3 3 2 5" xfId="53724"/>
    <cellStyle name="Data   - Opmaakprofiel2 3 4 3 3 3" xfId="13887"/>
    <cellStyle name="Data   - Opmaakprofiel2 3 4 3 3 4" xfId="25939"/>
    <cellStyle name="Data   - Opmaakprofiel2 3 4 3 3 5" xfId="40281"/>
    <cellStyle name="Data   - Opmaakprofiel2 3 4 3 3 6" xfId="47626"/>
    <cellStyle name="Data   - Opmaakprofiel2 3 4 3 4" xfId="1641"/>
    <cellStyle name="Data   - Opmaakprofiel2 3 4 3 4 2" xfId="8760"/>
    <cellStyle name="Data   - Opmaakprofiel2 3 4 3 4 2 2" xfId="21058"/>
    <cellStyle name="Data   - Opmaakprofiel2 3 4 3 4 2 3" xfId="33110"/>
    <cellStyle name="Data   - Opmaakprofiel2 3 4 3 4 2 4" xfId="27206"/>
    <cellStyle name="Data   - Opmaakprofiel2 3 4 3 4 2 5" xfId="53725"/>
    <cellStyle name="Data   - Opmaakprofiel2 3 4 3 4 3" xfId="13888"/>
    <cellStyle name="Data   - Opmaakprofiel2 3 4 3 4 4" xfId="25940"/>
    <cellStyle name="Data   - Opmaakprofiel2 3 4 3 4 5" xfId="45911"/>
    <cellStyle name="Data   - Opmaakprofiel2 3 4 3 4 6" xfId="47627"/>
    <cellStyle name="Data   - Opmaakprofiel2 3 4 3 5" xfId="4747"/>
    <cellStyle name="Data   - Opmaakprofiel2 3 4 3 5 2" xfId="8761"/>
    <cellStyle name="Data   - Opmaakprofiel2 3 4 3 5 2 2" xfId="21059"/>
    <cellStyle name="Data   - Opmaakprofiel2 3 4 3 5 2 3" xfId="33111"/>
    <cellStyle name="Data   - Opmaakprofiel2 3 4 3 5 2 4" xfId="42974"/>
    <cellStyle name="Data   - Opmaakprofiel2 3 4 3 5 2 5" xfId="53726"/>
    <cellStyle name="Data   - Opmaakprofiel2 3 4 3 5 3" xfId="13889"/>
    <cellStyle name="Data   - Opmaakprofiel2 3 4 3 5 4" xfId="25941"/>
    <cellStyle name="Data   - Opmaakprofiel2 3 4 3 5 5" xfId="40280"/>
    <cellStyle name="Data   - Opmaakprofiel2 3 4 3 5 6" xfId="47628"/>
    <cellStyle name="Data   - Opmaakprofiel2 3 4 3 6" xfId="4748"/>
    <cellStyle name="Data   - Opmaakprofiel2 3 4 3 6 2" xfId="8762"/>
    <cellStyle name="Data   - Opmaakprofiel2 3 4 3 6 2 2" xfId="21060"/>
    <cellStyle name="Data   - Opmaakprofiel2 3 4 3 6 2 3" xfId="33112"/>
    <cellStyle name="Data   - Opmaakprofiel2 3 4 3 6 2 4" xfId="31932"/>
    <cellStyle name="Data   - Opmaakprofiel2 3 4 3 6 2 5" xfId="53727"/>
    <cellStyle name="Data   - Opmaakprofiel2 3 4 3 6 3" xfId="13890"/>
    <cellStyle name="Data   - Opmaakprofiel2 3 4 3 6 4" xfId="25942"/>
    <cellStyle name="Data   - Opmaakprofiel2 3 4 3 6 5" xfId="40279"/>
    <cellStyle name="Data   - Opmaakprofiel2 3 4 3 6 6" xfId="47629"/>
    <cellStyle name="Data   - Opmaakprofiel2 3 4 3 7" xfId="4749"/>
    <cellStyle name="Data   - Opmaakprofiel2 3 4 3 7 2" xfId="13891"/>
    <cellStyle name="Data   - Opmaakprofiel2 3 4 3 7 3" xfId="25943"/>
    <cellStyle name="Data   - Opmaakprofiel2 3 4 3 7 4" xfId="40278"/>
    <cellStyle name="Data   - Opmaakprofiel2 3 4 3 7 5" xfId="47630"/>
    <cellStyle name="Data   - Opmaakprofiel2 3 4 3 8" xfId="7702"/>
    <cellStyle name="Data   - Opmaakprofiel2 3 4 3 8 2" xfId="20000"/>
    <cellStyle name="Data   - Opmaakprofiel2 3 4 3 8 3" xfId="41803"/>
    <cellStyle name="Data   - Opmaakprofiel2 3 4 3 8 4" xfId="34676"/>
    <cellStyle name="Data   - Opmaakprofiel2 3 4 3 8 5" xfId="52672"/>
    <cellStyle name="Data   - Opmaakprofiel2 3 4 3 9" xfId="13885"/>
    <cellStyle name="Data   - Opmaakprofiel2 3 4 4" xfId="535"/>
    <cellStyle name="Data   - Opmaakprofiel2 3 4 4 2" xfId="2288"/>
    <cellStyle name="Data   - Opmaakprofiel2 3 4 4 2 2" xfId="8763"/>
    <cellStyle name="Data   - Opmaakprofiel2 3 4 4 2 2 2" xfId="21061"/>
    <cellStyle name="Data   - Opmaakprofiel2 3 4 4 2 2 3" xfId="33113"/>
    <cellStyle name="Data   - Opmaakprofiel2 3 4 4 2 2 4" xfId="27213"/>
    <cellStyle name="Data   - Opmaakprofiel2 3 4 4 2 2 5" xfId="53728"/>
    <cellStyle name="Data   - Opmaakprofiel2 3 4 4 2 3" xfId="13893"/>
    <cellStyle name="Data   - Opmaakprofiel2 3 4 4 2 4" xfId="25945"/>
    <cellStyle name="Data   - Opmaakprofiel2 3 4 4 2 5" xfId="40277"/>
    <cellStyle name="Data   - Opmaakprofiel2 3 4 4 2 6" xfId="47631"/>
    <cellStyle name="Data   - Opmaakprofiel2 3 4 4 3" xfId="2606"/>
    <cellStyle name="Data   - Opmaakprofiel2 3 4 4 3 2" xfId="8764"/>
    <cellStyle name="Data   - Opmaakprofiel2 3 4 4 3 2 2" xfId="21062"/>
    <cellStyle name="Data   - Opmaakprofiel2 3 4 4 3 2 3" xfId="33114"/>
    <cellStyle name="Data   - Opmaakprofiel2 3 4 4 3 2 4" xfId="34419"/>
    <cellStyle name="Data   - Opmaakprofiel2 3 4 4 3 2 5" xfId="53729"/>
    <cellStyle name="Data   - Opmaakprofiel2 3 4 4 3 3" xfId="13894"/>
    <cellStyle name="Data   - Opmaakprofiel2 3 4 4 3 4" xfId="25946"/>
    <cellStyle name="Data   - Opmaakprofiel2 3 4 4 3 5" xfId="45909"/>
    <cellStyle name="Data   - Opmaakprofiel2 3 4 4 3 6" xfId="47632"/>
    <cellStyle name="Data   - Opmaakprofiel2 3 4 4 4" xfId="3485"/>
    <cellStyle name="Data   - Opmaakprofiel2 3 4 4 4 2" xfId="8765"/>
    <cellStyle name="Data   - Opmaakprofiel2 3 4 4 4 2 2" xfId="21063"/>
    <cellStyle name="Data   - Opmaakprofiel2 3 4 4 4 2 3" xfId="33115"/>
    <cellStyle name="Data   - Opmaakprofiel2 3 4 4 4 2 4" xfId="42973"/>
    <cellStyle name="Data   - Opmaakprofiel2 3 4 4 4 2 5" xfId="53730"/>
    <cellStyle name="Data   - Opmaakprofiel2 3 4 4 4 3" xfId="13895"/>
    <cellStyle name="Data   - Opmaakprofiel2 3 4 4 4 4" xfId="25947"/>
    <cellStyle name="Data   - Opmaakprofiel2 3 4 4 4 5" xfId="40276"/>
    <cellStyle name="Data   - Opmaakprofiel2 3 4 4 4 6" xfId="47633"/>
    <cellStyle name="Data   - Opmaakprofiel2 3 4 4 5" xfId="4750"/>
    <cellStyle name="Data   - Opmaakprofiel2 3 4 4 5 2" xfId="8766"/>
    <cellStyle name="Data   - Opmaakprofiel2 3 4 4 5 2 2" xfId="21064"/>
    <cellStyle name="Data   - Opmaakprofiel2 3 4 4 5 2 3" xfId="33116"/>
    <cellStyle name="Data   - Opmaakprofiel2 3 4 4 5 2 4" xfId="27220"/>
    <cellStyle name="Data   - Opmaakprofiel2 3 4 4 5 2 5" xfId="53731"/>
    <cellStyle name="Data   - Opmaakprofiel2 3 4 4 5 3" xfId="13896"/>
    <cellStyle name="Data   - Opmaakprofiel2 3 4 4 5 4" xfId="25948"/>
    <cellStyle name="Data   - Opmaakprofiel2 3 4 4 5 5" xfId="45908"/>
    <cellStyle name="Data   - Opmaakprofiel2 3 4 4 5 6" xfId="47634"/>
    <cellStyle name="Data   - Opmaakprofiel2 3 4 4 6" xfId="4751"/>
    <cellStyle name="Data   - Opmaakprofiel2 3 4 4 6 2" xfId="8767"/>
    <cellStyle name="Data   - Opmaakprofiel2 3 4 4 6 2 2" xfId="21065"/>
    <cellStyle name="Data   - Opmaakprofiel2 3 4 4 6 2 3" xfId="33117"/>
    <cellStyle name="Data   - Opmaakprofiel2 3 4 4 6 2 4" xfId="42972"/>
    <cellStyle name="Data   - Opmaakprofiel2 3 4 4 6 2 5" xfId="53732"/>
    <cellStyle name="Data   - Opmaakprofiel2 3 4 4 6 3" xfId="13897"/>
    <cellStyle name="Data   - Opmaakprofiel2 3 4 4 6 4" xfId="25949"/>
    <cellStyle name="Data   - Opmaakprofiel2 3 4 4 6 5" xfId="40275"/>
    <cellStyle name="Data   - Opmaakprofiel2 3 4 4 6 6" xfId="47635"/>
    <cellStyle name="Data   - Opmaakprofiel2 3 4 4 7" xfId="4752"/>
    <cellStyle name="Data   - Opmaakprofiel2 3 4 4 7 2" xfId="13898"/>
    <cellStyle name="Data   - Opmaakprofiel2 3 4 4 7 3" xfId="25950"/>
    <cellStyle name="Data   - Opmaakprofiel2 3 4 4 7 4" xfId="45907"/>
    <cellStyle name="Data   - Opmaakprofiel2 3 4 4 7 5" xfId="47636"/>
    <cellStyle name="Data   - Opmaakprofiel2 3 4 4 8" xfId="10314"/>
    <cellStyle name="Data   - Opmaakprofiel2 3 4 4 8 2" xfId="22612"/>
    <cellStyle name="Data   - Opmaakprofiel2 3 4 4 8 3" xfId="44373"/>
    <cellStyle name="Data   - Opmaakprofiel2 3 4 4 8 4" xfId="42326"/>
    <cellStyle name="Data   - Opmaakprofiel2 3 4 4 8 5" xfId="55279"/>
    <cellStyle name="Data   - Opmaakprofiel2 3 4 4 9" xfId="13892"/>
    <cellStyle name="Data   - Opmaakprofiel2 3 4 5" xfId="452"/>
    <cellStyle name="Data   - Opmaakprofiel2 3 4 5 2" xfId="2206"/>
    <cellStyle name="Data   - Opmaakprofiel2 3 4 5 2 2" xfId="8768"/>
    <cellStyle name="Data   - Opmaakprofiel2 3 4 5 2 2 2" xfId="21066"/>
    <cellStyle name="Data   - Opmaakprofiel2 3 4 5 2 2 3" xfId="33118"/>
    <cellStyle name="Data   - Opmaakprofiel2 3 4 5 2 2 4" xfId="31887"/>
    <cellStyle name="Data   - Opmaakprofiel2 3 4 5 2 2 5" xfId="53733"/>
    <cellStyle name="Data   - Opmaakprofiel2 3 4 5 2 3" xfId="13900"/>
    <cellStyle name="Data   - Opmaakprofiel2 3 4 5 2 4" xfId="25952"/>
    <cellStyle name="Data   - Opmaakprofiel2 3 4 5 2 5" xfId="45906"/>
    <cellStyle name="Data   - Opmaakprofiel2 3 4 5 2 6" xfId="47637"/>
    <cellStyle name="Data   - Opmaakprofiel2 3 4 5 3" xfId="2523"/>
    <cellStyle name="Data   - Opmaakprofiel2 3 4 5 3 2" xfId="8769"/>
    <cellStyle name="Data   - Opmaakprofiel2 3 4 5 3 2 2" xfId="21067"/>
    <cellStyle name="Data   - Opmaakprofiel2 3 4 5 3 2 3" xfId="33119"/>
    <cellStyle name="Data   - Opmaakprofiel2 3 4 5 3 2 4" xfId="42971"/>
    <cellStyle name="Data   - Opmaakprofiel2 3 4 5 3 2 5" xfId="53734"/>
    <cellStyle name="Data   - Opmaakprofiel2 3 4 5 3 3" xfId="13901"/>
    <cellStyle name="Data   - Opmaakprofiel2 3 4 5 3 4" xfId="25953"/>
    <cellStyle name="Data   - Opmaakprofiel2 3 4 5 3 5" xfId="40273"/>
    <cellStyle name="Data   - Opmaakprofiel2 3 4 5 3 6" xfId="47638"/>
    <cellStyle name="Data   - Opmaakprofiel2 3 4 5 4" xfId="3411"/>
    <cellStyle name="Data   - Opmaakprofiel2 3 4 5 4 2" xfId="8770"/>
    <cellStyle name="Data   - Opmaakprofiel2 3 4 5 4 2 2" xfId="21068"/>
    <cellStyle name="Data   - Opmaakprofiel2 3 4 5 4 2 3" xfId="33120"/>
    <cellStyle name="Data   - Opmaakprofiel2 3 4 5 4 2 4" xfId="27227"/>
    <cellStyle name="Data   - Opmaakprofiel2 3 4 5 4 2 5" xfId="53735"/>
    <cellStyle name="Data   - Opmaakprofiel2 3 4 5 4 3" xfId="13902"/>
    <cellStyle name="Data   - Opmaakprofiel2 3 4 5 4 4" xfId="25954"/>
    <cellStyle name="Data   - Opmaakprofiel2 3 4 5 4 5" xfId="40272"/>
    <cellStyle name="Data   - Opmaakprofiel2 3 4 5 4 6" xfId="47639"/>
    <cellStyle name="Data   - Opmaakprofiel2 3 4 5 5" xfId="4753"/>
    <cellStyle name="Data   - Opmaakprofiel2 3 4 5 5 2" xfId="8771"/>
    <cellStyle name="Data   - Opmaakprofiel2 3 4 5 5 2 2" xfId="21069"/>
    <cellStyle name="Data   - Opmaakprofiel2 3 4 5 5 2 3" xfId="33121"/>
    <cellStyle name="Data   - Opmaakprofiel2 3 4 5 5 2 4" xfId="42970"/>
    <cellStyle name="Data   - Opmaakprofiel2 3 4 5 5 2 5" xfId="53736"/>
    <cellStyle name="Data   - Opmaakprofiel2 3 4 5 5 3" xfId="13903"/>
    <cellStyle name="Data   - Opmaakprofiel2 3 4 5 5 4" xfId="25955"/>
    <cellStyle name="Data   - Opmaakprofiel2 3 4 5 5 5" xfId="40271"/>
    <cellStyle name="Data   - Opmaakprofiel2 3 4 5 5 6" xfId="47640"/>
    <cellStyle name="Data   - Opmaakprofiel2 3 4 5 6" xfId="4754"/>
    <cellStyle name="Data   - Opmaakprofiel2 3 4 5 6 2" xfId="8772"/>
    <cellStyle name="Data   - Opmaakprofiel2 3 4 5 6 2 2" xfId="21070"/>
    <cellStyle name="Data   - Opmaakprofiel2 3 4 5 6 2 3" xfId="33122"/>
    <cellStyle name="Data   - Opmaakprofiel2 3 4 5 6 2 4" xfId="31476"/>
    <cellStyle name="Data   - Opmaakprofiel2 3 4 5 6 2 5" xfId="53737"/>
    <cellStyle name="Data   - Opmaakprofiel2 3 4 5 6 3" xfId="13904"/>
    <cellStyle name="Data   - Opmaakprofiel2 3 4 5 6 4" xfId="25956"/>
    <cellStyle name="Data   - Opmaakprofiel2 3 4 5 6 5" xfId="45905"/>
    <cellStyle name="Data   - Opmaakprofiel2 3 4 5 6 6" xfId="47641"/>
    <cellStyle name="Data   - Opmaakprofiel2 3 4 5 7" xfId="4755"/>
    <cellStyle name="Data   - Opmaakprofiel2 3 4 5 7 2" xfId="13905"/>
    <cellStyle name="Data   - Opmaakprofiel2 3 4 5 7 3" xfId="25957"/>
    <cellStyle name="Data   - Opmaakprofiel2 3 4 5 7 4" xfId="40270"/>
    <cellStyle name="Data   - Opmaakprofiel2 3 4 5 7 5" xfId="47642"/>
    <cellStyle name="Data   - Opmaakprofiel2 3 4 5 8" xfId="7681"/>
    <cellStyle name="Data   - Opmaakprofiel2 3 4 5 8 2" xfId="19979"/>
    <cellStyle name="Data   - Opmaakprofiel2 3 4 5 8 3" xfId="41782"/>
    <cellStyle name="Data   - Opmaakprofiel2 3 4 5 8 4" xfId="34722"/>
    <cellStyle name="Data   - Opmaakprofiel2 3 4 5 8 5" xfId="52651"/>
    <cellStyle name="Data   - Opmaakprofiel2 3 4 5 9" xfId="13899"/>
    <cellStyle name="Data   - Opmaakprofiel2 3 4 6" xfId="662"/>
    <cellStyle name="Data   - Opmaakprofiel2 3 4 6 2" xfId="1915"/>
    <cellStyle name="Data   - Opmaakprofiel2 3 4 6 2 2" xfId="8773"/>
    <cellStyle name="Data   - Opmaakprofiel2 3 4 6 2 2 2" xfId="21071"/>
    <cellStyle name="Data   - Opmaakprofiel2 3 4 6 2 2 3" xfId="33123"/>
    <cellStyle name="Data   - Opmaakprofiel2 3 4 6 2 2 4" xfId="42969"/>
    <cellStyle name="Data   - Opmaakprofiel2 3 4 6 2 2 5" xfId="53738"/>
    <cellStyle name="Data   - Opmaakprofiel2 3 4 6 2 3" xfId="13907"/>
    <cellStyle name="Data   - Opmaakprofiel2 3 4 6 2 4" xfId="25959"/>
    <cellStyle name="Data   - Opmaakprofiel2 3 4 6 2 5" xfId="40269"/>
    <cellStyle name="Data   - Opmaakprofiel2 3 4 6 2 6" xfId="47643"/>
    <cellStyle name="Data   - Opmaakprofiel2 3 4 6 3" xfId="2728"/>
    <cellStyle name="Data   - Opmaakprofiel2 3 4 6 3 2" xfId="8774"/>
    <cellStyle name="Data   - Opmaakprofiel2 3 4 6 3 2 2" xfId="21072"/>
    <cellStyle name="Data   - Opmaakprofiel2 3 4 6 3 2 3" xfId="33124"/>
    <cellStyle name="Data   - Opmaakprofiel2 3 4 6 3 2 4" xfId="27237"/>
    <cellStyle name="Data   - Opmaakprofiel2 3 4 6 3 2 5" xfId="53739"/>
    <cellStyle name="Data   - Opmaakprofiel2 3 4 6 3 3" xfId="13908"/>
    <cellStyle name="Data   - Opmaakprofiel2 3 4 6 3 4" xfId="25960"/>
    <cellStyle name="Data   - Opmaakprofiel2 3 4 6 3 5" xfId="45903"/>
    <cellStyle name="Data   - Opmaakprofiel2 3 4 6 3 6" xfId="47644"/>
    <cellStyle name="Data   - Opmaakprofiel2 3 4 6 4" xfId="3595"/>
    <cellStyle name="Data   - Opmaakprofiel2 3 4 6 4 2" xfId="8775"/>
    <cellStyle name="Data   - Opmaakprofiel2 3 4 6 4 2 2" xfId="21073"/>
    <cellStyle name="Data   - Opmaakprofiel2 3 4 6 4 2 3" xfId="33125"/>
    <cellStyle name="Data   - Opmaakprofiel2 3 4 6 4 2 4" xfId="31844"/>
    <cellStyle name="Data   - Opmaakprofiel2 3 4 6 4 2 5" xfId="53740"/>
    <cellStyle name="Data   - Opmaakprofiel2 3 4 6 4 3" xfId="13909"/>
    <cellStyle name="Data   - Opmaakprofiel2 3 4 6 4 4" xfId="25961"/>
    <cellStyle name="Data   - Opmaakprofiel2 3 4 6 4 5" xfId="40268"/>
    <cellStyle name="Data   - Opmaakprofiel2 3 4 6 4 6" xfId="47645"/>
    <cellStyle name="Data   - Opmaakprofiel2 3 4 6 5" xfId="4756"/>
    <cellStyle name="Data   - Opmaakprofiel2 3 4 6 5 2" xfId="8776"/>
    <cellStyle name="Data   - Opmaakprofiel2 3 4 6 5 2 2" xfId="21074"/>
    <cellStyle name="Data   - Opmaakprofiel2 3 4 6 5 2 3" xfId="33126"/>
    <cellStyle name="Data   - Opmaakprofiel2 3 4 6 5 2 4" xfId="27241"/>
    <cellStyle name="Data   - Opmaakprofiel2 3 4 6 5 2 5" xfId="53741"/>
    <cellStyle name="Data   - Opmaakprofiel2 3 4 6 5 3" xfId="13910"/>
    <cellStyle name="Data   - Opmaakprofiel2 3 4 6 5 4" xfId="25962"/>
    <cellStyle name="Data   - Opmaakprofiel2 3 4 6 5 5" xfId="45902"/>
    <cellStyle name="Data   - Opmaakprofiel2 3 4 6 5 6" xfId="47646"/>
    <cellStyle name="Data   - Opmaakprofiel2 3 4 6 6" xfId="4757"/>
    <cellStyle name="Data   - Opmaakprofiel2 3 4 6 6 2" xfId="8777"/>
    <cellStyle name="Data   - Opmaakprofiel2 3 4 6 6 2 2" xfId="21075"/>
    <cellStyle name="Data   - Opmaakprofiel2 3 4 6 6 2 3" xfId="33127"/>
    <cellStyle name="Data   - Opmaakprofiel2 3 4 6 6 2 4" xfId="42968"/>
    <cellStyle name="Data   - Opmaakprofiel2 3 4 6 6 2 5" xfId="53742"/>
    <cellStyle name="Data   - Opmaakprofiel2 3 4 6 6 3" xfId="13911"/>
    <cellStyle name="Data   - Opmaakprofiel2 3 4 6 6 4" xfId="25963"/>
    <cellStyle name="Data   - Opmaakprofiel2 3 4 6 6 5" xfId="40267"/>
    <cellStyle name="Data   - Opmaakprofiel2 3 4 6 6 6" xfId="47647"/>
    <cellStyle name="Data   - Opmaakprofiel2 3 4 6 7" xfId="4758"/>
    <cellStyle name="Data   - Opmaakprofiel2 3 4 6 7 2" xfId="13912"/>
    <cellStyle name="Data   - Opmaakprofiel2 3 4 6 7 3" xfId="25964"/>
    <cellStyle name="Data   - Opmaakprofiel2 3 4 6 7 4" xfId="45901"/>
    <cellStyle name="Data   - Opmaakprofiel2 3 4 6 7 5" xfId="47648"/>
    <cellStyle name="Data   - Opmaakprofiel2 3 4 6 8" xfId="7541"/>
    <cellStyle name="Data   - Opmaakprofiel2 3 4 6 8 2" xfId="19839"/>
    <cellStyle name="Data   - Opmaakprofiel2 3 4 6 8 3" xfId="41642"/>
    <cellStyle name="Data   - Opmaakprofiel2 3 4 6 8 4" xfId="31698"/>
    <cellStyle name="Data   - Opmaakprofiel2 3 4 6 8 5" xfId="52511"/>
    <cellStyle name="Data   - Opmaakprofiel2 3 4 6 9" xfId="13906"/>
    <cellStyle name="Data   - Opmaakprofiel2 3 4 7" xfId="472"/>
    <cellStyle name="Data   - Opmaakprofiel2 3 4 7 2" xfId="1899"/>
    <cellStyle name="Data   - Opmaakprofiel2 3 4 7 2 2" xfId="8778"/>
    <cellStyle name="Data   - Opmaakprofiel2 3 4 7 2 2 2" xfId="21076"/>
    <cellStyle name="Data   - Opmaakprofiel2 3 4 7 2 2 3" xfId="33128"/>
    <cellStyle name="Data   - Opmaakprofiel2 3 4 7 2 2 4" xfId="34416"/>
    <cellStyle name="Data   - Opmaakprofiel2 3 4 7 2 2 5" xfId="53743"/>
    <cellStyle name="Data   - Opmaakprofiel2 3 4 7 2 3" xfId="13914"/>
    <cellStyle name="Data   - Opmaakprofiel2 3 4 7 2 4" xfId="25966"/>
    <cellStyle name="Data   - Opmaakprofiel2 3 4 7 2 5" xfId="40265"/>
    <cellStyle name="Data   - Opmaakprofiel2 3 4 7 2 6" xfId="47649"/>
    <cellStyle name="Data   - Opmaakprofiel2 3 4 7 3" xfId="2543"/>
    <cellStyle name="Data   - Opmaakprofiel2 3 4 7 3 2" xfId="8779"/>
    <cellStyle name="Data   - Opmaakprofiel2 3 4 7 3 2 2" xfId="21077"/>
    <cellStyle name="Data   - Opmaakprofiel2 3 4 7 3 2 3" xfId="33129"/>
    <cellStyle name="Data   - Opmaakprofiel2 3 4 7 3 2 4" xfId="42967"/>
    <cellStyle name="Data   - Opmaakprofiel2 3 4 7 3 2 5" xfId="53744"/>
    <cellStyle name="Data   - Opmaakprofiel2 3 4 7 3 3" xfId="13915"/>
    <cellStyle name="Data   - Opmaakprofiel2 3 4 7 3 4" xfId="25967"/>
    <cellStyle name="Data   - Opmaakprofiel2 3 4 7 3 5" xfId="40264"/>
    <cellStyle name="Data   - Opmaakprofiel2 3 4 7 3 6" xfId="47650"/>
    <cellStyle name="Data   - Opmaakprofiel2 3 4 7 4" xfId="3429"/>
    <cellStyle name="Data   - Opmaakprofiel2 3 4 7 4 2" xfId="8780"/>
    <cellStyle name="Data   - Opmaakprofiel2 3 4 7 4 2 2" xfId="21078"/>
    <cellStyle name="Data   - Opmaakprofiel2 3 4 7 4 2 3" xfId="33130"/>
    <cellStyle name="Data   - Opmaakprofiel2 3 4 7 4 2 4" xfId="27248"/>
    <cellStyle name="Data   - Opmaakprofiel2 3 4 7 4 2 5" xfId="53745"/>
    <cellStyle name="Data   - Opmaakprofiel2 3 4 7 4 3" xfId="13916"/>
    <cellStyle name="Data   - Opmaakprofiel2 3 4 7 4 4" xfId="25968"/>
    <cellStyle name="Data   - Opmaakprofiel2 3 4 7 4 5" xfId="45900"/>
    <cellStyle name="Data   - Opmaakprofiel2 3 4 7 4 6" xfId="47651"/>
    <cellStyle name="Data   - Opmaakprofiel2 3 4 7 5" xfId="4759"/>
    <cellStyle name="Data   - Opmaakprofiel2 3 4 7 5 2" xfId="8781"/>
    <cellStyle name="Data   - Opmaakprofiel2 3 4 7 5 2 2" xfId="21079"/>
    <cellStyle name="Data   - Opmaakprofiel2 3 4 7 5 2 3" xfId="33131"/>
    <cellStyle name="Data   - Opmaakprofiel2 3 4 7 5 2 4" xfId="42966"/>
    <cellStyle name="Data   - Opmaakprofiel2 3 4 7 5 2 5" xfId="53746"/>
    <cellStyle name="Data   - Opmaakprofiel2 3 4 7 5 3" xfId="13917"/>
    <cellStyle name="Data   - Opmaakprofiel2 3 4 7 5 4" xfId="25969"/>
    <cellStyle name="Data   - Opmaakprofiel2 3 4 7 5 5" xfId="40263"/>
    <cellStyle name="Data   - Opmaakprofiel2 3 4 7 5 6" xfId="47652"/>
    <cellStyle name="Data   - Opmaakprofiel2 3 4 7 6" xfId="4760"/>
    <cellStyle name="Data   - Opmaakprofiel2 3 4 7 6 2" xfId="8782"/>
    <cellStyle name="Data   - Opmaakprofiel2 3 4 7 6 2 2" xfId="21080"/>
    <cellStyle name="Data   - Opmaakprofiel2 3 4 7 6 2 3" xfId="33132"/>
    <cellStyle name="Data   - Opmaakprofiel2 3 4 7 6 2 4" xfId="34354"/>
    <cellStyle name="Data   - Opmaakprofiel2 3 4 7 6 2 5" xfId="53747"/>
    <cellStyle name="Data   - Opmaakprofiel2 3 4 7 6 3" xfId="13918"/>
    <cellStyle name="Data   - Opmaakprofiel2 3 4 7 6 4" xfId="25970"/>
    <cellStyle name="Data   - Opmaakprofiel2 3 4 7 6 5" xfId="45899"/>
    <cellStyle name="Data   - Opmaakprofiel2 3 4 7 6 6" xfId="47653"/>
    <cellStyle name="Data   - Opmaakprofiel2 3 4 7 7" xfId="4761"/>
    <cellStyle name="Data   - Opmaakprofiel2 3 4 7 7 2" xfId="13919"/>
    <cellStyle name="Data   - Opmaakprofiel2 3 4 7 7 3" xfId="25971"/>
    <cellStyle name="Data   - Opmaakprofiel2 3 4 7 7 4" xfId="40262"/>
    <cellStyle name="Data   - Opmaakprofiel2 3 4 7 7 5" xfId="47654"/>
    <cellStyle name="Data   - Opmaakprofiel2 3 4 7 8" xfId="10356"/>
    <cellStyle name="Data   - Opmaakprofiel2 3 4 7 8 2" xfId="22654"/>
    <cellStyle name="Data   - Opmaakprofiel2 3 4 7 8 3" xfId="44414"/>
    <cellStyle name="Data   - Opmaakprofiel2 3 4 7 8 4" xfId="42309"/>
    <cellStyle name="Data   - Opmaakprofiel2 3 4 7 8 5" xfId="55321"/>
    <cellStyle name="Data   - Opmaakprofiel2 3 4 7 9" xfId="13913"/>
    <cellStyle name="Data   - Opmaakprofiel2 3 4 8" xfId="1327"/>
    <cellStyle name="Data   - Opmaakprofiel2 3 4 8 2" xfId="1932"/>
    <cellStyle name="Data   - Opmaakprofiel2 3 4 8 2 2" xfId="8783"/>
    <cellStyle name="Data   - Opmaakprofiel2 3 4 8 2 2 2" xfId="21081"/>
    <cellStyle name="Data   - Opmaakprofiel2 3 4 8 2 2 3" xfId="33133"/>
    <cellStyle name="Data   - Opmaakprofiel2 3 4 8 2 2 4" xfId="42965"/>
    <cellStyle name="Data   - Opmaakprofiel2 3 4 8 2 2 5" xfId="53748"/>
    <cellStyle name="Data   - Opmaakprofiel2 3 4 8 2 3" xfId="13921"/>
    <cellStyle name="Data   - Opmaakprofiel2 3 4 8 2 4" xfId="25973"/>
    <cellStyle name="Data   - Opmaakprofiel2 3 4 8 2 5" xfId="40261"/>
    <cellStyle name="Data   - Opmaakprofiel2 3 4 8 2 6" xfId="47655"/>
    <cellStyle name="Data   - Opmaakprofiel2 3 4 8 3" xfId="3338"/>
    <cellStyle name="Data   - Opmaakprofiel2 3 4 8 3 2" xfId="8784"/>
    <cellStyle name="Data   - Opmaakprofiel2 3 4 8 3 2 2" xfId="21082"/>
    <cellStyle name="Data   - Opmaakprofiel2 3 4 8 3 2 3" xfId="33134"/>
    <cellStyle name="Data   - Opmaakprofiel2 3 4 8 3 2 4" xfId="27255"/>
    <cellStyle name="Data   - Opmaakprofiel2 3 4 8 3 2 5" xfId="53749"/>
    <cellStyle name="Data   - Opmaakprofiel2 3 4 8 3 3" xfId="13922"/>
    <cellStyle name="Data   - Opmaakprofiel2 3 4 8 3 4" xfId="25974"/>
    <cellStyle name="Data   - Opmaakprofiel2 3 4 8 3 5" xfId="45897"/>
    <cellStyle name="Data   - Opmaakprofiel2 3 4 8 3 6" xfId="47656"/>
    <cellStyle name="Data   - Opmaakprofiel2 3 4 8 4" xfId="4119"/>
    <cellStyle name="Data   - Opmaakprofiel2 3 4 8 4 2" xfId="8785"/>
    <cellStyle name="Data   - Opmaakprofiel2 3 4 8 4 2 2" xfId="21083"/>
    <cellStyle name="Data   - Opmaakprofiel2 3 4 8 4 2 3" xfId="33135"/>
    <cellStyle name="Data   - Opmaakprofiel2 3 4 8 4 2 4" xfId="42964"/>
    <cellStyle name="Data   - Opmaakprofiel2 3 4 8 4 2 5" xfId="53750"/>
    <cellStyle name="Data   - Opmaakprofiel2 3 4 8 4 3" xfId="13923"/>
    <cellStyle name="Data   - Opmaakprofiel2 3 4 8 4 4" xfId="25975"/>
    <cellStyle name="Data   - Opmaakprofiel2 3 4 8 4 5" xfId="40260"/>
    <cellStyle name="Data   - Opmaakprofiel2 3 4 8 4 6" xfId="47657"/>
    <cellStyle name="Data   - Opmaakprofiel2 3 4 8 5" xfId="4762"/>
    <cellStyle name="Data   - Opmaakprofiel2 3 4 8 5 2" xfId="8786"/>
    <cellStyle name="Data   - Opmaakprofiel2 3 4 8 5 2 2" xfId="21084"/>
    <cellStyle name="Data   - Opmaakprofiel2 3 4 8 5 2 3" xfId="33136"/>
    <cellStyle name="Data   - Opmaakprofiel2 3 4 8 5 2 4" xfId="34274"/>
    <cellStyle name="Data   - Opmaakprofiel2 3 4 8 5 2 5" xfId="53751"/>
    <cellStyle name="Data   - Opmaakprofiel2 3 4 8 5 3" xfId="13924"/>
    <cellStyle name="Data   - Opmaakprofiel2 3 4 8 5 4" xfId="25976"/>
    <cellStyle name="Data   - Opmaakprofiel2 3 4 8 5 5" xfId="45896"/>
    <cellStyle name="Data   - Opmaakprofiel2 3 4 8 5 6" xfId="47658"/>
    <cellStyle name="Data   - Opmaakprofiel2 3 4 8 6" xfId="4763"/>
    <cellStyle name="Data   - Opmaakprofiel2 3 4 8 6 2" xfId="8787"/>
    <cellStyle name="Data   - Opmaakprofiel2 3 4 8 6 2 2" xfId="21085"/>
    <cellStyle name="Data   - Opmaakprofiel2 3 4 8 6 2 3" xfId="33137"/>
    <cellStyle name="Data   - Opmaakprofiel2 3 4 8 6 2 4" xfId="27262"/>
    <cellStyle name="Data   - Opmaakprofiel2 3 4 8 6 2 5" xfId="53752"/>
    <cellStyle name="Data   - Opmaakprofiel2 3 4 8 6 3" xfId="13925"/>
    <cellStyle name="Data   - Opmaakprofiel2 3 4 8 6 4" xfId="25977"/>
    <cellStyle name="Data   - Opmaakprofiel2 3 4 8 6 5" xfId="40259"/>
    <cellStyle name="Data   - Opmaakprofiel2 3 4 8 6 6" xfId="47659"/>
    <cellStyle name="Data   - Opmaakprofiel2 3 4 8 7" xfId="4764"/>
    <cellStyle name="Data   - Opmaakprofiel2 3 4 8 7 2" xfId="13926"/>
    <cellStyle name="Data   - Opmaakprofiel2 3 4 8 7 3" xfId="25978"/>
    <cellStyle name="Data   - Opmaakprofiel2 3 4 8 7 4" xfId="40258"/>
    <cellStyle name="Data   - Opmaakprofiel2 3 4 8 7 5" xfId="47660"/>
    <cellStyle name="Data   - Opmaakprofiel2 3 4 8 8" xfId="7052"/>
    <cellStyle name="Data   - Opmaakprofiel2 3 4 8 8 2" xfId="19350"/>
    <cellStyle name="Data   - Opmaakprofiel2 3 4 8 8 3" xfId="41153"/>
    <cellStyle name="Data   - Opmaakprofiel2 3 4 8 8 4" xfId="37003"/>
    <cellStyle name="Data   - Opmaakprofiel2 3 4 8 8 5" xfId="52023"/>
    <cellStyle name="Data   - Opmaakprofiel2 3 4 8 9" xfId="13920"/>
    <cellStyle name="Data   - Opmaakprofiel2 3 4 9" xfId="1383"/>
    <cellStyle name="Data   - Opmaakprofiel2 3 4 9 2" xfId="184"/>
    <cellStyle name="Data   - Opmaakprofiel2 3 4 9 2 2" xfId="8788"/>
    <cellStyle name="Data   - Opmaakprofiel2 3 4 9 2 2 2" xfId="21086"/>
    <cellStyle name="Data   - Opmaakprofiel2 3 4 9 2 2 3" xfId="33138"/>
    <cellStyle name="Data   - Opmaakprofiel2 3 4 9 2 2 4" xfId="31545"/>
    <cellStyle name="Data   - Opmaakprofiel2 3 4 9 2 2 5" xfId="53753"/>
    <cellStyle name="Data   - Opmaakprofiel2 3 4 9 2 3" xfId="13928"/>
    <cellStyle name="Data   - Opmaakprofiel2 3 4 9 2 4" xfId="25980"/>
    <cellStyle name="Data   - Opmaakprofiel2 3 4 9 2 5" xfId="45895"/>
    <cellStyle name="Data   - Opmaakprofiel2 3 4 9 2 6" xfId="47661"/>
    <cellStyle name="Data   - Opmaakprofiel2 3 4 9 3" xfId="3394"/>
    <cellStyle name="Data   - Opmaakprofiel2 3 4 9 3 2" xfId="8789"/>
    <cellStyle name="Data   - Opmaakprofiel2 3 4 9 3 2 2" xfId="21087"/>
    <cellStyle name="Data   - Opmaakprofiel2 3 4 9 3 2 3" xfId="33139"/>
    <cellStyle name="Data   - Opmaakprofiel2 3 4 9 3 2 4" xfId="42963"/>
    <cellStyle name="Data   - Opmaakprofiel2 3 4 9 3 2 5" xfId="53754"/>
    <cellStyle name="Data   - Opmaakprofiel2 3 4 9 3 3" xfId="13929"/>
    <cellStyle name="Data   - Opmaakprofiel2 3 4 9 3 4" xfId="25981"/>
    <cellStyle name="Data   - Opmaakprofiel2 3 4 9 3 5" xfId="40257"/>
    <cellStyle name="Data   - Opmaakprofiel2 3 4 9 3 6" xfId="47662"/>
    <cellStyle name="Data   - Opmaakprofiel2 3 4 9 4" xfId="4155"/>
    <cellStyle name="Data   - Opmaakprofiel2 3 4 9 4 2" xfId="8790"/>
    <cellStyle name="Data   - Opmaakprofiel2 3 4 9 4 2 2" xfId="21088"/>
    <cellStyle name="Data   - Opmaakprofiel2 3 4 9 4 2 3" xfId="33140"/>
    <cellStyle name="Data   - Opmaakprofiel2 3 4 9 4 2 4" xfId="27269"/>
    <cellStyle name="Data   - Opmaakprofiel2 3 4 9 4 2 5" xfId="53755"/>
    <cellStyle name="Data   - Opmaakprofiel2 3 4 9 4 3" xfId="13930"/>
    <cellStyle name="Data   - Opmaakprofiel2 3 4 9 4 4" xfId="25982"/>
    <cellStyle name="Data   - Opmaakprofiel2 3 4 9 4 5" xfId="45894"/>
    <cellStyle name="Data   - Opmaakprofiel2 3 4 9 4 6" xfId="47663"/>
    <cellStyle name="Data   - Opmaakprofiel2 3 4 9 5" xfId="4765"/>
    <cellStyle name="Data   - Opmaakprofiel2 3 4 9 5 2" xfId="8791"/>
    <cellStyle name="Data   - Opmaakprofiel2 3 4 9 5 2 2" xfId="21089"/>
    <cellStyle name="Data   - Opmaakprofiel2 3 4 9 5 2 3" xfId="33141"/>
    <cellStyle name="Data   - Opmaakprofiel2 3 4 9 5 2 4" xfId="42962"/>
    <cellStyle name="Data   - Opmaakprofiel2 3 4 9 5 2 5" xfId="53756"/>
    <cellStyle name="Data   - Opmaakprofiel2 3 4 9 5 3" xfId="13931"/>
    <cellStyle name="Data   - Opmaakprofiel2 3 4 9 5 4" xfId="25983"/>
    <cellStyle name="Data   - Opmaakprofiel2 3 4 9 5 5" xfId="40256"/>
    <cellStyle name="Data   - Opmaakprofiel2 3 4 9 5 6" xfId="47664"/>
    <cellStyle name="Data   - Opmaakprofiel2 3 4 9 6" xfId="4766"/>
    <cellStyle name="Data   - Opmaakprofiel2 3 4 9 6 2" xfId="8792"/>
    <cellStyle name="Data   - Opmaakprofiel2 3 4 9 6 2 2" xfId="21090"/>
    <cellStyle name="Data   - Opmaakprofiel2 3 4 9 6 2 3" xfId="33142"/>
    <cellStyle name="Data   - Opmaakprofiel2 3 4 9 6 2 4" xfId="34270"/>
    <cellStyle name="Data   - Opmaakprofiel2 3 4 9 6 2 5" xfId="53757"/>
    <cellStyle name="Data   - Opmaakprofiel2 3 4 9 6 3" xfId="13932"/>
    <cellStyle name="Data   - Opmaakprofiel2 3 4 9 6 4" xfId="25984"/>
    <cellStyle name="Data   - Opmaakprofiel2 3 4 9 6 5" xfId="45893"/>
    <cellStyle name="Data   - Opmaakprofiel2 3 4 9 6 6" xfId="47665"/>
    <cellStyle name="Data   - Opmaakprofiel2 3 4 9 7" xfId="4767"/>
    <cellStyle name="Data   - Opmaakprofiel2 3 4 9 7 2" xfId="13933"/>
    <cellStyle name="Data   - Opmaakprofiel2 3 4 9 7 3" xfId="25985"/>
    <cellStyle name="Data   - Opmaakprofiel2 3 4 9 7 4" xfId="40255"/>
    <cellStyle name="Data   - Opmaakprofiel2 3 4 9 7 5" xfId="47666"/>
    <cellStyle name="Data   - Opmaakprofiel2 3 4 9 8" xfId="7004"/>
    <cellStyle name="Data   - Opmaakprofiel2 3 4 9 8 2" xfId="19302"/>
    <cellStyle name="Data   - Opmaakprofiel2 3 4 9 8 3" xfId="41105"/>
    <cellStyle name="Data   - Opmaakprofiel2 3 4 9 8 4" xfId="37032"/>
    <cellStyle name="Data   - Opmaakprofiel2 3 4 9 8 5" xfId="51975"/>
    <cellStyle name="Data   - Opmaakprofiel2 3 4 9 9" xfId="13927"/>
    <cellStyle name="Data   - Opmaakprofiel2 3 5" xfId="260"/>
    <cellStyle name="Data   - Opmaakprofiel2 3 5 10" xfId="2465"/>
    <cellStyle name="Data   - Opmaakprofiel2 3 5 10 2" xfId="8793"/>
    <cellStyle name="Data   - Opmaakprofiel2 3 5 10 2 2" xfId="21091"/>
    <cellStyle name="Data   - Opmaakprofiel2 3 5 10 2 3" xfId="33143"/>
    <cellStyle name="Data   - Opmaakprofiel2 3 5 10 2 4" xfId="42961"/>
    <cellStyle name="Data   - Opmaakprofiel2 3 5 10 2 5" xfId="53758"/>
    <cellStyle name="Data   - Opmaakprofiel2 3 5 10 3" xfId="13935"/>
    <cellStyle name="Data   - Opmaakprofiel2 3 5 10 4" xfId="25987"/>
    <cellStyle name="Data   - Opmaakprofiel2 3 5 10 5" xfId="40254"/>
    <cellStyle name="Data   - Opmaakprofiel2 3 5 10 6" xfId="47667"/>
    <cellStyle name="Data   - Opmaakprofiel2 3 5 11" xfId="4768"/>
    <cellStyle name="Data   - Opmaakprofiel2 3 5 11 2" xfId="8794"/>
    <cellStyle name="Data   - Opmaakprofiel2 3 5 11 2 2" xfId="21092"/>
    <cellStyle name="Data   - Opmaakprofiel2 3 5 11 2 3" xfId="33144"/>
    <cellStyle name="Data   - Opmaakprofiel2 3 5 11 2 4" xfId="27279"/>
    <cellStyle name="Data   - Opmaakprofiel2 3 5 11 2 5" xfId="53759"/>
    <cellStyle name="Data   - Opmaakprofiel2 3 5 11 3" xfId="13936"/>
    <cellStyle name="Data   - Opmaakprofiel2 3 5 11 4" xfId="25988"/>
    <cellStyle name="Data   - Opmaakprofiel2 3 5 11 5" xfId="45891"/>
    <cellStyle name="Data   - Opmaakprofiel2 3 5 11 6" xfId="47668"/>
    <cellStyle name="Data   - Opmaakprofiel2 3 5 12" xfId="4769"/>
    <cellStyle name="Data   - Opmaakprofiel2 3 5 12 2" xfId="8795"/>
    <cellStyle name="Data   - Opmaakprofiel2 3 5 12 2 2" xfId="21093"/>
    <cellStyle name="Data   - Opmaakprofiel2 3 5 12 2 3" xfId="33145"/>
    <cellStyle name="Data   - Opmaakprofiel2 3 5 12 2 4" xfId="42960"/>
    <cellStyle name="Data   - Opmaakprofiel2 3 5 12 2 5" xfId="53760"/>
    <cellStyle name="Data   - Opmaakprofiel2 3 5 12 3" xfId="13937"/>
    <cellStyle name="Data   - Opmaakprofiel2 3 5 12 4" xfId="25989"/>
    <cellStyle name="Data   - Opmaakprofiel2 3 5 12 5" xfId="40253"/>
    <cellStyle name="Data   - Opmaakprofiel2 3 5 12 6" xfId="47669"/>
    <cellStyle name="Data   - Opmaakprofiel2 3 5 13" xfId="4770"/>
    <cellStyle name="Data   - Opmaakprofiel2 3 5 13 2" xfId="13938"/>
    <cellStyle name="Data   - Opmaakprofiel2 3 5 13 3" xfId="25990"/>
    <cellStyle name="Data   - Opmaakprofiel2 3 5 13 4" xfId="40252"/>
    <cellStyle name="Data   - Opmaakprofiel2 3 5 13 5" xfId="47670"/>
    <cellStyle name="Data   - Opmaakprofiel2 3 5 14" xfId="7766"/>
    <cellStyle name="Data   - Opmaakprofiel2 3 5 14 2" xfId="20064"/>
    <cellStyle name="Data   - Opmaakprofiel2 3 5 14 3" xfId="41867"/>
    <cellStyle name="Data   - Opmaakprofiel2 3 5 14 4" xfId="43372"/>
    <cellStyle name="Data   - Opmaakprofiel2 3 5 14 5" xfId="52736"/>
    <cellStyle name="Data   - Opmaakprofiel2 3 5 15" xfId="13934"/>
    <cellStyle name="Data   - Opmaakprofiel2 3 5 2" xfId="559"/>
    <cellStyle name="Data   - Opmaakprofiel2 3 5 2 2" xfId="2176"/>
    <cellStyle name="Data   - Opmaakprofiel2 3 5 2 2 2" xfId="8796"/>
    <cellStyle name="Data   - Opmaakprofiel2 3 5 2 2 2 2" xfId="21094"/>
    <cellStyle name="Data   - Opmaakprofiel2 3 5 2 2 2 3" xfId="33146"/>
    <cellStyle name="Data   - Opmaakprofiel2 3 5 2 2 2 4" xfId="31876"/>
    <cellStyle name="Data   - Opmaakprofiel2 3 5 2 2 2 5" xfId="53761"/>
    <cellStyle name="Data   - Opmaakprofiel2 3 5 2 2 3" xfId="13940"/>
    <cellStyle name="Data   - Opmaakprofiel2 3 5 2 2 4" xfId="25992"/>
    <cellStyle name="Data   - Opmaakprofiel2 3 5 2 2 5" xfId="45890"/>
    <cellStyle name="Data   - Opmaakprofiel2 3 5 2 2 6" xfId="47671"/>
    <cellStyle name="Data   - Opmaakprofiel2 3 5 2 3" xfId="2630"/>
    <cellStyle name="Data   - Opmaakprofiel2 3 5 2 3 2" xfId="8797"/>
    <cellStyle name="Data   - Opmaakprofiel2 3 5 2 3 2 2" xfId="21095"/>
    <cellStyle name="Data   - Opmaakprofiel2 3 5 2 3 2 3" xfId="33147"/>
    <cellStyle name="Data   - Opmaakprofiel2 3 5 2 3 2 4" xfId="42959"/>
    <cellStyle name="Data   - Opmaakprofiel2 3 5 2 3 2 5" xfId="53762"/>
    <cellStyle name="Data   - Opmaakprofiel2 3 5 2 3 3" xfId="13941"/>
    <cellStyle name="Data   - Opmaakprofiel2 3 5 2 3 4" xfId="25993"/>
    <cellStyle name="Data   - Opmaakprofiel2 3 5 2 3 5" xfId="40250"/>
    <cellStyle name="Data   - Opmaakprofiel2 3 5 2 3 6" xfId="47672"/>
    <cellStyle name="Data   - Opmaakprofiel2 3 5 2 4" xfId="3508"/>
    <cellStyle name="Data   - Opmaakprofiel2 3 5 2 4 2" xfId="8798"/>
    <cellStyle name="Data   - Opmaakprofiel2 3 5 2 4 2 2" xfId="21096"/>
    <cellStyle name="Data   - Opmaakprofiel2 3 5 2 4 2 3" xfId="33148"/>
    <cellStyle name="Data   - Opmaakprofiel2 3 5 2 4 2 4" xfId="27283"/>
    <cellStyle name="Data   - Opmaakprofiel2 3 5 2 4 2 5" xfId="53763"/>
    <cellStyle name="Data   - Opmaakprofiel2 3 5 2 4 3" xfId="13942"/>
    <cellStyle name="Data   - Opmaakprofiel2 3 5 2 4 4" xfId="25994"/>
    <cellStyle name="Data   - Opmaakprofiel2 3 5 2 4 5" xfId="45889"/>
    <cellStyle name="Data   - Opmaakprofiel2 3 5 2 4 6" xfId="47673"/>
    <cellStyle name="Data   - Opmaakprofiel2 3 5 2 5" xfId="4771"/>
    <cellStyle name="Data   - Opmaakprofiel2 3 5 2 5 2" xfId="8799"/>
    <cellStyle name="Data   - Opmaakprofiel2 3 5 2 5 2 2" xfId="21097"/>
    <cellStyle name="Data   - Opmaakprofiel2 3 5 2 5 2 3" xfId="33149"/>
    <cellStyle name="Data   - Opmaakprofiel2 3 5 2 5 2 4" xfId="31757"/>
    <cellStyle name="Data   - Opmaakprofiel2 3 5 2 5 2 5" xfId="53764"/>
    <cellStyle name="Data   - Opmaakprofiel2 3 5 2 5 3" xfId="13943"/>
    <cellStyle name="Data   - Opmaakprofiel2 3 5 2 5 4" xfId="25995"/>
    <cellStyle name="Data   - Opmaakprofiel2 3 5 2 5 5" xfId="40249"/>
    <cellStyle name="Data   - Opmaakprofiel2 3 5 2 5 6" xfId="47674"/>
    <cellStyle name="Data   - Opmaakprofiel2 3 5 2 6" xfId="4772"/>
    <cellStyle name="Data   - Opmaakprofiel2 3 5 2 6 2" xfId="8800"/>
    <cellStyle name="Data   - Opmaakprofiel2 3 5 2 6 2 2" xfId="21098"/>
    <cellStyle name="Data   - Opmaakprofiel2 3 5 2 6 2 3" xfId="33150"/>
    <cellStyle name="Data   - Opmaakprofiel2 3 5 2 6 2 4" xfId="27290"/>
    <cellStyle name="Data   - Opmaakprofiel2 3 5 2 6 2 5" xfId="53765"/>
    <cellStyle name="Data   - Opmaakprofiel2 3 5 2 6 3" xfId="13944"/>
    <cellStyle name="Data   - Opmaakprofiel2 3 5 2 6 4" xfId="25996"/>
    <cellStyle name="Data   - Opmaakprofiel2 3 5 2 6 5" xfId="45888"/>
    <cellStyle name="Data   - Opmaakprofiel2 3 5 2 6 6" xfId="47675"/>
    <cellStyle name="Data   - Opmaakprofiel2 3 5 2 7" xfId="4773"/>
    <cellStyle name="Data   - Opmaakprofiel2 3 5 2 7 2" xfId="13945"/>
    <cellStyle name="Data   - Opmaakprofiel2 3 5 2 7 3" xfId="25997"/>
    <cellStyle name="Data   - Opmaakprofiel2 3 5 2 7 4" xfId="40248"/>
    <cellStyle name="Data   - Opmaakprofiel2 3 5 2 7 5" xfId="47676"/>
    <cellStyle name="Data   - Opmaakprofiel2 3 5 2 8" xfId="7609"/>
    <cellStyle name="Data   - Opmaakprofiel2 3 5 2 8 2" xfId="19907"/>
    <cellStyle name="Data   - Opmaakprofiel2 3 5 2 8 3" xfId="41710"/>
    <cellStyle name="Data   - Opmaakprofiel2 3 5 2 8 4" xfId="34287"/>
    <cellStyle name="Data   - Opmaakprofiel2 3 5 2 8 5" xfId="52579"/>
    <cellStyle name="Data   - Opmaakprofiel2 3 5 2 9" xfId="13939"/>
    <cellStyle name="Data   - Opmaakprofiel2 3 5 3" xfId="465"/>
    <cellStyle name="Data   - Opmaakprofiel2 3 5 3 2" xfId="2114"/>
    <cellStyle name="Data   - Opmaakprofiel2 3 5 3 2 2" xfId="8801"/>
    <cellStyle name="Data   - Opmaakprofiel2 3 5 3 2 2 2" xfId="21099"/>
    <cellStyle name="Data   - Opmaakprofiel2 3 5 3 2 2 3" xfId="33151"/>
    <cellStyle name="Data   - Opmaakprofiel2 3 5 3 2 2 4" xfId="42958"/>
    <cellStyle name="Data   - Opmaakprofiel2 3 5 3 2 2 5" xfId="53766"/>
    <cellStyle name="Data   - Opmaakprofiel2 3 5 3 2 3" xfId="13947"/>
    <cellStyle name="Data   - Opmaakprofiel2 3 5 3 2 4" xfId="25999"/>
    <cellStyle name="Data   - Opmaakprofiel2 3 5 3 2 5" xfId="40247"/>
    <cellStyle name="Data   - Opmaakprofiel2 3 5 3 2 6" xfId="47677"/>
    <cellStyle name="Data   - Opmaakprofiel2 3 5 3 3" xfId="2536"/>
    <cellStyle name="Data   - Opmaakprofiel2 3 5 3 3 2" xfId="8802"/>
    <cellStyle name="Data   - Opmaakprofiel2 3 5 3 3 2 2" xfId="21100"/>
    <cellStyle name="Data   - Opmaakprofiel2 3 5 3 3 2 3" xfId="33152"/>
    <cellStyle name="Data   - Opmaakprofiel2 3 5 3 3 2 4" xfId="34692"/>
    <cellStyle name="Data   - Opmaakprofiel2 3 5 3 3 2 5" xfId="53767"/>
    <cellStyle name="Data   - Opmaakprofiel2 3 5 3 3 3" xfId="13948"/>
    <cellStyle name="Data   - Opmaakprofiel2 3 5 3 3 4" xfId="26000"/>
    <cellStyle name="Data   - Opmaakprofiel2 3 5 3 3 5" xfId="45886"/>
    <cellStyle name="Data   - Opmaakprofiel2 3 5 3 3 6" xfId="47678"/>
    <cellStyle name="Data   - Opmaakprofiel2 3 5 3 4" xfId="3424"/>
    <cellStyle name="Data   - Opmaakprofiel2 3 5 3 4 2" xfId="8803"/>
    <cellStyle name="Data   - Opmaakprofiel2 3 5 3 4 2 2" xfId="21101"/>
    <cellStyle name="Data   - Opmaakprofiel2 3 5 3 4 2 3" xfId="33153"/>
    <cellStyle name="Data   - Opmaakprofiel2 3 5 3 4 2 4" xfId="42957"/>
    <cellStyle name="Data   - Opmaakprofiel2 3 5 3 4 2 5" xfId="53768"/>
    <cellStyle name="Data   - Opmaakprofiel2 3 5 3 4 3" xfId="13949"/>
    <cellStyle name="Data   - Opmaakprofiel2 3 5 3 4 4" xfId="26001"/>
    <cellStyle name="Data   - Opmaakprofiel2 3 5 3 4 5" xfId="40246"/>
    <cellStyle name="Data   - Opmaakprofiel2 3 5 3 4 6" xfId="47679"/>
    <cellStyle name="Data   - Opmaakprofiel2 3 5 3 5" xfId="4774"/>
    <cellStyle name="Data   - Opmaakprofiel2 3 5 3 5 2" xfId="8804"/>
    <cellStyle name="Data   - Opmaakprofiel2 3 5 3 5 2 2" xfId="21102"/>
    <cellStyle name="Data   - Opmaakprofiel2 3 5 3 5 2 3" xfId="33154"/>
    <cellStyle name="Data   - Opmaakprofiel2 3 5 3 5 2 4" xfId="27297"/>
    <cellStyle name="Data   - Opmaakprofiel2 3 5 3 5 2 5" xfId="53769"/>
    <cellStyle name="Data   - Opmaakprofiel2 3 5 3 5 3" xfId="13950"/>
    <cellStyle name="Data   - Opmaakprofiel2 3 5 3 5 4" xfId="26002"/>
    <cellStyle name="Data   - Opmaakprofiel2 3 5 3 5 5" xfId="40245"/>
    <cellStyle name="Data   - Opmaakprofiel2 3 5 3 5 6" xfId="47680"/>
    <cellStyle name="Data   - Opmaakprofiel2 3 5 3 6" xfId="4775"/>
    <cellStyle name="Data   - Opmaakprofiel2 3 5 3 6 2" xfId="8805"/>
    <cellStyle name="Data   - Opmaakprofiel2 3 5 3 6 2 2" xfId="21103"/>
    <cellStyle name="Data   - Opmaakprofiel2 3 5 3 6 2 3" xfId="33155"/>
    <cellStyle name="Data   - Opmaakprofiel2 3 5 3 6 2 4" xfId="42956"/>
    <cellStyle name="Data   - Opmaakprofiel2 3 5 3 6 2 5" xfId="53770"/>
    <cellStyle name="Data   - Opmaakprofiel2 3 5 3 6 3" xfId="13951"/>
    <cellStyle name="Data   - Opmaakprofiel2 3 5 3 6 4" xfId="26003"/>
    <cellStyle name="Data   - Opmaakprofiel2 3 5 3 6 5" xfId="40244"/>
    <cellStyle name="Data   - Opmaakprofiel2 3 5 3 6 6" xfId="47681"/>
    <cellStyle name="Data   - Opmaakprofiel2 3 5 3 7" xfId="4776"/>
    <cellStyle name="Data   - Opmaakprofiel2 3 5 3 7 2" xfId="13952"/>
    <cellStyle name="Data   - Opmaakprofiel2 3 5 3 7 3" xfId="26004"/>
    <cellStyle name="Data   - Opmaakprofiel2 3 5 3 7 4" xfId="45885"/>
    <cellStyle name="Data   - Opmaakprofiel2 3 5 3 7 5" xfId="47682"/>
    <cellStyle name="Data   - Opmaakprofiel2 3 5 3 8" xfId="7672"/>
    <cellStyle name="Data   - Opmaakprofiel2 3 5 3 8 2" xfId="19970"/>
    <cellStyle name="Data   - Opmaakprofiel2 3 5 3 8 3" xfId="41773"/>
    <cellStyle name="Data   - Opmaakprofiel2 3 5 3 8 4" xfId="43411"/>
    <cellStyle name="Data   - Opmaakprofiel2 3 5 3 8 5" xfId="52642"/>
    <cellStyle name="Data   - Opmaakprofiel2 3 5 3 9" xfId="13946"/>
    <cellStyle name="Data   - Opmaakprofiel2 3 5 4" xfId="564"/>
    <cellStyle name="Data   - Opmaakprofiel2 3 5 4 2" xfId="1956"/>
    <cellStyle name="Data   - Opmaakprofiel2 3 5 4 2 2" xfId="8806"/>
    <cellStyle name="Data   - Opmaakprofiel2 3 5 4 2 2 2" xfId="21104"/>
    <cellStyle name="Data   - Opmaakprofiel2 3 5 4 2 2 3" xfId="33156"/>
    <cellStyle name="Data   - Opmaakprofiel2 3 5 4 2 2 4" xfId="32015"/>
    <cellStyle name="Data   - Opmaakprofiel2 3 5 4 2 2 5" xfId="53771"/>
    <cellStyle name="Data   - Opmaakprofiel2 3 5 4 2 3" xfId="13954"/>
    <cellStyle name="Data   - Opmaakprofiel2 3 5 4 2 4" xfId="26006"/>
    <cellStyle name="Data   - Opmaakprofiel2 3 5 4 2 5" xfId="45884"/>
    <cellStyle name="Data   - Opmaakprofiel2 3 5 4 2 6" xfId="47683"/>
    <cellStyle name="Data   - Opmaakprofiel2 3 5 4 3" xfId="2635"/>
    <cellStyle name="Data   - Opmaakprofiel2 3 5 4 3 2" xfId="8807"/>
    <cellStyle name="Data   - Opmaakprofiel2 3 5 4 3 2 2" xfId="21105"/>
    <cellStyle name="Data   - Opmaakprofiel2 3 5 4 3 2 3" xfId="33157"/>
    <cellStyle name="Data   - Opmaakprofiel2 3 5 4 3 2 4" xfId="42955"/>
    <cellStyle name="Data   - Opmaakprofiel2 3 5 4 3 2 5" xfId="53772"/>
    <cellStyle name="Data   - Opmaakprofiel2 3 5 4 3 3" xfId="13955"/>
    <cellStyle name="Data   - Opmaakprofiel2 3 5 4 3 4" xfId="26007"/>
    <cellStyle name="Data   - Opmaakprofiel2 3 5 4 3 5" xfId="40242"/>
    <cellStyle name="Data   - Opmaakprofiel2 3 5 4 3 6" xfId="47684"/>
    <cellStyle name="Data   - Opmaakprofiel2 3 5 4 4" xfId="3513"/>
    <cellStyle name="Data   - Opmaakprofiel2 3 5 4 4 2" xfId="8808"/>
    <cellStyle name="Data   - Opmaakprofiel2 3 5 4 4 2 2" xfId="21106"/>
    <cellStyle name="Data   - Opmaakprofiel2 3 5 4 4 2 3" xfId="33158"/>
    <cellStyle name="Data   - Opmaakprofiel2 3 5 4 4 2 4" xfId="27304"/>
    <cellStyle name="Data   - Opmaakprofiel2 3 5 4 4 2 5" xfId="53773"/>
    <cellStyle name="Data   - Opmaakprofiel2 3 5 4 4 3" xfId="13956"/>
    <cellStyle name="Data   - Opmaakprofiel2 3 5 4 4 4" xfId="26008"/>
    <cellStyle name="Data   - Opmaakprofiel2 3 5 4 4 5" xfId="45883"/>
    <cellStyle name="Data   - Opmaakprofiel2 3 5 4 4 6" xfId="47685"/>
    <cellStyle name="Data   - Opmaakprofiel2 3 5 4 5" xfId="4777"/>
    <cellStyle name="Data   - Opmaakprofiel2 3 5 4 5 2" xfId="8809"/>
    <cellStyle name="Data   - Opmaakprofiel2 3 5 4 5 2 2" xfId="21107"/>
    <cellStyle name="Data   - Opmaakprofiel2 3 5 4 5 2 3" xfId="33159"/>
    <cellStyle name="Data   - Opmaakprofiel2 3 5 4 5 2 4" xfId="42954"/>
    <cellStyle name="Data   - Opmaakprofiel2 3 5 4 5 2 5" xfId="53774"/>
    <cellStyle name="Data   - Opmaakprofiel2 3 5 4 5 3" xfId="13957"/>
    <cellStyle name="Data   - Opmaakprofiel2 3 5 4 5 4" xfId="26009"/>
    <cellStyle name="Data   - Opmaakprofiel2 3 5 4 5 5" xfId="40241"/>
    <cellStyle name="Data   - Opmaakprofiel2 3 5 4 5 6" xfId="47686"/>
    <cellStyle name="Data   - Opmaakprofiel2 3 5 4 6" xfId="4778"/>
    <cellStyle name="Data   - Opmaakprofiel2 3 5 4 6 2" xfId="8810"/>
    <cellStyle name="Data   - Opmaakprofiel2 3 5 4 6 2 2" xfId="21108"/>
    <cellStyle name="Data   - Opmaakprofiel2 3 5 4 6 2 3" xfId="33160"/>
    <cellStyle name="Data   - Opmaakprofiel2 3 5 4 6 2 4" xfId="31559"/>
    <cellStyle name="Data   - Opmaakprofiel2 3 5 4 6 2 5" xfId="53775"/>
    <cellStyle name="Data   - Opmaakprofiel2 3 5 4 6 3" xfId="13958"/>
    <cellStyle name="Data   - Opmaakprofiel2 3 5 4 6 4" xfId="26010"/>
    <cellStyle name="Data   - Opmaakprofiel2 3 5 4 6 5" xfId="45882"/>
    <cellStyle name="Data   - Opmaakprofiel2 3 5 4 6 6" xfId="47687"/>
    <cellStyle name="Data   - Opmaakprofiel2 3 5 4 7" xfId="4779"/>
    <cellStyle name="Data   - Opmaakprofiel2 3 5 4 7 2" xfId="13959"/>
    <cellStyle name="Data   - Opmaakprofiel2 3 5 4 7 3" xfId="26011"/>
    <cellStyle name="Data   - Opmaakprofiel2 3 5 4 7 4" xfId="40240"/>
    <cellStyle name="Data   - Opmaakprofiel2 3 5 4 7 5" xfId="47688"/>
    <cellStyle name="Data   - Opmaakprofiel2 3 5 4 8" xfId="10294"/>
    <cellStyle name="Data   - Opmaakprofiel2 3 5 4 8 2" xfId="22592"/>
    <cellStyle name="Data   - Opmaakprofiel2 3 5 4 8 3" xfId="44353"/>
    <cellStyle name="Data   - Opmaakprofiel2 3 5 4 8 4" xfId="31540"/>
    <cellStyle name="Data   - Opmaakprofiel2 3 5 4 8 5" xfId="55259"/>
    <cellStyle name="Data   - Opmaakprofiel2 3 5 4 9" xfId="13953"/>
    <cellStyle name="Data   - Opmaakprofiel2 3 5 5" xfId="1130"/>
    <cellStyle name="Data   - Opmaakprofiel2 3 5 5 2" xfId="2136"/>
    <cellStyle name="Data   - Opmaakprofiel2 3 5 5 2 2" xfId="8811"/>
    <cellStyle name="Data   - Opmaakprofiel2 3 5 5 2 2 2" xfId="21109"/>
    <cellStyle name="Data   - Opmaakprofiel2 3 5 5 2 2 3" xfId="33161"/>
    <cellStyle name="Data   - Opmaakprofiel2 3 5 5 2 2 4" xfId="27311"/>
    <cellStyle name="Data   - Opmaakprofiel2 3 5 5 2 2 5" xfId="53776"/>
    <cellStyle name="Data   - Opmaakprofiel2 3 5 5 2 3" xfId="13961"/>
    <cellStyle name="Data   - Opmaakprofiel2 3 5 5 2 4" xfId="26013"/>
    <cellStyle name="Data   - Opmaakprofiel2 3 5 5 2 5" xfId="40239"/>
    <cellStyle name="Data   - Opmaakprofiel2 3 5 5 2 6" xfId="47689"/>
    <cellStyle name="Data   - Opmaakprofiel2 3 5 5 3" xfId="3141"/>
    <cellStyle name="Data   - Opmaakprofiel2 3 5 5 3 2" xfId="8812"/>
    <cellStyle name="Data   - Opmaakprofiel2 3 5 5 3 2 2" xfId="21110"/>
    <cellStyle name="Data   - Opmaakprofiel2 3 5 5 3 2 3" xfId="33162"/>
    <cellStyle name="Data   - Opmaakprofiel2 3 5 5 3 2 4" xfId="31475"/>
    <cellStyle name="Data   - Opmaakprofiel2 3 5 5 3 2 5" xfId="53777"/>
    <cellStyle name="Data   - Opmaakprofiel2 3 5 5 3 3" xfId="13962"/>
    <cellStyle name="Data   - Opmaakprofiel2 3 5 5 3 4" xfId="26014"/>
    <cellStyle name="Data   - Opmaakprofiel2 3 5 5 3 5" xfId="40238"/>
    <cellStyle name="Data   - Opmaakprofiel2 3 5 5 3 6" xfId="47690"/>
    <cellStyle name="Data   - Opmaakprofiel2 3 5 5 4" xfId="3971"/>
    <cellStyle name="Data   - Opmaakprofiel2 3 5 5 4 2" xfId="8813"/>
    <cellStyle name="Data   - Opmaakprofiel2 3 5 5 4 2 2" xfId="21111"/>
    <cellStyle name="Data   - Opmaakprofiel2 3 5 5 4 2 3" xfId="33163"/>
    <cellStyle name="Data   - Opmaakprofiel2 3 5 5 4 2 4" xfId="42953"/>
    <cellStyle name="Data   - Opmaakprofiel2 3 5 5 4 2 5" xfId="53778"/>
    <cellStyle name="Data   - Opmaakprofiel2 3 5 5 4 3" xfId="13963"/>
    <cellStyle name="Data   - Opmaakprofiel2 3 5 5 4 4" xfId="26015"/>
    <cellStyle name="Data   - Opmaakprofiel2 3 5 5 4 5" xfId="40237"/>
    <cellStyle name="Data   - Opmaakprofiel2 3 5 5 4 6" xfId="47691"/>
    <cellStyle name="Data   - Opmaakprofiel2 3 5 5 5" xfId="4780"/>
    <cellStyle name="Data   - Opmaakprofiel2 3 5 5 5 2" xfId="8814"/>
    <cellStyle name="Data   - Opmaakprofiel2 3 5 5 5 2 2" xfId="21112"/>
    <cellStyle name="Data   - Opmaakprofiel2 3 5 5 5 2 3" xfId="33164"/>
    <cellStyle name="Data   - Opmaakprofiel2 3 5 5 5 2 4" xfId="27321"/>
    <cellStyle name="Data   - Opmaakprofiel2 3 5 5 5 2 5" xfId="53779"/>
    <cellStyle name="Data   - Opmaakprofiel2 3 5 5 5 3" xfId="13964"/>
    <cellStyle name="Data   - Opmaakprofiel2 3 5 5 5 4" xfId="26016"/>
    <cellStyle name="Data   - Opmaakprofiel2 3 5 5 5 5" xfId="45880"/>
    <cellStyle name="Data   - Opmaakprofiel2 3 5 5 5 6" xfId="47692"/>
    <cellStyle name="Data   - Opmaakprofiel2 3 5 5 6" xfId="4781"/>
    <cellStyle name="Data   - Opmaakprofiel2 3 5 5 6 2" xfId="8815"/>
    <cellStyle name="Data   - Opmaakprofiel2 3 5 5 6 2 2" xfId="21113"/>
    <cellStyle name="Data   - Opmaakprofiel2 3 5 5 6 2 3" xfId="33165"/>
    <cellStyle name="Data   - Opmaakprofiel2 3 5 5 6 2 4" xfId="42952"/>
    <cellStyle name="Data   - Opmaakprofiel2 3 5 5 6 2 5" xfId="53780"/>
    <cellStyle name="Data   - Opmaakprofiel2 3 5 5 6 3" xfId="13965"/>
    <cellStyle name="Data   - Opmaakprofiel2 3 5 5 6 4" xfId="26017"/>
    <cellStyle name="Data   - Opmaakprofiel2 3 5 5 6 5" xfId="40236"/>
    <cellStyle name="Data   - Opmaakprofiel2 3 5 5 6 6" xfId="47693"/>
    <cellStyle name="Data   - Opmaakprofiel2 3 5 5 7" xfId="4782"/>
    <cellStyle name="Data   - Opmaakprofiel2 3 5 5 7 2" xfId="13966"/>
    <cellStyle name="Data   - Opmaakprofiel2 3 5 5 7 3" xfId="26018"/>
    <cellStyle name="Data   - Opmaakprofiel2 3 5 5 7 4" xfId="45879"/>
    <cellStyle name="Data   - Opmaakprofiel2 3 5 5 7 5" xfId="47694"/>
    <cellStyle name="Data   - Opmaakprofiel2 3 5 5 8" xfId="9913"/>
    <cellStyle name="Data   - Opmaakprofiel2 3 5 5 8 2" xfId="22211"/>
    <cellStyle name="Data   - Opmaakprofiel2 3 5 5 8 3" xfId="43978"/>
    <cellStyle name="Data   - Opmaakprofiel2 3 5 5 8 4" xfId="34514"/>
    <cellStyle name="Data   - Opmaakprofiel2 3 5 5 8 5" xfId="54878"/>
    <cellStyle name="Data   - Opmaakprofiel2 3 5 5 9" xfId="13960"/>
    <cellStyle name="Data   - Opmaakprofiel2 3 5 6" xfId="983"/>
    <cellStyle name="Data   - Opmaakprofiel2 3 5 6 2" xfId="2282"/>
    <cellStyle name="Data   - Opmaakprofiel2 3 5 6 2 2" xfId="8816"/>
    <cellStyle name="Data   - Opmaakprofiel2 3 5 6 2 2 2" xfId="21114"/>
    <cellStyle name="Data   - Opmaakprofiel2 3 5 6 2 2 3" xfId="33166"/>
    <cellStyle name="Data   - Opmaakprofiel2 3 5 6 2 2 4" xfId="27322"/>
    <cellStyle name="Data   - Opmaakprofiel2 3 5 6 2 2 5" xfId="53781"/>
    <cellStyle name="Data   - Opmaakprofiel2 3 5 6 2 3" xfId="13968"/>
    <cellStyle name="Data   - Opmaakprofiel2 3 5 6 2 4" xfId="26020"/>
    <cellStyle name="Data   - Opmaakprofiel2 3 5 6 2 5" xfId="45878"/>
    <cellStyle name="Data   - Opmaakprofiel2 3 5 6 2 6" xfId="47695"/>
    <cellStyle name="Data   - Opmaakprofiel2 3 5 6 3" xfId="2994"/>
    <cellStyle name="Data   - Opmaakprofiel2 3 5 6 3 2" xfId="8817"/>
    <cellStyle name="Data   - Opmaakprofiel2 3 5 6 3 2 2" xfId="21115"/>
    <cellStyle name="Data   - Opmaakprofiel2 3 5 6 3 2 3" xfId="33167"/>
    <cellStyle name="Data   - Opmaakprofiel2 3 5 6 3 2 4" xfId="42951"/>
    <cellStyle name="Data   - Opmaakprofiel2 3 5 6 3 2 5" xfId="53782"/>
    <cellStyle name="Data   - Opmaakprofiel2 3 5 6 3 3" xfId="13969"/>
    <cellStyle name="Data   - Opmaakprofiel2 3 5 6 3 4" xfId="26021"/>
    <cellStyle name="Data   - Opmaakprofiel2 3 5 6 3 5" xfId="40234"/>
    <cellStyle name="Data   - Opmaakprofiel2 3 5 6 3 6" xfId="47696"/>
    <cellStyle name="Data   - Opmaakprofiel2 3 5 6 4" xfId="3840"/>
    <cellStyle name="Data   - Opmaakprofiel2 3 5 6 4 2" xfId="8818"/>
    <cellStyle name="Data   - Opmaakprofiel2 3 5 6 4 2 2" xfId="21116"/>
    <cellStyle name="Data   - Opmaakprofiel2 3 5 6 4 2 3" xfId="33168"/>
    <cellStyle name="Data   - Opmaakprofiel2 3 5 6 4 2 4" xfId="31372"/>
    <cellStyle name="Data   - Opmaakprofiel2 3 5 6 4 2 5" xfId="53783"/>
    <cellStyle name="Data   - Opmaakprofiel2 3 5 6 4 3" xfId="13970"/>
    <cellStyle name="Data   - Opmaakprofiel2 3 5 6 4 4" xfId="26022"/>
    <cellStyle name="Data   - Opmaakprofiel2 3 5 6 4 5" xfId="45877"/>
    <cellStyle name="Data   - Opmaakprofiel2 3 5 6 4 6" xfId="47697"/>
    <cellStyle name="Data   - Opmaakprofiel2 3 5 6 5" xfId="4783"/>
    <cellStyle name="Data   - Opmaakprofiel2 3 5 6 5 2" xfId="8819"/>
    <cellStyle name="Data   - Opmaakprofiel2 3 5 6 5 2 2" xfId="21117"/>
    <cellStyle name="Data   - Opmaakprofiel2 3 5 6 5 2 3" xfId="33169"/>
    <cellStyle name="Data   - Opmaakprofiel2 3 5 6 5 2 4" xfId="42950"/>
    <cellStyle name="Data   - Opmaakprofiel2 3 5 6 5 2 5" xfId="53784"/>
    <cellStyle name="Data   - Opmaakprofiel2 3 5 6 5 3" xfId="13971"/>
    <cellStyle name="Data   - Opmaakprofiel2 3 5 6 5 4" xfId="26023"/>
    <cellStyle name="Data   - Opmaakprofiel2 3 5 6 5 5" xfId="40233"/>
    <cellStyle name="Data   - Opmaakprofiel2 3 5 6 5 6" xfId="47698"/>
    <cellStyle name="Data   - Opmaakprofiel2 3 5 6 6" xfId="4784"/>
    <cellStyle name="Data   - Opmaakprofiel2 3 5 6 6 2" xfId="8820"/>
    <cellStyle name="Data   - Opmaakprofiel2 3 5 6 6 2 2" xfId="21118"/>
    <cellStyle name="Data   - Opmaakprofiel2 3 5 6 6 2 3" xfId="33170"/>
    <cellStyle name="Data   - Opmaakprofiel2 3 5 6 6 2 4" xfId="32115"/>
    <cellStyle name="Data   - Opmaakprofiel2 3 5 6 6 2 5" xfId="53785"/>
    <cellStyle name="Data   - Opmaakprofiel2 3 5 6 6 3" xfId="13972"/>
    <cellStyle name="Data   - Opmaakprofiel2 3 5 6 6 4" xfId="26024"/>
    <cellStyle name="Data   - Opmaakprofiel2 3 5 6 6 5" xfId="45876"/>
    <cellStyle name="Data   - Opmaakprofiel2 3 5 6 6 6" xfId="47699"/>
    <cellStyle name="Data   - Opmaakprofiel2 3 5 6 7" xfId="4785"/>
    <cellStyle name="Data   - Opmaakprofiel2 3 5 6 7 2" xfId="13973"/>
    <cellStyle name="Data   - Opmaakprofiel2 3 5 6 7 3" xfId="26025"/>
    <cellStyle name="Data   - Opmaakprofiel2 3 5 6 7 4" xfId="40232"/>
    <cellStyle name="Data   - Opmaakprofiel2 3 5 6 7 5" xfId="47700"/>
    <cellStyle name="Data   - Opmaakprofiel2 3 5 6 8" xfId="7323"/>
    <cellStyle name="Data   - Opmaakprofiel2 3 5 6 8 2" xfId="19621"/>
    <cellStyle name="Data   - Opmaakprofiel2 3 5 6 8 3" xfId="41424"/>
    <cellStyle name="Data   - Opmaakprofiel2 3 5 6 8 4" xfId="36846"/>
    <cellStyle name="Data   - Opmaakprofiel2 3 5 6 8 5" xfId="52293"/>
    <cellStyle name="Data   - Opmaakprofiel2 3 5 6 9" xfId="13967"/>
    <cellStyle name="Data   - Opmaakprofiel2 3 5 7" xfId="1268"/>
    <cellStyle name="Data   - Opmaakprofiel2 3 5 7 2" xfId="1774"/>
    <cellStyle name="Data   - Opmaakprofiel2 3 5 7 2 2" xfId="8821"/>
    <cellStyle name="Data   - Opmaakprofiel2 3 5 7 2 2 2" xfId="21119"/>
    <cellStyle name="Data   - Opmaakprofiel2 3 5 7 2 2 3" xfId="33171"/>
    <cellStyle name="Data   - Opmaakprofiel2 3 5 7 2 2 4" xfId="42949"/>
    <cellStyle name="Data   - Opmaakprofiel2 3 5 7 2 2 5" xfId="53786"/>
    <cellStyle name="Data   - Opmaakprofiel2 3 5 7 2 3" xfId="13975"/>
    <cellStyle name="Data   - Opmaakprofiel2 3 5 7 2 4" xfId="26027"/>
    <cellStyle name="Data   - Opmaakprofiel2 3 5 7 2 5" xfId="40231"/>
    <cellStyle name="Data   - Opmaakprofiel2 3 5 7 2 6" xfId="47701"/>
    <cellStyle name="Data   - Opmaakprofiel2 3 5 7 3" xfId="3279"/>
    <cellStyle name="Data   - Opmaakprofiel2 3 5 7 3 2" xfId="8822"/>
    <cellStyle name="Data   - Opmaakprofiel2 3 5 7 3 2 2" xfId="21120"/>
    <cellStyle name="Data   - Opmaakprofiel2 3 5 7 3 2 3" xfId="33172"/>
    <cellStyle name="Data   - Opmaakprofiel2 3 5 7 3 2 4" xfId="27335"/>
    <cellStyle name="Data   - Opmaakprofiel2 3 5 7 3 2 5" xfId="53787"/>
    <cellStyle name="Data   - Opmaakprofiel2 3 5 7 3 3" xfId="13976"/>
    <cellStyle name="Data   - Opmaakprofiel2 3 5 7 3 4" xfId="26028"/>
    <cellStyle name="Data   - Opmaakprofiel2 3 5 7 3 5" xfId="45875"/>
    <cellStyle name="Data   - Opmaakprofiel2 3 5 7 3 6" xfId="47702"/>
    <cellStyle name="Data   - Opmaakprofiel2 3 5 7 4" xfId="4081"/>
    <cellStyle name="Data   - Opmaakprofiel2 3 5 7 4 2" xfId="8823"/>
    <cellStyle name="Data   - Opmaakprofiel2 3 5 7 4 2 2" xfId="21121"/>
    <cellStyle name="Data   - Opmaakprofiel2 3 5 7 4 2 3" xfId="33173"/>
    <cellStyle name="Data   - Opmaakprofiel2 3 5 7 4 2 4" xfId="32108"/>
    <cellStyle name="Data   - Opmaakprofiel2 3 5 7 4 2 5" xfId="53788"/>
    <cellStyle name="Data   - Opmaakprofiel2 3 5 7 4 3" xfId="13977"/>
    <cellStyle name="Data   - Opmaakprofiel2 3 5 7 4 4" xfId="26029"/>
    <cellStyle name="Data   - Opmaakprofiel2 3 5 7 4 5" xfId="40230"/>
    <cellStyle name="Data   - Opmaakprofiel2 3 5 7 4 6" xfId="47703"/>
    <cellStyle name="Data   - Opmaakprofiel2 3 5 7 5" xfId="4786"/>
    <cellStyle name="Data   - Opmaakprofiel2 3 5 7 5 2" xfId="8824"/>
    <cellStyle name="Data   - Opmaakprofiel2 3 5 7 5 2 2" xfId="21122"/>
    <cellStyle name="Data   - Opmaakprofiel2 3 5 7 5 2 3" xfId="33174"/>
    <cellStyle name="Data   - Opmaakprofiel2 3 5 7 5 2 4" xfId="27342"/>
    <cellStyle name="Data   - Opmaakprofiel2 3 5 7 5 2 5" xfId="53789"/>
    <cellStyle name="Data   - Opmaakprofiel2 3 5 7 5 3" xfId="13978"/>
    <cellStyle name="Data   - Opmaakprofiel2 3 5 7 5 4" xfId="26030"/>
    <cellStyle name="Data   - Opmaakprofiel2 3 5 7 5 5" xfId="45874"/>
    <cellStyle name="Data   - Opmaakprofiel2 3 5 7 5 6" xfId="47704"/>
    <cellStyle name="Data   - Opmaakprofiel2 3 5 7 6" xfId="4787"/>
    <cellStyle name="Data   - Opmaakprofiel2 3 5 7 6 2" xfId="8825"/>
    <cellStyle name="Data   - Opmaakprofiel2 3 5 7 6 2 2" xfId="21123"/>
    <cellStyle name="Data   - Opmaakprofiel2 3 5 7 6 2 3" xfId="33175"/>
    <cellStyle name="Data   - Opmaakprofiel2 3 5 7 6 2 4" xfId="42948"/>
    <cellStyle name="Data   - Opmaakprofiel2 3 5 7 6 2 5" xfId="53790"/>
    <cellStyle name="Data   - Opmaakprofiel2 3 5 7 6 3" xfId="13979"/>
    <cellStyle name="Data   - Opmaakprofiel2 3 5 7 6 4" xfId="26031"/>
    <cellStyle name="Data   - Opmaakprofiel2 3 5 7 6 5" xfId="40229"/>
    <cellStyle name="Data   - Opmaakprofiel2 3 5 7 6 6" xfId="47705"/>
    <cellStyle name="Data   - Opmaakprofiel2 3 5 7 7" xfId="4788"/>
    <cellStyle name="Data   - Opmaakprofiel2 3 5 7 7 2" xfId="13980"/>
    <cellStyle name="Data   - Opmaakprofiel2 3 5 7 7 3" xfId="26032"/>
    <cellStyle name="Data   - Opmaakprofiel2 3 5 7 7 4" xfId="45873"/>
    <cellStyle name="Data   - Opmaakprofiel2 3 5 7 7 5" xfId="47706"/>
    <cellStyle name="Data   - Opmaakprofiel2 3 5 7 8" xfId="7108"/>
    <cellStyle name="Data   - Opmaakprofiel2 3 5 7 8 2" xfId="19406"/>
    <cellStyle name="Data   - Opmaakprofiel2 3 5 7 8 3" xfId="41209"/>
    <cellStyle name="Data   - Opmaakprofiel2 3 5 7 8 4" xfId="43647"/>
    <cellStyle name="Data   - Opmaakprofiel2 3 5 7 8 5" xfId="52079"/>
    <cellStyle name="Data   - Opmaakprofiel2 3 5 7 9" xfId="13974"/>
    <cellStyle name="Data   - Opmaakprofiel2 3 5 8" xfId="2318"/>
    <cellStyle name="Data   - Opmaakprofiel2 3 5 8 2" xfId="8826"/>
    <cellStyle name="Data   - Opmaakprofiel2 3 5 8 2 2" xfId="21124"/>
    <cellStyle name="Data   - Opmaakprofiel2 3 5 8 2 3" xfId="33176"/>
    <cellStyle name="Data   - Opmaakprofiel2 3 5 8 2 4" xfId="34608"/>
    <cellStyle name="Data   - Opmaakprofiel2 3 5 8 2 5" xfId="53791"/>
    <cellStyle name="Data   - Opmaakprofiel2 3 5 8 3" xfId="13981"/>
    <cellStyle name="Data   - Opmaakprofiel2 3 5 8 4" xfId="26033"/>
    <cellStyle name="Data   - Opmaakprofiel2 3 5 8 5" xfId="40228"/>
    <cellStyle name="Data   - Opmaakprofiel2 3 5 8 6" xfId="47707"/>
    <cellStyle name="Data   - Opmaakprofiel2 3 5 9" xfId="2200"/>
    <cellStyle name="Data   - Opmaakprofiel2 3 5 9 2" xfId="8827"/>
    <cellStyle name="Data   - Opmaakprofiel2 3 5 9 2 2" xfId="21125"/>
    <cellStyle name="Data   - Opmaakprofiel2 3 5 9 2 3" xfId="33177"/>
    <cellStyle name="Data   - Opmaakprofiel2 3 5 9 2 4" xfId="42947"/>
    <cellStyle name="Data   - Opmaakprofiel2 3 5 9 2 5" xfId="53792"/>
    <cellStyle name="Data   - Opmaakprofiel2 3 5 9 3" xfId="13982"/>
    <cellStyle name="Data   - Opmaakprofiel2 3 5 9 4" xfId="26034"/>
    <cellStyle name="Data   - Opmaakprofiel2 3 5 9 5" xfId="45872"/>
    <cellStyle name="Data   - Opmaakprofiel2 3 5 9 6" xfId="47708"/>
    <cellStyle name="Data   - Opmaakprofiel2 3 6" xfId="527"/>
    <cellStyle name="Data   - Opmaakprofiel2 3 6 2" xfId="1623"/>
    <cellStyle name="Data   - Opmaakprofiel2 3 6 2 2" xfId="8828"/>
    <cellStyle name="Data   - Opmaakprofiel2 3 6 2 2 2" xfId="21126"/>
    <cellStyle name="Data   - Opmaakprofiel2 3 6 2 2 3" xfId="33178"/>
    <cellStyle name="Data   - Opmaakprofiel2 3 6 2 2 4" xfId="27349"/>
    <cellStyle name="Data   - Opmaakprofiel2 3 6 2 2 5" xfId="53793"/>
    <cellStyle name="Data   - Opmaakprofiel2 3 6 2 3" xfId="13984"/>
    <cellStyle name="Data   - Opmaakprofiel2 3 6 2 4" xfId="26036"/>
    <cellStyle name="Data   - Opmaakprofiel2 3 6 2 5" xfId="45871"/>
    <cellStyle name="Data   - Opmaakprofiel2 3 6 2 6" xfId="47709"/>
    <cellStyle name="Data   - Opmaakprofiel2 3 6 3" xfId="2598"/>
    <cellStyle name="Data   - Opmaakprofiel2 3 6 3 2" xfId="8829"/>
    <cellStyle name="Data   - Opmaakprofiel2 3 6 3 2 2" xfId="21127"/>
    <cellStyle name="Data   - Opmaakprofiel2 3 6 3 2 3" xfId="33179"/>
    <cellStyle name="Data   - Opmaakprofiel2 3 6 3 2 4" xfId="42946"/>
    <cellStyle name="Data   - Opmaakprofiel2 3 6 3 2 5" xfId="53794"/>
    <cellStyle name="Data   - Opmaakprofiel2 3 6 3 3" xfId="13985"/>
    <cellStyle name="Data   - Opmaakprofiel2 3 6 3 4" xfId="26037"/>
    <cellStyle name="Data   - Opmaakprofiel2 3 6 3 5" xfId="40226"/>
    <cellStyle name="Data   - Opmaakprofiel2 3 6 3 6" xfId="47710"/>
    <cellStyle name="Data   - Opmaakprofiel2 3 6 4" xfId="3479"/>
    <cellStyle name="Data   - Opmaakprofiel2 3 6 4 2" xfId="8830"/>
    <cellStyle name="Data   - Opmaakprofiel2 3 6 4 2 2" xfId="21128"/>
    <cellStyle name="Data   - Opmaakprofiel2 3 6 4 2 3" xfId="33180"/>
    <cellStyle name="Data   - Opmaakprofiel2 3 6 4 2 4" xfId="34727"/>
    <cellStyle name="Data   - Opmaakprofiel2 3 6 4 2 5" xfId="53795"/>
    <cellStyle name="Data   - Opmaakprofiel2 3 6 4 3" xfId="13986"/>
    <cellStyle name="Data   - Opmaakprofiel2 3 6 4 4" xfId="26038"/>
    <cellStyle name="Data   - Opmaakprofiel2 3 6 4 5" xfId="40225"/>
    <cellStyle name="Data   - Opmaakprofiel2 3 6 4 6" xfId="47711"/>
    <cellStyle name="Data   - Opmaakprofiel2 3 6 5" xfId="4789"/>
    <cellStyle name="Data   - Opmaakprofiel2 3 6 5 2" xfId="8831"/>
    <cellStyle name="Data   - Opmaakprofiel2 3 6 5 2 2" xfId="21129"/>
    <cellStyle name="Data   - Opmaakprofiel2 3 6 5 2 3" xfId="33181"/>
    <cellStyle name="Data   - Opmaakprofiel2 3 6 5 2 4" xfId="42945"/>
    <cellStyle name="Data   - Opmaakprofiel2 3 6 5 2 5" xfId="53796"/>
    <cellStyle name="Data   - Opmaakprofiel2 3 6 5 3" xfId="13987"/>
    <cellStyle name="Data   - Opmaakprofiel2 3 6 5 4" xfId="26039"/>
    <cellStyle name="Data   - Opmaakprofiel2 3 6 5 5" xfId="40224"/>
    <cellStyle name="Data   - Opmaakprofiel2 3 6 5 6" xfId="47712"/>
    <cellStyle name="Data   - Opmaakprofiel2 3 6 6" xfId="4790"/>
    <cellStyle name="Data   - Opmaakprofiel2 3 6 6 2" xfId="8832"/>
    <cellStyle name="Data   - Opmaakprofiel2 3 6 6 2 2" xfId="21130"/>
    <cellStyle name="Data   - Opmaakprofiel2 3 6 6 2 3" xfId="33182"/>
    <cellStyle name="Data   - Opmaakprofiel2 3 6 6 2 4" xfId="27356"/>
    <cellStyle name="Data   - Opmaakprofiel2 3 6 6 2 5" xfId="53797"/>
    <cellStyle name="Data   - Opmaakprofiel2 3 6 6 3" xfId="13988"/>
    <cellStyle name="Data   - Opmaakprofiel2 3 6 6 4" xfId="26040"/>
    <cellStyle name="Data   - Opmaakprofiel2 3 6 6 5" xfId="45870"/>
    <cellStyle name="Data   - Opmaakprofiel2 3 6 6 6" xfId="47713"/>
    <cellStyle name="Data   - Opmaakprofiel2 3 6 7" xfId="4791"/>
    <cellStyle name="Data   - Opmaakprofiel2 3 6 7 2" xfId="13989"/>
    <cellStyle name="Data   - Opmaakprofiel2 3 6 7 3" xfId="26041"/>
    <cellStyle name="Data   - Opmaakprofiel2 3 6 7 4" xfId="40223"/>
    <cellStyle name="Data   - Opmaakprofiel2 3 6 7 5" xfId="47714"/>
    <cellStyle name="Data   - Opmaakprofiel2 3 6 8" xfId="10322"/>
    <cellStyle name="Data   - Opmaakprofiel2 3 6 8 2" xfId="22620"/>
    <cellStyle name="Data   - Opmaakprofiel2 3 6 8 3" xfId="44381"/>
    <cellStyle name="Data   - Opmaakprofiel2 3 6 8 4" xfId="42323"/>
    <cellStyle name="Data   - Opmaakprofiel2 3 6 8 5" xfId="55287"/>
    <cellStyle name="Data   - Opmaakprofiel2 3 6 9" xfId="13983"/>
    <cellStyle name="Data   - Opmaakprofiel2 3 7" xfId="583"/>
    <cellStyle name="Data   - Opmaakprofiel2 3 7 2" xfId="1876"/>
    <cellStyle name="Data   - Opmaakprofiel2 3 7 2 2" xfId="8833"/>
    <cellStyle name="Data   - Opmaakprofiel2 3 7 2 2 2" xfId="21131"/>
    <cellStyle name="Data   - Opmaakprofiel2 3 7 2 2 3" xfId="33183"/>
    <cellStyle name="Data   - Opmaakprofiel2 3 7 2 2 4" xfId="42944"/>
    <cellStyle name="Data   - Opmaakprofiel2 3 7 2 2 5" xfId="53798"/>
    <cellStyle name="Data   - Opmaakprofiel2 3 7 2 3" xfId="13991"/>
    <cellStyle name="Data   - Opmaakprofiel2 3 7 2 4" xfId="26043"/>
    <cellStyle name="Data   - Opmaakprofiel2 3 7 2 5" xfId="40222"/>
    <cellStyle name="Data   - Opmaakprofiel2 3 7 2 6" xfId="47715"/>
    <cellStyle name="Data   - Opmaakprofiel2 3 7 3" xfId="2654"/>
    <cellStyle name="Data   - Opmaakprofiel2 3 7 3 2" xfId="8834"/>
    <cellStyle name="Data   - Opmaakprofiel2 3 7 3 2 2" xfId="21132"/>
    <cellStyle name="Data   - Opmaakprofiel2 3 7 3 2 3" xfId="33184"/>
    <cellStyle name="Data   - Opmaakprofiel2 3 7 3 2 4" xfId="32009"/>
    <cellStyle name="Data   - Opmaakprofiel2 3 7 3 2 5" xfId="53799"/>
    <cellStyle name="Data   - Opmaakprofiel2 3 7 3 3" xfId="13992"/>
    <cellStyle name="Data   - Opmaakprofiel2 3 7 3 4" xfId="26044"/>
    <cellStyle name="Data   - Opmaakprofiel2 3 7 3 5" xfId="45868"/>
    <cellStyle name="Data   - Opmaakprofiel2 3 7 3 6" xfId="47716"/>
    <cellStyle name="Data   - Opmaakprofiel2 3 7 4" xfId="3530"/>
    <cellStyle name="Data   - Opmaakprofiel2 3 7 4 2" xfId="8835"/>
    <cellStyle name="Data   - Opmaakprofiel2 3 7 4 2 2" xfId="21133"/>
    <cellStyle name="Data   - Opmaakprofiel2 3 7 4 2 3" xfId="33185"/>
    <cellStyle name="Data   - Opmaakprofiel2 3 7 4 2 4" xfId="27363"/>
    <cellStyle name="Data   - Opmaakprofiel2 3 7 4 2 5" xfId="53800"/>
    <cellStyle name="Data   - Opmaakprofiel2 3 7 4 3" xfId="13993"/>
    <cellStyle name="Data   - Opmaakprofiel2 3 7 4 4" xfId="26045"/>
    <cellStyle name="Data   - Opmaakprofiel2 3 7 4 5" xfId="40221"/>
    <cellStyle name="Data   - Opmaakprofiel2 3 7 4 6" xfId="47717"/>
    <cellStyle name="Data   - Opmaakprofiel2 3 7 5" xfId="4792"/>
    <cellStyle name="Data   - Opmaakprofiel2 3 7 5 2" xfId="8836"/>
    <cellStyle name="Data   - Opmaakprofiel2 3 7 5 2 2" xfId="21134"/>
    <cellStyle name="Data   - Opmaakprofiel2 3 7 5 2 3" xfId="33186"/>
    <cellStyle name="Data   - Opmaakprofiel2 3 7 5 2 4" xfId="31582"/>
    <cellStyle name="Data   - Opmaakprofiel2 3 7 5 2 5" xfId="53801"/>
    <cellStyle name="Data   - Opmaakprofiel2 3 7 5 3" xfId="13994"/>
    <cellStyle name="Data   - Opmaakprofiel2 3 7 5 4" xfId="26046"/>
    <cellStyle name="Data   - Opmaakprofiel2 3 7 5 5" xfId="45867"/>
    <cellStyle name="Data   - Opmaakprofiel2 3 7 5 6" xfId="47718"/>
    <cellStyle name="Data   - Opmaakprofiel2 3 7 6" xfId="4793"/>
    <cellStyle name="Data   - Opmaakprofiel2 3 7 6 2" xfId="8837"/>
    <cellStyle name="Data   - Opmaakprofiel2 3 7 6 2 2" xfId="21135"/>
    <cellStyle name="Data   - Opmaakprofiel2 3 7 6 2 3" xfId="33187"/>
    <cellStyle name="Data   - Opmaakprofiel2 3 7 6 2 4" xfId="42943"/>
    <cellStyle name="Data   - Opmaakprofiel2 3 7 6 2 5" xfId="53802"/>
    <cellStyle name="Data   - Opmaakprofiel2 3 7 6 3" xfId="13995"/>
    <cellStyle name="Data   - Opmaakprofiel2 3 7 6 4" xfId="26047"/>
    <cellStyle name="Data   - Opmaakprofiel2 3 7 6 5" xfId="40220"/>
    <cellStyle name="Data   - Opmaakprofiel2 3 7 6 6" xfId="47719"/>
    <cellStyle name="Data   - Opmaakprofiel2 3 7 7" xfId="4794"/>
    <cellStyle name="Data   - Opmaakprofiel2 3 7 7 2" xfId="13996"/>
    <cellStyle name="Data   - Opmaakprofiel2 3 7 7 3" xfId="26048"/>
    <cellStyle name="Data   - Opmaakprofiel2 3 7 7 4" xfId="45866"/>
    <cellStyle name="Data   - Opmaakprofiel2 3 7 7 5" xfId="47720"/>
    <cellStyle name="Data   - Opmaakprofiel2 3 7 8" xfId="10280"/>
    <cellStyle name="Data   - Opmaakprofiel2 3 7 8 2" xfId="22578"/>
    <cellStyle name="Data   - Opmaakprofiel2 3 7 8 3" xfId="44339"/>
    <cellStyle name="Data   - Opmaakprofiel2 3 7 8 4" xfId="42340"/>
    <cellStyle name="Data   - Opmaakprofiel2 3 7 8 5" xfId="55245"/>
    <cellStyle name="Data   - Opmaakprofiel2 3 7 9" xfId="13990"/>
    <cellStyle name="Data   - Opmaakprofiel2 3 8" xfId="904"/>
    <cellStyle name="Data   - Opmaakprofiel2 3 8 2" xfId="2415"/>
    <cellStyle name="Data   - Opmaakprofiel2 3 8 2 2" xfId="8838"/>
    <cellStyle name="Data   - Opmaakprofiel2 3 8 2 2 2" xfId="21136"/>
    <cellStyle name="Data   - Opmaakprofiel2 3 8 2 2 3" xfId="33188"/>
    <cellStyle name="Data   - Opmaakprofiel2 3 8 2 2 4" xfId="27370"/>
    <cellStyle name="Data   - Opmaakprofiel2 3 8 2 2 5" xfId="53803"/>
    <cellStyle name="Data   - Opmaakprofiel2 3 8 2 3" xfId="13998"/>
    <cellStyle name="Data   - Opmaakprofiel2 3 8 2 4" xfId="26050"/>
    <cellStyle name="Data   - Opmaakprofiel2 3 8 2 5" xfId="40218"/>
    <cellStyle name="Data   - Opmaakprofiel2 3 8 2 6" xfId="47721"/>
    <cellStyle name="Data   - Opmaakprofiel2 3 8 3" xfId="2915"/>
    <cellStyle name="Data   - Opmaakprofiel2 3 8 3 2" xfId="8839"/>
    <cellStyle name="Data   - Opmaakprofiel2 3 8 3 2 2" xfId="21137"/>
    <cellStyle name="Data   - Opmaakprofiel2 3 8 3 2 3" xfId="33189"/>
    <cellStyle name="Data   - Opmaakprofiel2 3 8 3 2 4" xfId="42942"/>
    <cellStyle name="Data   - Opmaakprofiel2 3 8 3 2 5" xfId="53804"/>
    <cellStyle name="Data   - Opmaakprofiel2 3 8 3 3" xfId="13999"/>
    <cellStyle name="Data   - Opmaakprofiel2 3 8 3 4" xfId="26051"/>
    <cellStyle name="Data   - Opmaakprofiel2 3 8 3 5" xfId="40217"/>
    <cellStyle name="Data   - Opmaakprofiel2 3 8 3 6" xfId="47722"/>
    <cellStyle name="Data   - Opmaakprofiel2 3 8 4" xfId="3768"/>
    <cellStyle name="Data   - Opmaakprofiel2 3 8 4 2" xfId="8840"/>
    <cellStyle name="Data   - Opmaakprofiel2 3 8 4 2 2" xfId="21138"/>
    <cellStyle name="Data   - Opmaakprofiel2 3 8 4 2 3" xfId="33190"/>
    <cellStyle name="Data   - Opmaakprofiel2 3 8 4 2 4" xfId="34621"/>
    <cellStyle name="Data   - Opmaakprofiel2 3 8 4 2 5" xfId="53805"/>
    <cellStyle name="Data   - Opmaakprofiel2 3 8 4 3" xfId="14000"/>
    <cellStyle name="Data   - Opmaakprofiel2 3 8 4 4" xfId="26052"/>
    <cellStyle name="Data   - Opmaakprofiel2 3 8 4 5" xfId="45865"/>
    <cellStyle name="Data   - Opmaakprofiel2 3 8 4 6" xfId="47723"/>
    <cellStyle name="Data   - Opmaakprofiel2 3 8 5" xfId="4795"/>
    <cellStyle name="Data   - Opmaakprofiel2 3 8 5 2" xfId="8841"/>
    <cellStyle name="Data   - Opmaakprofiel2 3 8 5 2 2" xfId="21139"/>
    <cellStyle name="Data   - Opmaakprofiel2 3 8 5 2 3" xfId="33191"/>
    <cellStyle name="Data   - Opmaakprofiel2 3 8 5 2 4" xfId="42941"/>
    <cellStyle name="Data   - Opmaakprofiel2 3 8 5 2 5" xfId="53806"/>
    <cellStyle name="Data   - Opmaakprofiel2 3 8 5 3" xfId="14001"/>
    <cellStyle name="Data   - Opmaakprofiel2 3 8 5 4" xfId="26053"/>
    <cellStyle name="Data   - Opmaakprofiel2 3 8 5 5" xfId="40216"/>
    <cellStyle name="Data   - Opmaakprofiel2 3 8 5 6" xfId="47724"/>
    <cellStyle name="Data   - Opmaakprofiel2 3 8 6" xfId="4796"/>
    <cellStyle name="Data   - Opmaakprofiel2 3 8 6 2" xfId="8842"/>
    <cellStyle name="Data   - Opmaakprofiel2 3 8 6 2 2" xfId="21140"/>
    <cellStyle name="Data   - Opmaakprofiel2 3 8 6 2 3" xfId="33192"/>
    <cellStyle name="Data   - Opmaakprofiel2 3 8 6 2 4" xfId="27377"/>
    <cellStyle name="Data   - Opmaakprofiel2 3 8 6 2 5" xfId="53807"/>
    <cellStyle name="Data   - Opmaakprofiel2 3 8 6 3" xfId="14002"/>
    <cellStyle name="Data   - Opmaakprofiel2 3 8 6 4" xfId="26054"/>
    <cellStyle name="Data   - Opmaakprofiel2 3 8 6 5" xfId="45864"/>
    <cellStyle name="Data   - Opmaakprofiel2 3 8 6 6" xfId="47725"/>
    <cellStyle name="Data   - Opmaakprofiel2 3 8 7" xfId="4797"/>
    <cellStyle name="Data   - Opmaakprofiel2 3 8 7 2" xfId="14003"/>
    <cellStyle name="Data   - Opmaakprofiel2 3 8 7 3" xfId="26055"/>
    <cellStyle name="Data   - Opmaakprofiel2 3 8 7 4" xfId="40215"/>
    <cellStyle name="Data   - Opmaakprofiel2 3 8 7 5" xfId="47726"/>
    <cellStyle name="Data   - Opmaakprofiel2 3 8 8" xfId="10067"/>
    <cellStyle name="Data   - Opmaakprofiel2 3 8 8 2" xfId="22365"/>
    <cellStyle name="Data   - Opmaakprofiel2 3 8 8 3" xfId="44129"/>
    <cellStyle name="Data   - Opmaakprofiel2 3 8 8 4" xfId="31516"/>
    <cellStyle name="Data   - Opmaakprofiel2 3 8 8 5" xfId="55032"/>
    <cellStyle name="Data   - Opmaakprofiel2 3 8 9" xfId="13997"/>
    <cellStyle name="Data   - Opmaakprofiel2 3 9" xfId="869"/>
    <cellStyle name="Data   - Opmaakprofiel2 3 9 2" xfId="1431"/>
    <cellStyle name="Data   - Opmaakprofiel2 3 9 2 2" xfId="8843"/>
    <cellStyle name="Data   - Opmaakprofiel2 3 9 2 2 2" xfId="21141"/>
    <cellStyle name="Data   - Opmaakprofiel2 3 9 2 2 3" xfId="33193"/>
    <cellStyle name="Data   - Opmaakprofiel2 3 9 2 2 4" xfId="42940"/>
    <cellStyle name="Data   - Opmaakprofiel2 3 9 2 2 5" xfId="53808"/>
    <cellStyle name="Data   - Opmaakprofiel2 3 9 2 3" xfId="14005"/>
    <cellStyle name="Data   - Opmaakprofiel2 3 9 2 4" xfId="26057"/>
    <cellStyle name="Data   - Opmaakprofiel2 3 9 2 5" xfId="40214"/>
    <cellStyle name="Data   - Opmaakprofiel2 3 9 2 6" xfId="47727"/>
    <cellStyle name="Data   - Opmaakprofiel2 3 9 3" xfId="2880"/>
    <cellStyle name="Data   - Opmaakprofiel2 3 9 3 2" xfId="8844"/>
    <cellStyle name="Data   - Opmaakprofiel2 3 9 3 2 2" xfId="21142"/>
    <cellStyle name="Data   - Opmaakprofiel2 3 9 3 2 3" xfId="33194"/>
    <cellStyle name="Data   - Opmaakprofiel2 3 9 3 2 4" xfId="31905"/>
    <cellStyle name="Data   - Opmaakprofiel2 3 9 3 2 5" xfId="53809"/>
    <cellStyle name="Data   - Opmaakprofiel2 3 9 3 3" xfId="14006"/>
    <cellStyle name="Data   - Opmaakprofiel2 3 9 3 4" xfId="26058"/>
    <cellStyle name="Data   - Opmaakprofiel2 3 9 3 5" xfId="45862"/>
    <cellStyle name="Data   - Opmaakprofiel2 3 9 3 6" xfId="47728"/>
    <cellStyle name="Data   - Opmaakprofiel2 3 9 4" xfId="3733"/>
    <cellStyle name="Data   - Opmaakprofiel2 3 9 4 2" xfId="8845"/>
    <cellStyle name="Data   - Opmaakprofiel2 3 9 4 2 2" xfId="21143"/>
    <cellStyle name="Data   - Opmaakprofiel2 3 9 4 2 3" xfId="33195"/>
    <cellStyle name="Data   - Opmaakprofiel2 3 9 4 2 4" xfId="42939"/>
    <cellStyle name="Data   - Opmaakprofiel2 3 9 4 2 5" xfId="53810"/>
    <cellStyle name="Data   - Opmaakprofiel2 3 9 4 3" xfId="14007"/>
    <cellStyle name="Data   - Opmaakprofiel2 3 9 4 4" xfId="26059"/>
    <cellStyle name="Data   - Opmaakprofiel2 3 9 4 5" xfId="40213"/>
    <cellStyle name="Data   - Opmaakprofiel2 3 9 4 6" xfId="47729"/>
    <cellStyle name="Data   - Opmaakprofiel2 3 9 5" xfId="4798"/>
    <cellStyle name="Data   - Opmaakprofiel2 3 9 5 2" xfId="8846"/>
    <cellStyle name="Data   - Opmaakprofiel2 3 9 5 2 2" xfId="21144"/>
    <cellStyle name="Data   - Opmaakprofiel2 3 9 5 2 3" xfId="33196"/>
    <cellStyle name="Data   - Opmaakprofiel2 3 9 5 2 4" xfId="27384"/>
    <cellStyle name="Data   - Opmaakprofiel2 3 9 5 2 5" xfId="53811"/>
    <cellStyle name="Data   - Opmaakprofiel2 3 9 5 3" xfId="14008"/>
    <cellStyle name="Data   - Opmaakprofiel2 3 9 5 4" xfId="26060"/>
    <cellStyle name="Data   - Opmaakprofiel2 3 9 5 5" xfId="45861"/>
    <cellStyle name="Data   - Opmaakprofiel2 3 9 5 6" xfId="47730"/>
    <cellStyle name="Data   - Opmaakprofiel2 3 9 6" xfId="4799"/>
    <cellStyle name="Data   - Opmaakprofiel2 3 9 6 2" xfId="8847"/>
    <cellStyle name="Data   - Opmaakprofiel2 3 9 6 2 2" xfId="21145"/>
    <cellStyle name="Data   - Opmaakprofiel2 3 9 6 2 3" xfId="33197"/>
    <cellStyle name="Data   - Opmaakprofiel2 3 9 6 2 4" xfId="31411"/>
    <cellStyle name="Data   - Opmaakprofiel2 3 9 6 2 5" xfId="53812"/>
    <cellStyle name="Data   - Opmaakprofiel2 3 9 6 3" xfId="14009"/>
    <cellStyle name="Data   - Opmaakprofiel2 3 9 6 4" xfId="26061"/>
    <cellStyle name="Data   - Opmaakprofiel2 3 9 6 5" xfId="40212"/>
    <cellStyle name="Data   - Opmaakprofiel2 3 9 6 6" xfId="47731"/>
    <cellStyle name="Data   - Opmaakprofiel2 3 9 7" xfId="4800"/>
    <cellStyle name="Data   - Opmaakprofiel2 3 9 7 2" xfId="14010"/>
    <cellStyle name="Data   - Opmaakprofiel2 3 9 7 3" xfId="26062"/>
    <cellStyle name="Data   - Opmaakprofiel2 3 9 7 4" xfId="40211"/>
    <cellStyle name="Data   - Opmaakprofiel2 3 9 7 5" xfId="47732"/>
    <cellStyle name="Data   - Opmaakprofiel2 3 9 8" xfId="7399"/>
    <cellStyle name="Data   - Opmaakprofiel2 3 9 8 2" xfId="19697"/>
    <cellStyle name="Data   - Opmaakprofiel2 3 9 8 3" xfId="41500"/>
    <cellStyle name="Data   - Opmaakprofiel2 3 9 8 4" xfId="15578"/>
    <cellStyle name="Data   - Opmaakprofiel2 3 9 8 5" xfId="52369"/>
    <cellStyle name="Data   - Opmaakprofiel2 3 9 9" xfId="14004"/>
    <cellStyle name="Data   - Opmaakprofiel2 4" xfId="353"/>
    <cellStyle name="Data   - Opmaakprofiel2 4 10" xfId="2023"/>
    <cellStyle name="Data   - Opmaakprofiel2 4 10 2" xfId="8848"/>
    <cellStyle name="Data   - Opmaakprofiel2 4 10 2 2" xfId="21146"/>
    <cellStyle name="Data   - Opmaakprofiel2 4 10 2 3" xfId="33198"/>
    <cellStyle name="Data   - Opmaakprofiel2 4 10 2 4" xfId="27391"/>
    <cellStyle name="Data   - Opmaakprofiel2 4 10 2 5" xfId="53813"/>
    <cellStyle name="Data   - Opmaakprofiel2 4 10 3" xfId="14012"/>
    <cellStyle name="Data   - Opmaakprofiel2 4 10 4" xfId="26064"/>
    <cellStyle name="Data   - Opmaakprofiel2 4 10 5" xfId="45860"/>
    <cellStyle name="Data   - Opmaakprofiel2 4 10 6" xfId="47733"/>
    <cellStyle name="Data   - Opmaakprofiel2 4 11" xfId="2423"/>
    <cellStyle name="Data   - Opmaakprofiel2 4 11 2" xfId="8849"/>
    <cellStyle name="Data   - Opmaakprofiel2 4 11 2 2" xfId="21147"/>
    <cellStyle name="Data   - Opmaakprofiel2 4 11 2 3" xfId="33199"/>
    <cellStyle name="Data   - Opmaakprofiel2 4 11 2 4" xfId="42938"/>
    <cellStyle name="Data   - Opmaakprofiel2 4 11 2 5" xfId="53814"/>
    <cellStyle name="Data   - Opmaakprofiel2 4 11 3" xfId="14013"/>
    <cellStyle name="Data   - Opmaakprofiel2 4 11 4" xfId="26065"/>
    <cellStyle name="Data   - Opmaakprofiel2 4 11 5" xfId="40209"/>
    <cellStyle name="Data   - Opmaakprofiel2 4 11 6" xfId="47734"/>
    <cellStyle name="Data   - Opmaakprofiel2 4 12" xfId="2050"/>
    <cellStyle name="Data   - Opmaakprofiel2 4 12 2" xfId="8850"/>
    <cellStyle name="Data   - Opmaakprofiel2 4 12 2 2" xfId="21148"/>
    <cellStyle name="Data   - Opmaakprofiel2 4 12 2 3" xfId="33200"/>
    <cellStyle name="Data   - Opmaakprofiel2 4 12 2 4" xfId="31364"/>
    <cellStyle name="Data   - Opmaakprofiel2 4 12 2 5" xfId="53815"/>
    <cellStyle name="Data   - Opmaakprofiel2 4 12 3" xfId="14014"/>
    <cellStyle name="Data   - Opmaakprofiel2 4 12 4" xfId="26066"/>
    <cellStyle name="Data   - Opmaakprofiel2 4 12 5" xfId="45859"/>
    <cellStyle name="Data   - Opmaakprofiel2 4 12 6" xfId="47735"/>
    <cellStyle name="Data   - Opmaakprofiel2 4 13" xfId="4801"/>
    <cellStyle name="Data   - Opmaakprofiel2 4 13 2" xfId="8851"/>
    <cellStyle name="Data   - Opmaakprofiel2 4 13 2 2" xfId="21149"/>
    <cellStyle name="Data   - Opmaakprofiel2 4 13 2 3" xfId="33201"/>
    <cellStyle name="Data   - Opmaakprofiel2 4 13 2 4" xfId="42937"/>
    <cellStyle name="Data   - Opmaakprofiel2 4 13 2 5" xfId="53816"/>
    <cellStyle name="Data   - Opmaakprofiel2 4 13 3" xfId="14015"/>
    <cellStyle name="Data   - Opmaakprofiel2 4 13 4" xfId="26067"/>
    <cellStyle name="Data   - Opmaakprofiel2 4 13 5" xfId="40208"/>
    <cellStyle name="Data   - Opmaakprofiel2 4 13 6" xfId="47736"/>
    <cellStyle name="Data   - Opmaakprofiel2 4 14" xfId="4802"/>
    <cellStyle name="Data   - Opmaakprofiel2 4 14 2" xfId="8852"/>
    <cellStyle name="Data   - Opmaakprofiel2 4 14 2 2" xfId="21150"/>
    <cellStyle name="Data   - Opmaakprofiel2 4 14 2 3" xfId="33202"/>
    <cellStyle name="Data   - Opmaakprofiel2 4 14 2 4" xfId="27398"/>
    <cellStyle name="Data   - Opmaakprofiel2 4 14 2 5" xfId="53817"/>
    <cellStyle name="Data   - Opmaakprofiel2 4 14 3" xfId="14016"/>
    <cellStyle name="Data   - Opmaakprofiel2 4 14 4" xfId="26068"/>
    <cellStyle name="Data   - Opmaakprofiel2 4 14 5" xfId="45858"/>
    <cellStyle name="Data   - Opmaakprofiel2 4 14 6" xfId="47737"/>
    <cellStyle name="Data   - Opmaakprofiel2 4 15" xfId="4803"/>
    <cellStyle name="Data   - Opmaakprofiel2 4 15 2" xfId="14017"/>
    <cellStyle name="Data   - Opmaakprofiel2 4 15 3" xfId="26069"/>
    <cellStyle name="Data   - Opmaakprofiel2 4 15 4" xfId="40207"/>
    <cellStyle name="Data   - Opmaakprofiel2 4 15 5" xfId="47738"/>
    <cellStyle name="Data   - Opmaakprofiel2 4 16" xfId="7747"/>
    <cellStyle name="Data   - Opmaakprofiel2 4 16 2" xfId="20045"/>
    <cellStyle name="Data   - Opmaakprofiel2 4 16 3" xfId="41848"/>
    <cellStyle name="Data   - Opmaakprofiel2 4 16 4" xfId="25192"/>
    <cellStyle name="Data   - Opmaakprofiel2 4 16 5" xfId="52717"/>
    <cellStyle name="Data   - Opmaakprofiel2 4 17" xfId="14011"/>
    <cellStyle name="Data   - Opmaakprofiel2 4 2" xfId="631"/>
    <cellStyle name="Data   - Opmaakprofiel2 4 2 2" xfId="1992"/>
    <cellStyle name="Data   - Opmaakprofiel2 4 2 2 2" xfId="8853"/>
    <cellStyle name="Data   - Opmaakprofiel2 4 2 2 2 2" xfId="21151"/>
    <cellStyle name="Data   - Opmaakprofiel2 4 2 2 2 3" xfId="33203"/>
    <cellStyle name="Data   - Opmaakprofiel2 4 2 2 2 4" xfId="42936"/>
    <cellStyle name="Data   - Opmaakprofiel2 4 2 2 2 5" xfId="53818"/>
    <cellStyle name="Data   - Opmaakprofiel2 4 2 2 3" xfId="14019"/>
    <cellStyle name="Data   - Opmaakprofiel2 4 2 2 4" xfId="26071"/>
    <cellStyle name="Data   - Opmaakprofiel2 4 2 2 5" xfId="40206"/>
    <cellStyle name="Data   - Opmaakprofiel2 4 2 2 6" xfId="47739"/>
    <cellStyle name="Data   - Opmaakprofiel2 4 2 3" xfId="2697"/>
    <cellStyle name="Data   - Opmaakprofiel2 4 2 3 2" xfId="8854"/>
    <cellStyle name="Data   - Opmaakprofiel2 4 2 3 2 2" xfId="21152"/>
    <cellStyle name="Data   - Opmaakprofiel2 4 2 3 2 3" xfId="33204"/>
    <cellStyle name="Data   - Opmaakprofiel2 4 2 3 2 4" xfId="31947"/>
    <cellStyle name="Data   - Opmaakprofiel2 4 2 3 2 5" xfId="53819"/>
    <cellStyle name="Data   - Opmaakprofiel2 4 2 3 3" xfId="14020"/>
    <cellStyle name="Data   - Opmaakprofiel2 4 2 3 4" xfId="26072"/>
    <cellStyle name="Data   - Opmaakprofiel2 4 2 3 5" xfId="45856"/>
    <cellStyle name="Data   - Opmaakprofiel2 4 2 3 6" xfId="47740"/>
    <cellStyle name="Data   - Opmaakprofiel2 4 2 4" xfId="3569"/>
    <cellStyle name="Data   - Opmaakprofiel2 4 2 4 2" xfId="8855"/>
    <cellStyle name="Data   - Opmaakprofiel2 4 2 4 2 2" xfId="21153"/>
    <cellStyle name="Data   - Opmaakprofiel2 4 2 4 2 3" xfId="33205"/>
    <cellStyle name="Data   - Opmaakprofiel2 4 2 4 2 4" xfId="42935"/>
    <cellStyle name="Data   - Opmaakprofiel2 4 2 4 2 5" xfId="53820"/>
    <cellStyle name="Data   - Opmaakprofiel2 4 2 4 3" xfId="14021"/>
    <cellStyle name="Data   - Opmaakprofiel2 4 2 4 4" xfId="26073"/>
    <cellStyle name="Data   - Opmaakprofiel2 4 2 4 5" xfId="40205"/>
    <cellStyle name="Data   - Opmaakprofiel2 4 2 4 6" xfId="47741"/>
    <cellStyle name="Data   - Opmaakprofiel2 4 2 5" xfId="4804"/>
    <cellStyle name="Data   - Opmaakprofiel2 4 2 5 2" xfId="8856"/>
    <cellStyle name="Data   - Opmaakprofiel2 4 2 5 2 2" xfId="21154"/>
    <cellStyle name="Data   - Opmaakprofiel2 4 2 5 2 3" xfId="33206"/>
    <cellStyle name="Data   - Opmaakprofiel2 4 2 5 2 4" xfId="27405"/>
    <cellStyle name="Data   - Opmaakprofiel2 4 2 5 2 5" xfId="53821"/>
    <cellStyle name="Data   - Opmaakprofiel2 4 2 5 3" xfId="14022"/>
    <cellStyle name="Data   - Opmaakprofiel2 4 2 5 4" xfId="26074"/>
    <cellStyle name="Data   - Opmaakprofiel2 4 2 5 5" xfId="40204"/>
    <cellStyle name="Data   - Opmaakprofiel2 4 2 5 6" xfId="47742"/>
    <cellStyle name="Data   - Opmaakprofiel2 4 2 6" xfId="4805"/>
    <cellStyle name="Data   - Opmaakprofiel2 4 2 6 2" xfId="8857"/>
    <cellStyle name="Data   - Opmaakprofiel2 4 2 6 2 2" xfId="21155"/>
    <cellStyle name="Data   - Opmaakprofiel2 4 2 6 2 3" xfId="33207"/>
    <cellStyle name="Data   - Opmaakprofiel2 4 2 6 2 4" xfId="42934"/>
    <cellStyle name="Data   - Opmaakprofiel2 4 2 6 2 5" xfId="53822"/>
    <cellStyle name="Data   - Opmaakprofiel2 4 2 6 3" xfId="14023"/>
    <cellStyle name="Data   - Opmaakprofiel2 4 2 6 4" xfId="26075"/>
    <cellStyle name="Data   - Opmaakprofiel2 4 2 6 5" xfId="40203"/>
    <cellStyle name="Data   - Opmaakprofiel2 4 2 6 6" xfId="47743"/>
    <cellStyle name="Data   - Opmaakprofiel2 4 2 7" xfId="4806"/>
    <cellStyle name="Data   - Opmaakprofiel2 4 2 7 2" xfId="14024"/>
    <cellStyle name="Data   - Opmaakprofiel2 4 2 7 3" xfId="26076"/>
    <cellStyle name="Data   - Opmaakprofiel2 4 2 7 4" xfId="45855"/>
    <cellStyle name="Data   - Opmaakprofiel2 4 2 7 5" xfId="47744"/>
    <cellStyle name="Data   - Opmaakprofiel2 4 2 8" xfId="7561"/>
    <cellStyle name="Data   - Opmaakprofiel2 4 2 8 2" xfId="19859"/>
    <cellStyle name="Data   - Opmaakprofiel2 4 2 8 3" xfId="41662"/>
    <cellStyle name="Data   - Opmaakprofiel2 4 2 8 4" xfId="31701"/>
    <cellStyle name="Data   - Opmaakprofiel2 4 2 8 5" xfId="52531"/>
    <cellStyle name="Data   - Opmaakprofiel2 4 2 9" xfId="14018"/>
    <cellStyle name="Data   - Opmaakprofiel2 4 3" xfId="434"/>
    <cellStyle name="Data   - Opmaakprofiel2 4 3 2" xfId="1877"/>
    <cellStyle name="Data   - Opmaakprofiel2 4 3 2 2" xfId="8858"/>
    <cellStyle name="Data   - Opmaakprofiel2 4 3 2 2 2" xfId="21156"/>
    <cellStyle name="Data   - Opmaakprofiel2 4 3 2 2 3" xfId="33208"/>
    <cellStyle name="Data   - Opmaakprofiel2 4 3 2 2 4" xfId="31949"/>
    <cellStyle name="Data   - Opmaakprofiel2 4 3 2 2 5" xfId="53823"/>
    <cellStyle name="Data   - Opmaakprofiel2 4 3 2 3" xfId="14026"/>
    <cellStyle name="Data   - Opmaakprofiel2 4 3 2 4" xfId="26078"/>
    <cellStyle name="Data   - Opmaakprofiel2 4 3 2 5" xfId="45854"/>
    <cellStyle name="Data   - Opmaakprofiel2 4 3 2 6" xfId="47745"/>
    <cellStyle name="Data   - Opmaakprofiel2 4 3 3" xfId="2505"/>
    <cellStyle name="Data   - Opmaakprofiel2 4 3 3 2" xfId="8859"/>
    <cellStyle name="Data   - Opmaakprofiel2 4 3 3 2 2" xfId="21157"/>
    <cellStyle name="Data   - Opmaakprofiel2 4 3 3 2 3" xfId="33209"/>
    <cellStyle name="Data   - Opmaakprofiel2 4 3 3 2 4" xfId="27412"/>
    <cellStyle name="Data   - Opmaakprofiel2 4 3 3 2 5" xfId="53824"/>
    <cellStyle name="Data   - Opmaakprofiel2 4 3 3 3" xfId="14027"/>
    <cellStyle name="Data   - Opmaakprofiel2 4 3 3 4" xfId="26079"/>
    <cellStyle name="Data   - Opmaakprofiel2 4 3 3 5" xfId="40202"/>
    <cellStyle name="Data   - Opmaakprofiel2 4 3 3 6" xfId="47746"/>
    <cellStyle name="Data   - Opmaakprofiel2 4 3 4" xfId="1867"/>
    <cellStyle name="Data   - Opmaakprofiel2 4 3 4 2" xfId="8860"/>
    <cellStyle name="Data   - Opmaakprofiel2 4 3 4 2 2" xfId="21158"/>
    <cellStyle name="Data   - Opmaakprofiel2 4 3 4 2 3" xfId="33210"/>
    <cellStyle name="Data   - Opmaakprofiel2 4 3 4 2 4" xfId="31954"/>
    <cellStyle name="Data   - Opmaakprofiel2 4 3 4 2 5" xfId="53825"/>
    <cellStyle name="Data   - Opmaakprofiel2 4 3 4 3" xfId="14028"/>
    <cellStyle name="Data   - Opmaakprofiel2 4 3 4 4" xfId="26080"/>
    <cellStyle name="Data   - Opmaakprofiel2 4 3 4 5" xfId="45853"/>
    <cellStyle name="Data   - Opmaakprofiel2 4 3 4 6" xfId="47747"/>
    <cellStyle name="Data   - Opmaakprofiel2 4 3 5" xfId="4807"/>
    <cellStyle name="Data   - Opmaakprofiel2 4 3 5 2" xfId="8861"/>
    <cellStyle name="Data   - Opmaakprofiel2 4 3 5 2 2" xfId="21159"/>
    <cellStyle name="Data   - Opmaakprofiel2 4 3 5 2 3" xfId="33211"/>
    <cellStyle name="Data   - Opmaakprofiel2 4 3 5 2 4" xfId="42933"/>
    <cellStyle name="Data   - Opmaakprofiel2 4 3 5 2 5" xfId="53826"/>
    <cellStyle name="Data   - Opmaakprofiel2 4 3 5 3" xfId="14029"/>
    <cellStyle name="Data   - Opmaakprofiel2 4 3 5 4" xfId="26081"/>
    <cellStyle name="Data   - Opmaakprofiel2 4 3 5 5" xfId="40201"/>
    <cellStyle name="Data   - Opmaakprofiel2 4 3 5 6" xfId="47748"/>
    <cellStyle name="Data   - Opmaakprofiel2 4 3 6" xfId="4808"/>
    <cellStyle name="Data   - Opmaakprofiel2 4 3 6 2" xfId="8862"/>
    <cellStyle name="Data   - Opmaakprofiel2 4 3 6 2 2" xfId="21160"/>
    <cellStyle name="Data   - Opmaakprofiel2 4 3 6 2 3" xfId="33212"/>
    <cellStyle name="Data   - Opmaakprofiel2 4 3 6 2 4" xfId="27419"/>
    <cellStyle name="Data   - Opmaakprofiel2 4 3 6 2 5" xfId="53827"/>
    <cellStyle name="Data   - Opmaakprofiel2 4 3 6 3" xfId="14030"/>
    <cellStyle name="Data   - Opmaakprofiel2 4 3 6 4" xfId="26082"/>
    <cellStyle name="Data   - Opmaakprofiel2 4 3 6 5" xfId="45852"/>
    <cellStyle name="Data   - Opmaakprofiel2 4 3 6 6" xfId="47749"/>
    <cellStyle name="Data   - Opmaakprofiel2 4 3 7" xfId="4809"/>
    <cellStyle name="Data   - Opmaakprofiel2 4 3 7 2" xfId="14031"/>
    <cellStyle name="Data   - Opmaakprofiel2 4 3 7 3" xfId="26083"/>
    <cellStyle name="Data   - Opmaakprofiel2 4 3 7 4" xfId="40200"/>
    <cellStyle name="Data   - Opmaakprofiel2 4 3 7 5" xfId="47750"/>
    <cellStyle name="Data   - Opmaakprofiel2 4 3 8" xfId="7694"/>
    <cellStyle name="Data   - Opmaakprofiel2 4 3 8 2" xfId="19992"/>
    <cellStyle name="Data   - Opmaakprofiel2 4 3 8 3" xfId="41795"/>
    <cellStyle name="Data   - Opmaakprofiel2 4 3 8 4" xfId="43402"/>
    <cellStyle name="Data   - Opmaakprofiel2 4 3 8 5" xfId="52664"/>
    <cellStyle name="Data   - Opmaakprofiel2 4 3 9" xfId="14025"/>
    <cellStyle name="Data   - Opmaakprofiel2 4 4" xfId="524"/>
    <cellStyle name="Data   - Opmaakprofiel2 4 4 2" xfId="2438"/>
    <cellStyle name="Data   - Opmaakprofiel2 4 4 2 2" xfId="8863"/>
    <cellStyle name="Data   - Opmaakprofiel2 4 4 2 2 2" xfId="21161"/>
    <cellStyle name="Data   - Opmaakprofiel2 4 4 2 2 3" xfId="33213"/>
    <cellStyle name="Data   - Opmaakprofiel2 4 4 2 2 4" xfId="42932"/>
    <cellStyle name="Data   - Opmaakprofiel2 4 4 2 2 5" xfId="53828"/>
    <cellStyle name="Data   - Opmaakprofiel2 4 4 2 3" xfId="14033"/>
    <cellStyle name="Data   - Opmaakprofiel2 4 4 2 4" xfId="26085"/>
    <cellStyle name="Data   - Opmaakprofiel2 4 4 2 5" xfId="40199"/>
    <cellStyle name="Data   - Opmaakprofiel2 4 4 2 6" xfId="47751"/>
    <cellStyle name="Data   - Opmaakprofiel2 4 4 3" xfId="2595"/>
    <cellStyle name="Data   - Opmaakprofiel2 4 4 3 2" xfId="8864"/>
    <cellStyle name="Data   - Opmaakprofiel2 4 4 3 2 2" xfId="21162"/>
    <cellStyle name="Data   - Opmaakprofiel2 4 4 3 2 3" xfId="33214"/>
    <cellStyle name="Data   - Opmaakprofiel2 4 4 3 2 4" xfId="31933"/>
    <cellStyle name="Data   - Opmaakprofiel2 4 4 3 2 5" xfId="53829"/>
    <cellStyle name="Data   - Opmaakprofiel2 4 4 3 3" xfId="14034"/>
    <cellStyle name="Data   - Opmaakprofiel2 4 4 3 4" xfId="26086"/>
    <cellStyle name="Data   - Opmaakprofiel2 4 4 3 5" xfId="40198"/>
    <cellStyle name="Data   - Opmaakprofiel2 4 4 3 6" xfId="47752"/>
    <cellStyle name="Data   - Opmaakprofiel2 4 4 4" xfId="3476"/>
    <cellStyle name="Data   - Opmaakprofiel2 4 4 4 2" xfId="8865"/>
    <cellStyle name="Data   - Opmaakprofiel2 4 4 4 2 2" xfId="21163"/>
    <cellStyle name="Data   - Opmaakprofiel2 4 4 4 2 3" xfId="33215"/>
    <cellStyle name="Data   - Opmaakprofiel2 4 4 4 2 4" xfId="42931"/>
    <cellStyle name="Data   - Opmaakprofiel2 4 4 4 2 5" xfId="53830"/>
    <cellStyle name="Data   - Opmaakprofiel2 4 4 4 3" xfId="14035"/>
    <cellStyle name="Data   - Opmaakprofiel2 4 4 4 4" xfId="26087"/>
    <cellStyle name="Data   - Opmaakprofiel2 4 4 4 5" xfId="40197"/>
    <cellStyle name="Data   - Opmaakprofiel2 4 4 4 6" xfId="47753"/>
    <cellStyle name="Data   - Opmaakprofiel2 4 4 5" xfId="4810"/>
    <cellStyle name="Data   - Opmaakprofiel2 4 4 5 2" xfId="8866"/>
    <cellStyle name="Data   - Opmaakprofiel2 4 4 5 2 2" xfId="21164"/>
    <cellStyle name="Data   - Opmaakprofiel2 4 4 5 2 3" xfId="33216"/>
    <cellStyle name="Data   - Opmaakprofiel2 4 4 5 2 4" xfId="27426"/>
    <cellStyle name="Data   - Opmaakprofiel2 4 4 5 2 5" xfId="53831"/>
    <cellStyle name="Data   - Opmaakprofiel2 4 4 5 3" xfId="14036"/>
    <cellStyle name="Data   - Opmaakprofiel2 4 4 5 4" xfId="26088"/>
    <cellStyle name="Data   - Opmaakprofiel2 4 4 5 5" xfId="45850"/>
    <cellStyle name="Data   - Opmaakprofiel2 4 4 5 6" xfId="47754"/>
    <cellStyle name="Data   - Opmaakprofiel2 4 4 6" xfId="4811"/>
    <cellStyle name="Data   - Opmaakprofiel2 4 4 6 2" xfId="8867"/>
    <cellStyle name="Data   - Opmaakprofiel2 4 4 6 2 2" xfId="21165"/>
    <cellStyle name="Data   - Opmaakprofiel2 4 4 6 2 3" xfId="33217"/>
    <cellStyle name="Data   - Opmaakprofiel2 4 4 6 2 4" xfId="42930"/>
    <cellStyle name="Data   - Opmaakprofiel2 4 4 6 2 5" xfId="53832"/>
    <cellStyle name="Data   - Opmaakprofiel2 4 4 6 3" xfId="14037"/>
    <cellStyle name="Data   - Opmaakprofiel2 4 4 6 4" xfId="26089"/>
    <cellStyle name="Data   - Opmaakprofiel2 4 4 6 5" xfId="40196"/>
    <cellStyle name="Data   - Opmaakprofiel2 4 4 6 6" xfId="47755"/>
    <cellStyle name="Data   - Opmaakprofiel2 4 4 7" xfId="4812"/>
    <cellStyle name="Data   - Opmaakprofiel2 4 4 7 2" xfId="14038"/>
    <cellStyle name="Data   - Opmaakprofiel2 4 4 7 3" xfId="26090"/>
    <cellStyle name="Data   - Opmaakprofiel2 4 4 7 4" xfId="45849"/>
    <cellStyle name="Data   - Opmaakprofiel2 4 4 7 5" xfId="47756"/>
    <cellStyle name="Data   - Opmaakprofiel2 4 4 8" xfId="7633"/>
    <cellStyle name="Data   - Opmaakprofiel2 4 4 8 2" xfId="19931"/>
    <cellStyle name="Data   - Opmaakprofiel2 4 4 8 3" xfId="41734"/>
    <cellStyle name="Data   - Opmaakprofiel2 4 4 8 4" xfId="31497"/>
    <cellStyle name="Data   - Opmaakprofiel2 4 4 8 5" xfId="52603"/>
    <cellStyle name="Data   - Opmaakprofiel2 4 4 9" xfId="14032"/>
    <cellStyle name="Data   - Opmaakprofiel2 4 5" xfId="556"/>
    <cellStyle name="Data   - Opmaakprofiel2 4 5 2" xfId="1491"/>
    <cellStyle name="Data   - Opmaakprofiel2 4 5 2 2" xfId="8868"/>
    <cellStyle name="Data   - Opmaakprofiel2 4 5 2 2 2" xfId="21166"/>
    <cellStyle name="Data   - Opmaakprofiel2 4 5 2 2 3" xfId="33218"/>
    <cellStyle name="Data   - Opmaakprofiel2 4 5 2 2 4" xfId="31973"/>
    <cellStyle name="Data   - Opmaakprofiel2 4 5 2 2 5" xfId="53833"/>
    <cellStyle name="Data   - Opmaakprofiel2 4 5 2 3" xfId="14040"/>
    <cellStyle name="Data   - Opmaakprofiel2 4 5 2 4" xfId="26092"/>
    <cellStyle name="Data   - Opmaakprofiel2 4 5 2 5" xfId="45848"/>
    <cellStyle name="Data   - Opmaakprofiel2 4 5 2 6" xfId="47757"/>
    <cellStyle name="Data   - Opmaakprofiel2 4 5 3" xfId="2627"/>
    <cellStyle name="Data   - Opmaakprofiel2 4 5 3 2" xfId="8869"/>
    <cellStyle name="Data   - Opmaakprofiel2 4 5 3 2 2" xfId="21167"/>
    <cellStyle name="Data   - Opmaakprofiel2 4 5 3 2 3" xfId="33219"/>
    <cellStyle name="Data   - Opmaakprofiel2 4 5 3 2 4" xfId="42929"/>
    <cellStyle name="Data   - Opmaakprofiel2 4 5 3 2 5" xfId="53834"/>
    <cellStyle name="Data   - Opmaakprofiel2 4 5 3 3" xfId="14041"/>
    <cellStyle name="Data   - Opmaakprofiel2 4 5 3 4" xfId="26093"/>
    <cellStyle name="Data   - Opmaakprofiel2 4 5 3 5" xfId="40194"/>
    <cellStyle name="Data   - Opmaakprofiel2 4 5 3 6" xfId="47758"/>
    <cellStyle name="Data   - Opmaakprofiel2 4 5 4" xfId="3505"/>
    <cellStyle name="Data   - Opmaakprofiel2 4 5 4 2" xfId="8870"/>
    <cellStyle name="Data   - Opmaakprofiel2 4 5 4 2 2" xfId="21168"/>
    <cellStyle name="Data   - Opmaakprofiel2 4 5 4 2 3" xfId="33220"/>
    <cellStyle name="Data   - Opmaakprofiel2 4 5 4 2 4" xfId="27433"/>
    <cellStyle name="Data   - Opmaakprofiel2 4 5 4 2 5" xfId="53835"/>
    <cellStyle name="Data   - Opmaakprofiel2 4 5 4 3" xfId="14042"/>
    <cellStyle name="Data   - Opmaakprofiel2 4 5 4 4" xfId="26094"/>
    <cellStyle name="Data   - Opmaakprofiel2 4 5 4 5" xfId="45847"/>
    <cellStyle name="Data   - Opmaakprofiel2 4 5 4 6" xfId="47759"/>
    <cellStyle name="Data   - Opmaakprofiel2 4 5 5" xfId="4813"/>
    <cellStyle name="Data   - Opmaakprofiel2 4 5 5 2" xfId="8871"/>
    <cellStyle name="Data   - Opmaakprofiel2 4 5 5 2 2" xfId="21169"/>
    <cellStyle name="Data   - Opmaakprofiel2 4 5 5 2 3" xfId="33221"/>
    <cellStyle name="Data   - Opmaakprofiel2 4 5 5 2 4" xfId="31530"/>
    <cellStyle name="Data   - Opmaakprofiel2 4 5 5 2 5" xfId="53836"/>
    <cellStyle name="Data   - Opmaakprofiel2 4 5 5 3" xfId="14043"/>
    <cellStyle name="Data   - Opmaakprofiel2 4 5 5 4" xfId="26095"/>
    <cellStyle name="Data   - Opmaakprofiel2 4 5 5 5" xfId="40193"/>
    <cellStyle name="Data   - Opmaakprofiel2 4 5 5 6" xfId="47760"/>
    <cellStyle name="Data   - Opmaakprofiel2 4 5 6" xfId="4814"/>
    <cellStyle name="Data   - Opmaakprofiel2 4 5 6 2" xfId="8872"/>
    <cellStyle name="Data   - Opmaakprofiel2 4 5 6 2 2" xfId="21170"/>
    <cellStyle name="Data   - Opmaakprofiel2 4 5 6 2 3" xfId="33222"/>
    <cellStyle name="Data   - Opmaakprofiel2 4 5 6 2 4" xfId="42928"/>
    <cellStyle name="Data   - Opmaakprofiel2 4 5 6 2 5" xfId="53837"/>
    <cellStyle name="Data   - Opmaakprofiel2 4 5 6 3" xfId="14044"/>
    <cellStyle name="Data   - Opmaakprofiel2 4 5 6 4" xfId="26096"/>
    <cellStyle name="Data   - Opmaakprofiel2 4 5 6 5" xfId="45846"/>
    <cellStyle name="Data   - Opmaakprofiel2 4 5 6 6" xfId="47761"/>
    <cellStyle name="Data   - Opmaakprofiel2 4 5 7" xfId="4815"/>
    <cellStyle name="Data   - Opmaakprofiel2 4 5 7 2" xfId="14045"/>
    <cellStyle name="Data   - Opmaakprofiel2 4 5 7 3" xfId="26097"/>
    <cellStyle name="Data   - Opmaakprofiel2 4 5 7 4" xfId="40192"/>
    <cellStyle name="Data   - Opmaakprofiel2 4 5 7 5" xfId="47762"/>
    <cellStyle name="Data   - Opmaakprofiel2 4 5 8" xfId="7611"/>
    <cellStyle name="Data   - Opmaakprofiel2 4 5 8 2" xfId="19909"/>
    <cellStyle name="Data   - Opmaakprofiel2 4 5 8 3" xfId="41712"/>
    <cellStyle name="Data   - Opmaakprofiel2 4 5 8 4" xfId="24912"/>
    <cellStyle name="Data   - Opmaakprofiel2 4 5 8 5" xfId="52581"/>
    <cellStyle name="Data   - Opmaakprofiel2 4 5 9" xfId="14039"/>
    <cellStyle name="Data   - Opmaakprofiel2 4 6" xfId="891"/>
    <cellStyle name="Data   - Opmaakprofiel2 4 6 2" xfId="2222"/>
    <cellStyle name="Data   - Opmaakprofiel2 4 6 2 2" xfId="8873"/>
    <cellStyle name="Data   - Opmaakprofiel2 4 6 2 2 2" xfId="21171"/>
    <cellStyle name="Data   - Opmaakprofiel2 4 6 2 2 3" xfId="33223"/>
    <cellStyle name="Data   - Opmaakprofiel2 4 6 2 2 4" xfId="27440"/>
    <cellStyle name="Data   - Opmaakprofiel2 4 6 2 2 5" xfId="53838"/>
    <cellStyle name="Data   - Opmaakprofiel2 4 6 2 3" xfId="14047"/>
    <cellStyle name="Data   - Opmaakprofiel2 4 6 2 4" xfId="26099"/>
    <cellStyle name="Data   - Opmaakprofiel2 4 6 2 5" xfId="40190"/>
    <cellStyle name="Data   - Opmaakprofiel2 4 6 2 6" xfId="47763"/>
    <cellStyle name="Data   - Opmaakprofiel2 4 6 3" xfId="2902"/>
    <cellStyle name="Data   - Opmaakprofiel2 4 6 3 2" xfId="8874"/>
    <cellStyle name="Data   - Opmaakprofiel2 4 6 3 2 2" xfId="21172"/>
    <cellStyle name="Data   - Opmaakprofiel2 4 6 3 2 3" xfId="33224"/>
    <cellStyle name="Data   - Opmaakprofiel2 4 6 3 2 4" xfId="42927"/>
    <cellStyle name="Data   - Opmaakprofiel2 4 6 3 2 5" xfId="53839"/>
    <cellStyle name="Data   - Opmaakprofiel2 4 6 3 3" xfId="14048"/>
    <cellStyle name="Data   - Opmaakprofiel2 4 6 3 4" xfId="26100"/>
    <cellStyle name="Data   - Opmaakprofiel2 4 6 3 5" xfId="45845"/>
    <cellStyle name="Data   - Opmaakprofiel2 4 6 3 6" xfId="47764"/>
    <cellStyle name="Data   - Opmaakprofiel2 4 6 4" xfId="3755"/>
    <cellStyle name="Data   - Opmaakprofiel2 4 6 4 2" xfId="8875"/>
    <cellStyle name="Data   - Opmaakprofiel2 4 6 4 2 2" xfId="21173"/>
    <cellStyle name="Data   - Opmaakprofiel2 4 6 4 2 3" xfId="33225"/>
    <cellStyle name="Data   - Opmaakprofiel2 4 6 4 2 4" xfId="31421"/>
    <cellStyle name="Data   - Opmaakprofiel2 4 6 4 2 5" xfId="53840"/>
    <cellStyle name="Data   - Opmaakprofiel2 4 6 4 3" xfId="14049"/>
    <cellStyle name="Data   - Opmaakprofiel2 4 6 4 4" xfId="26101"/>
    <cellStyle name="Data   - Opmaakprofiel2 4 6 4 5" xfId="40189"/>
    <cellStyle name="Data   - Opmaakprofiel2 4 6 4 6" xfId="47765"/>
    <cellStyle name="Data   - Opmaakprofiel2 4 6 5" xfId="4816"/>
    <cellStyle name="Data   - Opmaakprofiel2 4 6 5 2" xfId="8876"/>
    <cellStyle name="Data   - Opmaakprofiel2 4 6 5 2 2" xfId="21174"/>
    <cellStyle name="Data   - Opmaakprofiel2 4 6 5 2 3" xfId="33226"/>
    <cellStyle name="Data   - Opmaakprofiel2 4 6 5 2 4" xfId="27447"/>
    <cellStyle name="Data   - Opmaakprofiel2 4 6 5 2 5" xfId="53841"/>
    <cellStyle name="Data   - Opmaakprofiel2 4 6 5 3" xfId="14050"/>
    <cellStyle name="Data   - Opmaakprofiel2 4 6 5 4" xfId="26102"/>
    <cellStyle name="Data   - Opmaakprofiel2 4 6 5 5" xfId="45844"/>
    <cellStyle name="Data   - Opmaakprofiel2 4 6 5 6" xfId="47766"/>
    <cellStyle name="Data   - Opmaakprofiel2 4 6 6" xfId="4817"/>
    <cellStyle name="Data   - Opmaakprofiel2 4 6 6 2" xfId="8877"/>
    <cellStyle name="Data   - Opmaakprofiel2 4 6 6 2 2" xfId="21175"/>
    <cellStyle name="Data   - Opmaakprofiel2 4 6 6 2 3" xfId="33227"/>
    <cellStyle name="Data   - Opmaakprofiel2 4 6 6 2 4" xfId="42926"/>
    <cellStyle name="Data   - Opmaakprofiel2 4 6 6 2 5" xfId="53842"/>
    <cellStyle name="Data   - Opmaakprofiel2 4 6 6 3" xfId="14051"/>
    <cellStyle name="Data   - Opmaakprofiel2 4 6 6 4" xfId="26103"/>
    <cellStyle name="Data   - Opmaakprofiel2 4 6 6 5" xfId="40188"/>
    <cellStyle name="Data   - Opmaakprofiel2 4 6 6 6" xfId="47767"/>
    <cellStyle name="Data   - Opmaakprofiel2 4 6 7" xfId="4818"/>
    <cellStyle name="Data   - Opmaakprofiel2 4 6 7 2" xfId="14052"/>
    <cellStyle name="Data   - Opmaakprofiel2 4 6 7 3" xfId="26104"/>
    <cellStyle name="Data   - Opmaakprofiel2 4 6 7 4" xfId="45843"/>
    <cellStyle name="Data   - Opmaakprofiel2 4 6 7 5" xfId="47768"/>
    <cellStyle name="Data   - Opmaakprofiel2 4 6 8" xfId="7384"/>
    <cellStyle name="Data   - Opmaakprofiel2 4 6 8 2" xfId="19682"/>
    <cellStyle name="Data   - Opmaakprofiel2 4 6 8 3" xfId="41485"/>
    <cellStyle name="Data   - Opmaakprofiel2 4 6 8 4" xfId="43531"/>
    <cellStyle name="Data   - Opmaakprofiel2 4 6 8 5" xfId="52354"/>
    <cellStyle name="Data   - Opmaakprofiel2 4 6 9" xfId="14046"/>
    <cellStyle name="Data   - Opmaakprofiel2 4 7" xfId="1089"/>
    <cellStyle name="Data   - Opmaakprofiel2 4 7 2" xfId="1644"/>
    <cellStyle name="Data   - Opmaakprofiel2 4 7 2 2" xfId="8878"/>
    <cellStyle name="Data   - Opmaakprofiel2 4 7 2 2 2" xfId="21176"/>
    <cellStyle name="Data   - Opmaakprofiel2 4 7 2 2 3" xfId="33228"/>
    <cellStyle name="Data   - Opmaakprofiel2 4 7 2 2 4" xfId="32098"/>
    <cellStyle name="Data   - Opmaakprofiel2 4 7 2 2 5" xfId="53843"/>
    <cellStyle name="Data   - Opmaakprofiel2 4 7 2 3" xfId="14054"/>
    <cellStyle name="Data   - Opmaakprofiel2 4 7 2 4" xfId="26106"/>
    <cellStyle name="Data   - Opmaakprofiel2 4 7 2 5" xfId="45842"/>
    <cellStyle name="Data   - Opmaakprofiel2 4 7 2 6" xfId="47769"/>
    <cellStyle name="Data   - Opmaakprofiel2 4 7 3" xfId="3100"/>
    <cellStyle name="Data   - Opmaakprofiel2 4 7 3 2" xfId="8879"/>
    <cellStyle name="Data   - Opmaakprofiel2 4 7 3 2 2" xfId="21177"/>
    <cellStyle name="Data   - Opmaakprofiel2 4 7 3 2 3" xfId="33229"/>
    <cellStyle name="Data   - Opmaakprofiel2 4 7 3 2 4" xfId="42925"/>
    <cellStyle name="Data   - Opmaakprofiel2 4 7 3 2 5" xfId="53844"/>
    <cellStyle name="Data   - Opmaakprofiel2 4 7 3 3" xfId="14055"/>
    <cellStyle name="Data   - Opmaakprofiel2 4 7 3 4" xfId="26107"/>
    <cellStyle name="Data   - Opmaakprofiel2 4 7 3 5" xfId="40187"/>
    <cellStyle name="Data   - Opmaakprofiel2 4 7 3 6" xfId="47770"/>
    <cellStyle name="Data   - Opmaakprofiel2 4 7 4" xfId="3937"/>
    <cellStyle name="Data   - Opmaakprofiel2 4 7 4 2" xfId="8880"/>
    <cellStyle name="Data   - Opmaakprofiel2 4 7 4 2 2" xfId="21178"/>
    <cellStyle name="Data   - Opmaakprofiel2 4 7 4 2 3" xfId="33230"/>
    <cellStyle name="Data   - Opmaakprofiel2 4 7 4 2 4" xfId="27454"/>
    <cellStyle name="Data   - Opmaakprofiel2 4 7 4 2 5" xfId="53845"/>
    <cellStyle name="Data   - Opmaakprofiel2 4 7 4 3" xfId="14056"/>
    <cellStyle name="Data   - Opmaakprofiel2 4 7 4 4" xfId="26108"/>
    <cellStyle name="Data   - Opmaakprofiel2 4 7 4 5" xfId="45841"/>
    <cellStyle name="Data   - Opmaakprofiel2 4 7 4 6" xfId="47771"/>
    <cellStyle name="Data   - Opmaakprofiel2 4 7 5" xfId="4819"/>
    <cellStyle name="Data   - Opmaakprofiel2 4 7 5 2" xfId="8881"/>
    <cellStyle name="Data   - Opmaakprofiel2 4 7 5 2 2" xfId="21179"/>
    <cellStyle name="Data   - Opmaakprofiel2 4 7 5 2 3" xfId="33231"/>
    <cellStyle name="Data   - Opmaakprofiel2 4 7 5 2 4" xfId="42924"/>
    <cellStyle name="Data   - Opmaakprofiel2 4 7 5 2 5" xfId="53846"/>
    <cellStyle name="Data   - Opmaakprofiel2 4 7 5 3" xfId="14057"/>
    <cellStyle name="Data   - Opmaakprofiel2 4 7 5 4" xfId="26109"/>
    <cellStyle name="Data   - Opmaakprofiel2 4 7 5 5" xfId="40186"/>
    <cellStyle name="Data   - Opmaakprofiel2 4 7 5 6" xfId="47772"/>
    <cellStyle name="Data   - Opmaakprofiel2 4 7 6" xfId="4820"/>
    <cellStyle name="Data   - Opmaakprofiel2 4 7 6 2" xfId="8882"/>
    <cellStyle name="Data   - Opmaakprofiel2 4 7 6 2 2" xfId="21180"/>
    <cellStyle name="Data   - Opmaakprofiel2 4 7 6 2 3" xfId="33232"/>
    <cellStyle name="Data   - Opmaakprofiel2 4 7 6 2 4" xfId="34600"/>
    <cellStyle name="Data   - Opmaakprofiel2 4 7 6 2 5" xfId="53847"/>
    <cellStyle name="Data   - Opmaakprofiel2 4 7 6 3" xfId="14058"/>
    <cellStyle name="Data   - Opmaakprofiel2 4 7 6 4" xfId="26110"/>
    <cellStyle name="Data   - Opmaakprofiel2 4 7 6 5" xfId="40185"/>
    <cellStyle name="Data   - Opmaakprofiel2 4 7 6 6" xfId="47773"/>
    <cellStyle name="Data   - Opmaakprofiel2 4 7 7" xfId="4821"/>
    <cellStyle name="Data   - Opmaakprofiel2 4 7 7 2" xfId="14059"/>
    <cellStyle name="Data   - Opmaakprofiel2 4 7 7 3" xfId="26111"/>
    <cellStyle name="Data   - Opmaakprofiel2 4 7 7 4" xfId="40184"/>
    <cellStyle name="Data   - Opmaakprofiel2 4 7 7 5" xfId="47774"/>
    <cellStyle name="Data   - Opmaakprofiel2 4 7 8" xfId="7250"/>
    <cellStyle name="Data   - Opmaakprofiel2 4 7 8 2" xfId="19548"/>
    <cellStyle name="Data   - Opmaakprofiel2 4 7 8 3" xfId="41351"/>
    <cellStyle name="Data   - Opmaakprofiel2 4 7 8 4" xfId="43587"/>
    <cellStyle name="Data   - Opmaakprofiel2 4 7 8 5" xfId="52220"/>
    <cellStyle name="Data   - Opmaakprofiel2 4 7 9" xfId="14053"/>
    <cellStyle name="Data   - Opmaakprofiel2 4 8" xfId="1324"/>
    <cellStyle name="Data   - Opmaakprofiel2 4 8 2" xfId="2152"/>
    <cellStyle name="Data   - Opmaakprofiel2 4 8 2 2" xfId="8883"/>
    <cellStyle name="Data   - Opmaakprofiel2 4 8 2 2 2" xfId="21181"/>
    <cellStyle name="Data   - Opmaakprofiel2 4 8 2 2 3" xfId="33233"/>
    <cellStyle name="Data   - Opmaakprofiel2 4 8 2 2 4" xfId="42923"/>
    <cellStyle name="Data   - Opmaakprofiel2 4 8 2 2 5" xfId="53848"/>
    <cellStyle name="Data   - Opmaakprofiel2 4 8 2 3" xfId="14061"/>
    <cellStyle name="Data   - Opmaakprofiel2 4 8 2 4" xfId="26113"/>
    <cellStyle name="Data   - Opmaakprofiel2 4 8 2 5" xfId="40183"/>
    <cellStyle name="Data   - Opmaakprofiel2 4 8 2 6" xfId="47775"/>
    <cellStyle name="Data   - Opmaakprofiel2 4 8 3" xfId="3335"/>
    <cellStyle name="Data   - Opmaakprofiel2 4 8 3 2" xfId="8884"/>
    <cellStyle name="Data   - Opmaakprofiel2 4 8 3 2 2" xfId="21182"/>
    <cellStyle name="Data   - Opmaakprofiel2 4 8 3 2 3" xfId="33234"/>
    <cellStyle name="Data   - Opmaakprofiel2 4 8 3 2 4" xfId="27461"/>
    <cellStyle name="Data   - Opmaakprofiel2 4 8 3 2 5" xfId="53849"/>
    <cellStyle name="Data   - Opmaakprofiel2 4 8 3 3" xfId="14062"/>
    <cellStyle name="Data   - Opmaakprofiel2 4 8 3 4" xfId="26114"/>
    <cellStyle name="Data   - Opmaakprofiel2 4 8 3 5" xfId="45839"/>
    <cellStyle name="Data   - Opmaakprofiel2 4 8 3 6" xfId="47776"/>
    <cellStyle name="Data   - Opmaakprofiel2 4 8 4" xfId="4116"/>
    <cellStyle name="Data   - Opmaakprofiel2 4 8 4 2" xfId="8885"/>
    <cellStyle name="Data   - Opmaakprofiel2 4 8 4 2 2" xfId="21183"/>
    <cellStyle name="Data   - Opmaakprofiel2 4 8 4 2 3" xfId="33235"/>
    <cellStyle name="Data   - Opmaakprofiel2 4 8 4 2 4" xfId="42922"/>
    <cellStyle name="Data   - Opmaakprofiel2 4 8 4 2 5" xfId="53850"/>
    <cellStyle name="Data   - Opmaakprofiel2 4 8 4 3" xfId="14063"/>
    <cellStyle name="Data   - Opmaakprofiel2 4 8 4 4" xfId="26115"/>
    <cellStyle name="Data   - Opmaakprofiel2 4 8 4 5" xfId="40182"/>
    <cellStyle name="Data   - Opmaakprofiel2 4 8 4 6" xfId="47777"/>
    <cellStyle name="Data   - Opmaakprofiel2 4 8 5" xfId="4822"/>
    <cellStyle name="Data   - Opmaakprofiel2 4 8 5 2" xfId="8886"/>
    <cellStyle name="Data   - Opmaakprofiel2 4 8 5 2 2" xfId="21184"/>
    <cellStyle name="Data   - Opmaakprofiel2 4 8 5 2 3" xfId="33236"/>
    <cellStyle name="Data   - Opmaakprofiel2 4 8 5 2 4" xfId="32043"/>
    <cellStyle name="Data   - Opmaakprofiel2 4 8 5 2 5" xfId="53851"/>
    <cellStyle name="Data   - Opmaakprofiel2 4 8 5 3" xfId="14064"/>
    <cellStyle name="Data   - Opmaakprofiel2 4 8 5 4" xfId="26116"/>
    <cellStyle name="Data   - Opmaakprofiel2 4 8 5 5" xfId="45838"/>
    <cellStyle name="Data   - Opmaakprofiel2 4 8 5 6" xfId="47778"/>
    <cellStyle name="Data   - Opmaakprofiel2 4 8 6" xfId="4823"/>
    <cellStyle name="Data   - Opmaakprofiel2 4 8 6 2" xfId="8887"/>
    <cellStyle name="Data   - Opmaakprofiel2 4 8 6 2 2" xfId="21185"/>
    <cellStyle name="Data   - Opmaakprofiel2 4 8 6 2 3" xfId="33237"/>
    <cellStyle name="Data   - Opmaakprofiel2 4 8 6 2 4" xfId="27468"/>
    <cellStyle name="Data   - Opmaakprofiel2 4 8 6 2 5" xfId="53852"/>
    <cellStyle name="Data   - Opmaakprofiel2 4 8 6 3" xfId="14065"/>
    <cellStyle name="Data   - Opmaakprofiel2 4 8 6 4" xfId="26117"/>
    <cellStyle name="Data   - Opmaakprofiel2 4 8 6 5" xfId="40181"/>
    <cellStyle name="Data   - Opmaakprofiel2 4 8 6 6" xfId="47779"/>
    <cellStyle name="Data   - Opmaakprofiel2 4 8 7" xfId="4824"/>
    <cellStyle name="Data   - Opmaakprofiel2 4 8 7 2" xfId="14066"/>
    <cellStyle name="Data   - Opmaakprofiel2 4 8 7 3" xfId="26118"/>
    <cellStyle name="Data   - Opmaakprofiel2 4 8 7 4" xfId="45837"/>
    <cellStyle name="Data   - Opmaakprofiel2 4 8 7 5" xfId="47780"/>
    <cellStyle name="Data   - Opmaakprofiel2 4 8 8" xfId="7055"/>
    <cellStyle name="Data   - Opmaakprofiel2 4 8 8 2" xfId="19353"/>
    <cellStyle name="Data   - Opmaakprofiel2 4 8 8 3" xfId="41156"/>
    <cellStyle name="Data   - Opmaakprofiel2 4 8 8 4" xfId="43669"/>
    <cellStyle name="Data   - Opmaakprofiel2 4 8 8 5" xfId="52026"/>
    <cellStyle name="Data   - Opmaakprofiel2 4 8 9" xfId="14060"/>
    <cellStyle name="Data   - Opmaakprofiel2 4 9" xfId="1380"/>
    <cellStyle name="Data   - Opmaakprofiel2 4 9 2" xfId="220"/>
    <cellStyle name="Data   - Opmaakprofiel2 4 9 2 2" xfId="8888"/>
    <cellStyle name="Data   - Opmaakprofiel2 4 9 2 2 2" xfId="21186"/>
    <cellStyle name="Data   - Opmaakprofiel2 4 9 2 2 3" xfId="33238"/>
    <cellStyle name="Data   - Opmaakprofiel2 4 9 2 2 4" xfId="34637"/>
    <cellStyle name="Data   - Opmaakprofiel2 4 9 2 2 5" xfId="53853"/>
    <cellStyle name="Data   - Opmaakprofiel2 4 9 2 3" xfId="14068"/>
    <cellStyle name="Data   - Opmaakprofiel2 4 9 2 4" xfId="26120"/>
    <cellStyle name="Data   - Opmaakprofiel2 4 9 2 5" xfId="45836"/>
    <cellStyle name="Data   - Opmaakprofiel2 4 9 2 6" xfId="47781"/>
    <cellStyle name="Data   - Opmaakprofiel2 4 9 3" xfId="3391"/>
    <cellStyle name="Data   - Opmaakprofiel2 4 9 3 2" xfId="8889"/>
    <cellStyle name="Data   - Opmaakprofiel2 4 9 3 2 2" xfId="21187"/>
    <cellStyle name="Data   - Opmaakprofiel2 4 9 3 2 3" xfId="33239"/>
    <cellStyle name="Data   - Opmaakprofiel2 4 9 3 2 4" xfId="42921"/>
    <cellStyle name="Data   - Opmaakprofiel2 4 9 3 2 5" xfId="53854"/>
    <cellStyle name="Data   - Opmaakprofiel2 4 9 3 3" xfId="14069"/>
    <cellStyle name="Data   - Opmaakprofiel2 4 9 3 4" xfId="26121"/>
    <cellStyle name="Data   - Opmaakprofiel2 4 9 3 5" xfId="40179"/>
    <cellStyle name="Data   - Opmaakprofiel2 4 9 3 6" xfId="47782"/>
    <cellStyle name="Data   - Opmaakprofiel2 4 9 4" xfId="4152"/>
    <cellStyle name="Data   - Opmaakprofiel2 4 9 4 2" xfId="8890"/>
    <cellStyle name="Data   - Opmaakprofiel2 4 9 4 2 2" xfId="21188"/>
    <cellStyle name="Data   - Opmaakprofiel2 4 9 4 2 3" xfId="33240"/>
    <cellStyle name="Data   - Opmaakprofiel2 4 9 4 2 4" xfId="27475"/>
    <cellStyle name="Data   - Opmaakprofiel2 4 9 4 2 5" xfId="53855"/>
    <cellStyle name="Data   - Opmaakprofiel2 4 9 4 3" xfId="14070"/>
    <cellStyle name="Data   - Opmaakprofiel2 4 9 4 4" xfId="26122"/>
    <cellStyle name="Data   - Opmaakprofiel2 4 9 4 5" xfId="40178"/>
    <cellStyle name="Data   - Opmaakprofiel2 4 9 4 6" xfId="47783"/>
    <cellStyle name="Data   - Opmaakprofiel2 4 9 5" xfId="4825"/>
    <cellStyle name="Data   - Opmaakprofiel2 4 9 5 2" xfId="8891"/>
    <cellStyle name="Data   - Opmaakprofiel2 4 9 5 2 2" xfId="21189"/>
    <cellStyle name="Data   - Opmaakprofiel2 4 9 5 2 3" xfId="33241"/>
    <cellStyle name="Data   - Opmaakprofiel2 4 9 5 2 4" xfId="42920"/>
    <cellStyle name="Data   - Opmaakprofiel2 4 9 5 2 5" xfId="53856"/>
    <cellStyle name="Data   - Opmaakprofiel2 4 9 5 3" xfId="14071"/>
    <cellStyle name="Data   - Opmaakprofiel2 4 9 5 4" xfId="26123"/>
    <cellStyle name="Data   - Opmaakprofiel2 4 9 5 5" xfId="45835"/>
    <cellStyle name="Data   - Opmaakprofiel2 4 9 5 6" xfId="47784"/>
    <cellStyle name="Data   - Opmaakprofiel2 4 9 6" xfId="4826"/>
    <cellStyle name="Data   - Opmaakprofiel2 4 9 6 2" xfId="8892"/>
    <cellStyle name="Data   - Opmaakprofiel2 4 9 6 2 2" xfId="21190"/>
    <cellStyle name="Data   - Opmaakprofiel2 4 9 6 2 3" xfId="33242"/>
    <cellStyle name="Data   - Opmaakprofiel2 4 9 6 2 4" xfId="31602"/>
    <cellStyle name="Data   - Opmaakprofiel2 4 9 6 2 5" xfId="53857"/>
    <cellStyle name="Data   - Opmaakprofiel2 4 9 6 3" xfId="14072"/>
    <cellStyle name="Data   - Opmaakprofiel2 4 9 6 4" xfId="26124"/>
    <cellStyle name="Data   - Opmaakprofiel2 4 9 6 5" xfId="40177"/>
    <cellStyle name="Data   - Opmaakprofiel2 4 9 6 6" xfId="47785"/>
    <cellStyle name="Data   - Opmaakprofiel2 4 9 7" xfId="4827"/>
    <cellStyle name="Data   - Opmaakprofiel2 4 9 7 2" xfId="14073"/>
    <cellStyle name="Data   - Opmaakprofiel2 4 9 7 3" xfId="26125"/>
    <cellStyle name="Data   - Opmaakprofiel2 4 9 7 4" xfId="45834"/>
    <cellStyle name="Data   - Opmaakprofiel2 4 9 7 5" xfId="47786"/>
    <cellStyle name="Data   - Opmaakprofiel2 4 9 8" xfId="7007"/>
    <cellStyle name="Data   - Opmaakprofiel2 4 9 8 2" xfId="19305"/>
    <cellStyle name="Data   - Opmaakprofiel2 4 9 8 3" xfId="41108"/>
    <cellStyle name="Data   - Opmaakprofiel2 4 9 8 4" xfId="43689"/>
    <cellStyle name="Data   - Opmaakprofiel2 4 9 8 5" xfId="51978"/>
    <cellStyle name="Data   - Opmaakprofiel2 4 9 9" xfId="14067"/>
    <cellStyle name="Data   - Opmaakprofiel2 5" xfId="181"/>
    <cellStyle name="Data   - Opmaakprofiel2 5 2" xfId="8893"/>
    <cellStyle name="Data   - Opmaakprofiel2 5 2 2" xfId="21191"/>
    <cellStyle name="Data   - Opmaakprofiel2 5 2 3" xfId="33243"/>
    <cellStyle name="Data   - Opmaakprofiel2 5 2 4" xfId="42919"/>
    <cellStyle name="Data   - Opmaakprofiel2 5 2 5" xfId="53858"/>
    <cellStyle name="Data   - Opmaakprofiel2 5 3" xfId="14074"/>
    <cellStyle name="Data   - Opmaakprofiel2 5 4" xfId="26126"/>
    <cellStyle name="Data   - Opmaakprofiel2 5 5" xfId="40176"/>
    <cellStyle name="Data   - Opmaakprofiel2 5 6" xfId="47787"/>
    <cellStyle name="Data   - Opmaakprofiel2 6" xfId="4828"/>
    <cellStyle name="Data   - Opmaakprofiel2 6 2" xfId="8894"/>
    <cellStyle name="Data   - Opmaakprofiel2 6 2 2" xfId="21192"/>
    <cellStyle name="Data   - Opmaakprofiel2 6 2 3" xfId="33244"/>
    <cellStyle name="Data   - Opmaakprofiel2 6 2 4" xfId="27482"/>
    <cellStyle name="Data   - Opmaakprofiel2 6 2 5" xfId="53859"/>
    <cellStyle name="Data   - Opmaakprofiel2 6 3" xfId="14075"/>
    <cellStyle name="Data   - Opmaakprofiel2 6 4" xfId="26127"/>
    <cellStyle name="Data   - Opmaakprofiel2 6 5" xfId="45833"/>
    <cellStyle name="Data   - Opmaakprofiel2 6 6" xfId="47788"/>
    <cellStyle name="Data   - Opmaakprofiel2 7" xfId="4829"/>
    <cellStyle name="Data   - Opmaakprofiel2 7 2" xfId="14076"/>
    <cellStyle name="Data   - Opmaakprofiel2 7 3" xfId="26128"/>
    <cellStyle name="Data   - Opmaakprofiel2 7 4" xfId="40175"/>
    <cellStyle name="Data   - Opmaakprofiel2 7 5" xfId="47789"/>
    <cellStyle name="Data   - Opmaakprofiel2 8" xfId="4830"/>
    <cellStyle name="Data   - Opmaakprofiel2 8 2" xfId="14077"/>
    <cellStyle name="Data   - Opmaakprofiel2 8 3" xfId="26129"/>
    <cellStyle name="Data   - Opmaakprofiel2 8 4" xfId="45832"/>
    <cellStyle name="Data   - Opmaakprofiel2 8 5" xfId="47790"/>
    <cellStyle name="Data   - Opmaakprofiel2 9" xfId="4831"/>
    <cellStyle name="Data   - Opmaakprofiel2 9 2" xfId="14078"/>
    <cellStyle name="Data   - Opmaakprofiel2 9 3" xfId="26130"/>
    <cellStyle name="Data   - Opmaakprofiel2 9 4" xfId="40174"/>
    <cellStyle name="Data   - Opmaakprofiel2 9 5" xfId="47791"/>
    <cellStyle name="Euro" xfId="53"/>
    <cellStyle name="Euro 2" xfId="54"/>
    <cellStyle name="Euro 3" xfId="55"/>
    <cellStyle name="Euro 4" xfId="225"/>
    <cellStyle name="Euro 5" xfId="169"/>
    <cellStyle name="Euro 6" xfId="152"/>
    <cellStyle name="Excel Built-in Normal" xfId="261"/>
    <cellStyle name="Explanatory Text" xfId="262"/>
    <cellStyle name="Good" xfId="263"/>
    <cellStyle name="Heading" xfId="264"/>
    <cellStyle name="Heading 1" xfId="265"/>
    <cellStyle name="Heading 2" xfId="266"/>
    <cellStyle name="Heading 3" xfId="267"/>
    <cellStyle name="Heading 4" xfId="268"/>
    <cellStyle name="Heading1" xfId="269"/>
    <cellStyle name="Hyperlink" xfId="6" builtinId="8"/>
    <cellStyle name="Input" xfId="270"/>
    <cellStyle name="Komma 2" xfId="5"/>
    <cellStyle name="Komma 2 2" xfId="56"/>
    <cellStyle name="Komma 2 2 2" xfId="273"/>
    <cellStyle name="Komma 2 2 3" xfId="272"/>
    <cellStyle name="Komma 2 3" xfId="274"/>
    <cellStyle name="Komma 2 4" xfId="275"/>
    <cellStyle name="Komma 2 5" xfId="382"/>
    <cellStyle name="Komma 2 6" xfId="271"/>
    <cellStyle name="Komma 3" xfId="57"/>
    <cellStyle name="Komma 3 2" xfId="277"/>
    <cellStyle name="Komma 3 3" xfId="383"/>
    <cellStyle name="Komma 3 4" xfId="276"/>
    <cellStyle name="Komma 4" xfId="58"/>
    <cellStyle name="Komma 4 2" xfId="278"/>
    <cellStyle name="Komma 4 2 2" xfId="4834"/>
    <cellStyle name="Komma 4 2 3" xfId="4833"/>
    <cellStyle name="Komma 4 3" xfId="4832"/>
    <cellStyle name="Komma 4 4" xfId="209"/>
    <cellStyle name="Komma 5" xfId="279"/>
    <cellStyle name="Komma 5 2" xfId="280"/>
    <cellStyle name="Komma 5 3" xfId="4836"/>
    <cellStyle name="Komma 5 4" xfId="4835"/>
    <cellStyle name="Komma 6" xfId="281"/>
    <cellStyle name="Komma 7" xfId="282"/>
    <cellStyle name="Komma 8" xfId="283"/>
    <cellStyle name="Komma 9" xfId="284"/>
    <cellStyle name="Labels - Opmaakprofiel3" xfId="59"/>
    <cellStyle name="Labels - Opmaakprofiel3 10" xfId="7795"/>
    <cellStyle name="Labels - Opmaakprofiel3 10 2" xfId="20093"/>
    <cellStyle name="Labels - Opmaakprofiel3 10 3" xfId="41896"/>
    <cellStyle name="Labels - Opmaakprofiel3 10 4" xfId="25290"/>
    <cellStyle name="Labels - Opmaakprofiel3 10 5" xfId="52760"/>
    <cellStyle name="Labels - Opmaakprofiel3 11" xfId="14112"/>
    <cellStyle name="Labels - Opmaakprofiel3 2" xfId="132"/>
    <cellStyle name="Labels - Opmaakprofiel3 2 10" xfId="707"/>
    <cellStyle name="Labels - Opmaakprofiel3 2 10 10" xfId="4837"/>
    <cellStyle name="Labels - Opmaakprofiel3 2 10 10 2" xfId="8896"/>
    <cellStyle name="Labels - Opmaakprofiel3 2 10 10 2 2" xfId="21194"/>
    <cellStyle name="Labels - Opmaakprofiel3 2 10 10 2 3" xfId="33246"/>
    <cellStyle name="Labels - Opmaakprofiel3 2 10 10 2 4" xfId="31617"/>
    <cellStyle name="Labels - Opmaakprofiel3 2 10 10 2 5" xfId="53861"/>
    <cellStyle name="Labels - Opmaakprofiel3 2 10 10 3" xfId="14115"/>
    <cellStyle name="Labels - Opmaakprofiel3 2 10 10 4" xfId="26167"/>
    <cellStyle name="Labels - Opmaakprofiel3 2 10 10 5" xfId="40156"/>
    <cellStyle name="Labels - Opmaakprofiel3 2 10 10 6" xfId="47792"/>
    <cellStyle name="Labels - Opmaakprofiel3 2 10 11" xfId="4838"/>
    <cellStyle name="Labels - Opmaakprofiel3 2 10 11 2" xfId="8897"/>
    <cellStyle name="Labels - Opmaakprofiel3 2 10 11 2 2" xfId="21195"/>
    <cellStyle name="Labels - Opmaakprofiel3 2 10 11 2 3" xfId="33247"/>
    <cellStyle name="Labels - Opmaakprofiel3 2 10 11 2 4" xfId="42917"/>
    <cellStyle name="Labels - Opmaakprofiel3 2 10 11 2 5" xfId="53862"/>
    <cellStyle name="Labels - Opmaakprofiel3 2 10 11 3" xfId="14116"/>
    <cellStyle name="Labels - Opmaakprofiel3 2 10 11 4" xfId="26168"/>
    <cellStyle name="Labels - Opmaakprofiel3 2 10 11 5" xfId="45817"/>
    <cellStyle name="Labels - Opmaakprofiel3 2 10 11 6" xfId="47793"/>
    <cellStyle name="Labels - Opmaakprofiel3 2 10 12" xfId="4839"/>
    <cellStyle name="Labels - Opmaakprofiel3 2 10 12 2" xfId="14117"/>
    <cellStyle name="Labels - Opmaakprofiel3 2 10 12 3" xfId="26169"/>
    <cellStyle name="Labels - Opmaakprofiel3 2 10 12 4" xfId="40155"/>
    <cellStyle name="Labels - Opmaakprofiel3 2 10 12 5" xfId="47794"/>
    <cellStyle name="Labels - Opmaakprofiel3 2 10 13" xfId="7509"/>
    <cellStyle name="Labels - Opmaakprofiel3 2 10 13 2" xfId="19807"/>
    <cellStyle name="Labels - Opmaakprofiel3 2 10 13 3" xfId="41610"/>
    <cellStyle name="Labels - Opmaakprofiel3 2 10 13 4" xfId="14093"/>
    <cellStyle name="Labels - Opmaakprofiel3 2 10 13 5" xfId="52479"/>
    <cellStyle name="Labels - Opmaakprofiel3 2 10 14" xfId="14114"/>
    <cellStyle name="Labels - Opmaakprofiel3 2 10 2" xfId="880"/>
    <cellStyle name="Labels - Opmaakprofiel3 2 10 2 2" xfId="1509"/>
    <cellStyle name="Labels - Opmaakprofiel3 2 10 2 2 2" xfId="8898"/>
    <cellStyle name="Labels - Opmaakprofiel3 2 10 2 2 2 2" xfId="21196"/>
    <cellStyle name="Labels - Opmaakprofiel3 2 10 2 2 2 3" xfId="33248"/>
    <cellStyle name="Labels - Opmaakprofiel3 2 10 2 2 2 4" xfId="27489"/>
    <cellStyle name="Labels - Opmaakprofiel3 2 10 2 2 2 5" xfId="53863"/>
    <cellStyle name="Labels - Opmaakprofiel3 2 10 2 2 3" xfId="14119"/>
    <cellStyle name="Labels - Opmaakprofiel3 2 10 2 2 4" xfId="26171"/>
    <cellStyle name="Labels - Opmaakprofiel3 2 10 2 2 5" xfId="40154"/>
    <cellStyle name="Labels - Opmaakprofiel3 2 10 2 2 6" xfId="47795"/>
    <cellStyle name="Labels - Opmaakprofiel3 2 10 2 3" xfId="2891"/>
    <cellStyle name="Labels - Opmaakprofiel3 2 10 2 3 2" xfId="8899"/>
    <cellStyle name="Labels - Opmaakprofiel3 2 10 2 3 2 2" xfId="21197"/>
    <cellStyle name="Labels - Opmaakprofiel3 2 10 2 3 2 3" xfId="33249"/>
    <cellStyle name="Labels - Opmaakprofiel3 2 10 2 3 2 4" xfId="31491"/>
    <cellStyle name="Labels - Opmaakprofiel3 2 10 2 3 2 5" xfId="53864"/>
    <cellStyle name="Labels - Opmaakprofiel3 2 10 2 3 3" xfId="14120"/>
    <cellStyle name="Labels - Opmaakprofiel3 2 10 2 3 4" xfId="26172"/>
    <cellStyle name="Labels - Opmaakprofiel3 2 10 2 3 5" xfId="45815"/>
    <cellStyle name="Labels - Opmaakprofiel3 2 10 2 3 6" xfId="47796"/>
    <cellStyle name="Labels - Opmaakprofiel3 2 10 2 4" xfId="3744"/>
    <cellStyle name="Labels - Opmaakprofiel3 2 10 2 4 2" xfId="8900"/>
    <cellStyle name="Labels - Opmaakprofiel3 2 10 2 4 2 2" xfId="21198"/>
    <cellStyle name="Labels - Opmaakprofiel3 2 10 2 4 2 3" xfId="33250"/>
    <cellStyle name="Labels - Opmaakprofiel3 2 10 2 4 2 4" xfId="27496"/>
    <cellStyle name="Labels - Opmaakprofiel3 2 10 2 4 2 5" xfId="53865"/>
    <cellStyle name="Labels - Opmaakprofiel3 2 10 2 4 3" xfId="14121"/>
    <cellStyle name="Labels - Opmaakprofiel3 2 10 2 4 4" xfId="26173"/>
    <cellStyle name="Labels - Opmaakprofiel3 2 10 2 4 5" xfId="40153"/>
    <cellStyle name="Labels - Opmaakprofiel3 2 10 2 4 6" xfId="47797"/>
    <cellStyle name="Labels - Opmaakprofiel3 2 10 2 5" xfId="4840"/>
    <cellStyle name="Labels - Opmaakprofiel3 2 10 2 5 2" xfId="8901"/>
    <cellStyle name="Labels - Opmaakprofiel3 2 10 2 5 2 2" xfId="21199"/>
    <cellStyle name="Labels - Opmaakprofiel3 2 10 2 5 2 3" xfId="33251"/>
    <cellStyle name="Labels - Opmaakprofiel3 2 10 2 5 2 4" xfId="42916"/>
    <cellStyle name="Labels - Opmaakprofiel3 2 10 2 5 2 5" xfId="53866"/>
    <cellStyle name="Labels - Opmaakprofiel3 2 10 2 5 3" xfId="14122"/>
    <cellStyle name="Labels - Opmaakprofiel3 2 10 2 5 4" xfId="26174"/>
    <cellStyle name="Labels - Opmaakprofiel3 2 10 2 5 5" xfId="45814"/>
    <cellStyle name="Labels - Opmaakprofiel3 2 10 2 5 6" xfId="47798"/>
    <cellStyle name="Labels - Opmaakprofiel3 2 10 2 6" xfId="4841"/>
    <cellStyle name="Labels - Opmaakprofiel3 2 10 2 6 2" xfId="8902"/>
    <cellStyle name="Labels - Opmaakprofiel3 2 10 2 6 2 2" xfId="21200"/>
    <cellStyle name="Labels - Opmaakprofiel3 2 10 2 6 2 3" xfId="33252"/>
    <cellStyle name="Labels - Opmaakprofiel3 2 10 2 6 2 4" xfId="31406"/>
    <cellStyle name="Labels - Opmaakprofiel3 2 10 2 6 2 5" xfId="53867"/>
    <cellStyle name="Labels - Opmaakprofiel3 2 10 2 6 3" xfId="14123"/>
    <cellStyle name="Labels - Opmaakprofiel3 2 10 2 6 4" xfId="26175"/>
    <cellStyle name="Labels - Opmaakprofiel3 2 10 2 6 5" xfId="40152"/>
    <cellStyle name="Labels - Opmaakprofiel3 2 10 2 6 6" xfId="47799"/>
    <cellStyle name="Labels - Opmaakprofiel3 2 10 2 7" xfId="4842"/>
    <cellStyle name="Labels - Opmaakprofiel3 2 10 2 7 2" xfId="14124"/>
    <cellStyle name="Labels - Opmaakprofiel3 2 10 2 7 3" xfId="26176"/>
    <cellStyle name="Labels - Opmaakprofiel3 2 10 2 7 4" xfId="40151"/>
    <cellStyle name="Labels - Opmaakprofiel3 2 10 2 7 5" xfId="47800"/>
    <cellStyle name="Labels - Opmaakprofiel3 2 10 2 8" xfId="10080"/>
    <cellStyle name="Labels - Opmaakprofiel3 2 10 2 8 2" xfId="22378"/>
    <cellStyle name="Labels - Opmaakprofiel3 2 10 2 8 3" xfId="44142"/>
    <cellStyle name="Labels - Opmaakprofiel3 2 10 2 8 4" xfId="42424"/>
    <cellStyle name="Labels - Opmaakprofiel3 2 10 2 8 5" xfId="55045"/>
    <cellStyle name="Labels - Opmaakprofiel3 2 10 2 9" xfId="14118"/>
    <cellStyle name="Labels - Opmaakprofiel3 2 10 3" xfId="980"/>
    <cellStyle name="Labels - Opmaakprofiel3 2 10 3 2" xfId="2130"/>
    <cellStyle name="Labels - Opmaakprofiel3 2 10 3 2 2" xfId="8903"/>
    <cellStyle name="Labels - Opmaakprofiel3 2 10 3 2 2 2" xfId="21201"/>
    <cellStyle name="Labels - Opmaakprofiel3 2 10 3 2 2 3" xfId="33253"/>
    <cellStyle name="Labels - Opmaakprofiel3 2 10 3 2 2 4" xfId="42915"/>
    <cellStyle name="Labels - Opmaakprofiel3 2 10 3 2 2 5" xfId="53868"/>
    <cellStyle name="Labels - Opmaakprofiel3 2 10 3 2 3" xfId="14126"/>
    <cellStyle name="Labels - Opmaakprofiel3 2 10 3 2 4" xfId="26178"/>
    <cellStyle name="Labels - Opmaakprofiel3 2 10 3 2 5" xfId="45813"/>
    <cellStyle name="Labels - Opmaakprofiel3 2 10 3 2 6" xfId="47801"/>
    <cellStyle name="Labels - Opmaakprofiel3 2 10 3 3" xfId="2991"/>
    <cellStyle name="Labels - Opmaakprofiel3 2 10 3 3 2" xfId="8904"/>
    <cellStyle name="Labels - Opmaakprofiel3 2 10 3 3 2 2" xfId="21202"/>
    <cellStyle name="Labels - Opmaakprofiel3 2 10 3 3 2 3" xfId="33254"/>
    <cellStyle name="Labels - Opmaakprofiel3 2 10 3 3 2 4" xfId="27503"/>
    <cellStyle name="Labels - Opmaakprofiel3 2 10 3 3 2 5" xfId="53869"/>
    <cellStyle name="Labels - Opmaakprofiel3 2 10 3 3 3" xfId="14127"/>
    <cellStyle name="Labels - Opmaakprofiel3 2 10 3 3 4" xfId="26179"/>
    <cellStyle name="Labels - Opmaakprofiel3 2 10 3 3 5" xfId="40149"/>
    <cellStyle name="Labels - Opmaakprofiel3 2 10 3 3 6" xfId="47802"/>
    <cellStyle name="Labels - Opmaakprofiel3 2 10 3 4" xfId="3837"/>
    <cellStyle name="Labels - Opmaakprofiel3 2 10 3 4 2" xfId="8905"/>
    <cellStyle name="Labels - Opmaakprofiel3 2 10 3 4 2 2" xfId="21203"/>
    <cellStyle name="Labels - Opmaakprofiel3 2 10 3 4 2 3" xfId="33255"/>
    <cellStyle name="Labels - Opmaakprofiel3 2 10 3 4 2 4" xfId="42914"/>
    <cellStyle name="Labels - Opmaakprofiel3 2 10 3 4 2 5" xfId="53870"/>
    <cellStyle name="Labels - Opmaakprofiel3 2 10 3 4 3" xfId="14128"/>
    <cellStyle name="Labels - Opmaakprofiel3 2 10 3 4 4" xfId="26180"/>
    <cellStyle name="Labels - Opmaakprofiel3 2 10 3 4 5" xfId="45812"/>
    <cellStyle name="Labels - Opmaakprofiel3 2 10 3 4 6" xfId="47803"/>
    <cellStyle name="Labels - Opmaakprofiel3 2 10 3 5" xfId="4843"/>
    <cellStyle name="Labels - Opmaakprofiel3 2 10 3 5 2" xfId="8906"/>
    <cellStyle name="Labels - Opmaakprofiel3 2 10 3 5 2 2" xfId="21204"/>
    <cellStyle name="Labels - Opmaakprofiel3 2 10 3 5 2 3" xfId="33256"/>
    <cellStyle name="Labels - Opmaakprofiel3 2 10 3 5 2 4" xfId="31358"/>
    <cellStyle name="Labels - Opmaakprofiel3 2 10 3 5 2 5" xfId="53871"/>
    <cellStyle name="Labels - Opmaakprofiel3 2 10 3 5 3" xfId="14129"/>
    <cellStyle name="Labels - Opmaakprofiel3 2 10 3 5 4" xfId="26181"/>
    <cellStyle name="Labels - Opmaakprofiel3 2 10 3 5 5" xfId="40148"/>
    <cellStyle name="Labels - Opmaakprofiel3 2 10 3 5 6" xfId="47804"/>
    <cellStyle name="Labels - Opmaakprofiel3 2 10 3 6" xfId="4844"/>
    <cellStyle name="Labels - Opmaakprofiel3 2 10 3 6 2" xfId="8907"/>
    <cellStyle name="Labels - Opmaakprofiel3 2 10 3 6 2 2" xfId="21205"/>
    <cellStyle name="Labels - Opmaakprofiel3 2 10 3 6 2 3" xfId="33257"/>
    <cellStyle name="Labels - Opmaakprofiel3 2 10 3 6 2 4" xfId="42913"/>
    <cellStyle name="Labels - Opmaakprofiel3 2 10 3 6 2 5" xfId="53872"/>
    <cellStyle name="Labels - Opmaakprofiel3 2 10 3 6 3" xfId="14130"/>
    <cellStyle name="Labels - Opmaakprofiel3 2 10 3 6 4" xfId="26182"/>
    <cellStyle name="Labels - Opmaakprofiel3 2 10 3 6 5" xfId="45811"/>
    <cellStyle name="Labels - Opmaakprofiel3 2 10 3 6 6" xfId="47805"/>
    <cellStyle name="Labels - Opmaakprofiel3 2 10 3 7" xfId="4845"/>
    <cellStyle name="Labels - Opmaakprofiel3 2 10 3 7 2" xfId="14131"/>
    <cellStyle name="Labels - Opmaakprofiel3 2 10 3 7 3" xfId="26183"/>
    <cellStyle name="Labels - Opmaakprofiel3 2 10 3 7 4" xfId="40147"/>
    <cellStyle name="Labels - Opmaakprofiel3 2 10 3 7 5" xfId="47806"/>
    <cellStyle name="Labels - Opmaakprofiel3 2 10 3 8" xfId="10016"/>
    <cellStyle name="Labels - Opmaakprofiel3 2 10 3 8 2" xfId="22314"/>
    <cellStyle name="Labels - Opmaakprofiel3 2 10 3 8 3" xfId="44078"/>
    <cellStyle name="Labels - Opmaakprofiel3 2 10 3 8 4" xfId="42451"/>
    <cellStyle name="Labels - Opmaakprofiel3 2 10 3 8 5" xfId="54981"/>
    <cellStyle name="Labels - Opmaakprofiel3 2 10 3 9" xfId="14125"/>
    <cellStyle name="Labels - Opmaakprofiel3 2 10 4" xfId="415"/>
    <cellStyle name="Labels - Opmaakprofiel3 2 10 4 2" xfId="1686"/>
    <cellStyle name="Labels - Opmaakprofiel3 2 10 4 2 2" xfId="8908"/>
    <cellStyle name="Labels - Opmaakprofiel3 2 10 4 2 2 2" xfId="21206"/>
    <cellStyle name="Labels - Opmaakprofiel3 2 10 4 2 2 3" xfId="33258"/>
    <cellStyle name="Labels - Opmaakprofiel3 2 10 4 2 2 4" xfId="27515"/>
    <cellStyle name="Labels - Opmaakprofiel3 2 10 4 2 2 5" xfId="53873"/>
    <cellStyle name="Labels - Opmaakprofiel3 2 10 4 2 3" xfId="14133"/>
    <cellStyle name="Labels - Opmaakprofiel3 2 10 4 2 4" xfId="26185"/>
    <cellStyle name="Labels - Opmaakprofiel3 2 10 4 2 5" xfId="40146"/>
    <cellStyle name="Labels - Opmaakprofiel3 2 10 4 2 6" xfId="47807"/>
    <cellStyle name="Labels - Opmaakprofiel3 2 10 4 3" xfId="2486"/>
    <cellStyle name="Labels - Opmaakprofiel3 2 10 4 3 2" xfId="8909"/>
    <cellStyle name="Labels - Opmaakprofiel3 2 10 4 3 2 2" xfId="21207"/>
    <cellStyle name="Labels - Opmaakprofiel3 2 10 4 3 2 3" xfId="33259"/>
    <cellStyle name="Labels - Opmaakprofiel3 2 10 4 3 2 4" xfId="42912"/>
    <cellStyle name="Labels - Opmaakprofiel3 2 10 4 3 2 5" xfId="53874"/>
    <cellStyle name="Labels - Opmaakprofiel3 2 10 4 3 3" xfId="14134"/>
    <cellStyle name="Labels - Opmaakprofiel3 2 10 4 3 4" xfId="26186"/>
    <cellStyle name="Labels - Opmaakprofiel3 2 10 4 3 5" xfId="45809"/>
    <cellStyle name="Labels - Opmaakprofiel3 2 10 4 3 6" xfId="47808"/>
    <cellStyle name="Labels - Opmaakprofiel3 2 10 4 4" xfId="1496"/>
    <cellStyle name="Labels - Opmaakprofiel3 2 10 4 4 2" xfId="8910"/>
    <cellStyle name="Labels - Opmaakprofiel3 2 10 4 4 2 2" xfId="21208"/>
    <cellStyle name="Labels - Opmaakprofiel3 2 10 4 4 2 3" xfId="33260"/>
    <cellStyle name="Labels - Opmaakprofiel3 2 10 4 4 2 4" xfId="27516"/>
    <cellStyle name="Labels - Opmaakprofiel3 2 10 4 4 2 5" xfId="53875"/>
    <cellStyle name="Labels - Opmaakprofiel3 2 10 4 4 3" xfId="14135"/>
    <cellStyle name="Labels - Opmaakprofiel3 2 10 4 4 4" xfId="26187"/>
    <cellStyle name="Labels - Opmaakprofiel3 2 10 4 4 5" xfId="40145"/>
    <cellStyle name="Labels - Opmaakprofiel3 2 10 4 4 6" xfId="47809"/>
    <cellStyle name="Labels - Opmaakprofiel3 2 10 4 5" xfId="4846"/>
    <cellStyle name="Labels - Opmaakprofiel3 2 10 4 5 2" xfId="8911"/>
    <cellStyle name="Labels - Opmaakprofiel3 2 10 4 5 2 2" xfId="21209"/>
    <cellStyle name="Labels - Opmaakprofiel3 2 10 4 5 2 3" xfId="33261"/>
    <cellStyle name="Labels - Opmaakprofiel3 2 10 4 5 2 4" xfId="27517"/>
    <cellStyle name="Labels - Opmaakprofiel3 2 10 4 5 2 5" xfId="53876"/>
    <cellStyle name="Labels - Opmaakprofiel3 2 10 4 5 3" xfId="14136"/>
    <cellStyle name="Labels - Opmaakprofiel3 2 10 4 5 4" xfId="26188"/>
    <cellStyle name="Labels - Opmaakprofiel3 2 10 4 5 5" xfId="40144"/>
    <cellStyle name="Labels - Opmaakprofiel3 2 10 4 5 6" xfId="47810"/>
    <cellStyle name="Labels - Opmaakprofiel3 2 10 4 6" xfId="4847"/>
    <cellStyle name="Labels - Opmaakprofiel3 2 10 4 6 2" xfId="8912"/>
    <cellStyle name="Labels - Opmaakprofiel3 2 10 4 6 2 2" xfId="21210"/>
    <cellStyle name="Labels - Opmaakprofiel3 2 10 4 6 2 3" xfId="33262"/>
    <cellStyle name="Labels - Opmaakprofiel3 2 10 4 6 2 4" xfId="27518"/>
    <cellStyle name="Labels - Opmaakprofiel3 2 10 4 6 2 5" xfId="53877"/>
    <cellStyle name="Labels - Opmaakprofiel3 2 10 4 6 3" xfId="14137"/>
    <cellStyle name="Labels - Opmaakprofiel3 2 10 4 6 4" xfId="26189"/>
    <cellStyle name="Labels - Opmaakprofiel3 2 10 4 6 5" xfId="40143"/>
    <cellStyle name="Labels - Opmaakprofiel3 2 10 4 6 6" xfId="47811"/>
    <cellStyle name="Labels - Opmaakprofiel3 2 10 4 7" xfId="4848"/>
    <cellStyle name="Labels - Opmaakprofiel3 2 10 4 7 2" xfId="14138"/>
    <cellStyle name="Labels - Opmaakprofiel3 2 10 4 7 3" xfId="26190"/>
    <cellStyle name="Labels - Opmaakprofiel3 2 10 4 7 4" xfId="45808"/>
    <cellStyle name="Labels - Opmaakprofiel3 2 10 4 7 5" xfId="47812"/>
    <cellStyle name="Labels - Opmaakprofiel3 2 10 4 8" xfId="7706"/>
    <cellStyle name="Labels - Opmaakprofiel3 2 10 4 8 2" xfId="20004"/>
    <cellStyle name="Labels - Opmaakprofiel3 2 10 4 8 3" xfId="41807"/>
    <cellStyle name="Labels - Opmaakprofiel3 2 10 4 8 4" xfId="43397"/>
    <cellStyle name="Labels - Opmaakprofiel3 2 10 4 8 5" xfId="52676"/>
    <cellStyle name="Labels - Opmaakprofiel3 2 10 4 9" xfId="14132"/>
    <cellStyle name="Labels - Opmaakprofiel3 2 10 5" xfId="1155"/>
    <cellStyle name="Labels - Opmaakprofiel3 2 10 5 2" xfId="2417"/>
    <cellStyle name="Labels - Opmaakprofiel3 2 10 5 2 2" xfId="8913"/>
    <cellStyle name="Labels - Opmaakprofiel3 2 10 5 2 2 2" xfId="21211"/>
    <cellStyle name="Labels - Opmaakprofiel3 2 10 5 2 2 3" xfId="33263"/>
    <cellStyle name="Labels - Opmaakprofiel3 2 10 5 2 2 4" xfId="42911"/>
    <cellStyle name="Labels - Opmaakprofiel3 2 10 5 2 2 5" xfId="53878"/>
    <cellStyle name="Labels - Opmaakprofiel3 2 10 5 2 3" xfId="14140"/>
    <cellStyle name="Labels - Opmaakprofiel3 2 10 5 2 4" xfId="26192"/>
    <cellStyle name="Labels - Opmaakprofiel3 2 10 5 2 5" xfId="45807"/>
    <cellStyle name="Labels - Opmaakprofiel3 2 10 5 2 6" xfId="47813"/>
    <cellStyle name="Labels - Opmaakprofiel3 2 10 5 3" xfId="3166"/>
    <cellStyle name="Labels - Opmaakprofiel3 2 10 5 3 2" xfId="8914"/>
    <cellStyle name="Labels - Opmaakprofiel3 2 10 5 3 2 2" xfId="21212"/>
    <cellStyle name="Labels - Opmaakprofiel3 2 10 5 3 2 3" xfId="33264"/>
    <cellStyle name="Labels - Opmaakprofiel3 2 10 5 3 2 4" xfId="27519"/>
    <cellStyle name="Labels - Opmaakprofiel3 2 10 5 3 2 5" xfId="53879"/>
    <cellStyle name="Labels - Opmaakprofiel3 2 10 5 3 3" xfId="14141"/>
    <cellStyle name="Labels - Opmaakprofiel3 2 10 5 3 4" xfId="26193"/>
    <cellStyle name="Labels - Opmaakprofiel3 2 10 5 3 5" xfId="40141"/>
    <cellStyle name="Labels - Opmaakprofiel3 2 10 5 3 6" xfId="47814"/>
    <cellStyle name="Labels - Opmaakprofiel3 2 10 5 4" xfId="3988"/>
    <cellStyle name="Labels - Opmaakprofiel3 2 10 5 4 2" xfId="8915"/>
    <cellStyle name="Labels - Opmaakprofiel3 2 10 5 4 2 2" xfId="21213"/>
    <cellStyle name="Labels - Opmaakprofiel3 2 10 5 4 2 3" xfId="33265"/>
    <cellStyle name="Labels - Opmaakprofiel3 2 10 5 4 2 4" xfId="42910"/>
    <cellStyle name="Labels - Opmaakprofiel3 2 10 5 4 2 5" xfId="53880"/>
    <cellStyle name="Labels - Opmaakprofiel3 2 10 5 4 3" xfId="14142"/>
    <cellStyle name="Labels - Opmaakprofiel3 2 10 5 4 4" xfId="26194"/>
    <cellStyle name="Labels - Opmaakprofiel3 2 10 5 4 5" xfId="45806"/>
    <cellStyle name="Labels - Opmaakprofiel3 2 10 5 4 6" xfId="47815"/>
    <cellStyle name="Labels - Opmaakprofiel3 2 10 5 5" xfId="4849"/>
    <cellStyle name="Labels - Opmaakprofiel3 2 10 5 5 2" xfId="8916"/>
    <cellStyle name="Labels - Opmaakprofiel3 2 10 5 5 2 2" xfId="21214"/>
    <cellStyle name="Labels - Opmaakprofiel3 2 10 5 5 2 3" xfId="33266"/>
    <cellStyle name="Labels - Opmaakprofiel3 2 10 5 5 2 4" xfId="27520"/>
    <cellStyle name="Labels - Opmaakprofiel3 2 10 5 5 2 5" xfId="53881"/>
    <cellStyle name="Labels - Opmaakprofiel3 2 10 5 5 3" xfId="14143"/>
    <cellStyle name="Labels - Opmaakprofiel3 2 10 5 5 4" xfId="26195"/>
    <cellStyle name="Labels - Opmaakprofiel3 2 10 5 5 5" xfId="40140"/>
    <cellStyle name="Labels - Opmaakprofiel3 2 10 5 5 6" xfId="47816"/>
    <cellStyle name="Labels - Opmaakprofiel3 2 10 5 6" xfId="4850"/>
    <cellStyle name="Labels - Opmaakprofiel3 2 10 5 6 2" xfId="8917"/>
    <cellStyle name="Labels - Opmaakprofiel3 2 10 5 6 2 2" xfId="21215"/>
    <cellStyle name="Labels - Opmaakprofiel3 2 10 5 6 2 3" xfId="33267"/>
    <cellStyle name="Labels - Opmaakprofiel3 2 10 5 6 2 4" xfId="42909"/>
    <cellStyle name="Labels - Opmaakprofiel3 2 10 5 6 2 5" xfId="53882"/>
    <cellStyle name="Labels - Opmaakprofiel3 2 10 5 6 3" xfId="14144"/>
    <cellStyle name="Labels - Opmaakprofiel3 2 10 5 6 4" xfId="26196"/>
    <cellStyle name="Labels - Opmaakprofiel3 2 10 5 6 5" xfId="45805"/>
    <cellStyle name="Labels - Opmaakprofiel3 2 10 5 6 6" xfId="47817"/>
    <cellStyle name="Labels - Opmaakprofiel3 2 10 5 7" xfId="4851"/>
    <cellStyle name="Labels - Opmaakprofiel3 2 10 5 7 2" xfId="14145"/>
    <cellStyle name="Labels - Opmaakprofiel3 2 10 5 7 3" xfId="26197"/>
    <cellStyle name="Labels - Opmaakprofiel3 2 10 5 7 4" xfId="40139"/>
    <cellStyle name="Labels - Opmaakprofiel3 2 10 5 7 5" xfId="47818"/>
    <cellStyle name="Labels - Opmaakprofiel3 2 10 5 8" xfId="7206"/>
    <cellStyle name="Labels - Opmaakprofiel3 2 10 5 8 2" xfId="19504"/>
    <cellStyle name="Labels - Opmaakprofiel3 2 10 5 8 3" xfId="41307"/>
    <cellStyle name="Labels - Opmaakprofiel3 2 10 5 8 4" xfId="43606"/>
    <cellStyle name="Labels - Opmaakprofiel3 2 10 5 8 5" xfId="52176"/>
    <cellStyle name="Labels - Opmaakprofiel3 2 10 5 9" xfId="14139"/>
    <cellStyle name="Labels - Opmaakprofiel3 2 10 6" xfId="1198"/>
    <cellStyle name="Labels - Opmaakprofiel3 2 10 6 2" xfId="2039"/>
    <cellStyle name="Labels - Opmaakprofiel3 2 10 6 2 2" xfId="8918"/>
    <cellStyle name="Labels - Opmaakprofiel3 2 10 6 2 2 2" xfId="21216"/>
    <cellStyle name="Labels - Opmaakprofiel3 2 10 6 2 2 3" xfId="33268"/>
    <cellStyle name="Labels - Opmaakprofiel3 2 10 6 2 2 4" xfId="27521"/>
    <cellStyle name="Labels - Opmaakprofiel3 2 10 6 2 2 5" xfId="53883"/>
    <cellStyle name="Labels - Opmaakprofiel3 2 10 6 2 3" xfId="14147"/>
    <cellStyle name="Labels - Opmaakprofiel3 2 10 6 2 4" xfId="26199"/>
    <cellStyle name="Labels - Opmaakprofiel3 2 10 6 2 5" xfId="40138"/>
    <cellStyle name="Labels - Opmaakprofiel3 2 10 6 2 6" xfId="47819"/>
    <cellStyle name="Labels - Opmaakprofiel3 2 10 6 3" xfId="3209"/>
    <cellStyle name="Labels - Opmaakprofiel3 2 10 6 3 2" xfId="8919"/>
    <cellStyle name="Labels - Opmaakprofiel3 2 10 6 3 2 2" xfId="21217"/>
    <cellStyle name="Labels - Opmaakprofiel3 2 10 6 3 2 3" xfId="33269"/>
    <cellStyle name="Labels - Opmaakprofiel3 2 10 6 3 2 4" xfId="42908"/>
    <cellStyle name="Labels - Opmaakprofiel3 2 10 6 3 2 5" xfId="53884"/>
    <cellStyle name="Labels - Opmaakprofiel3 2 10 6 3 3" xfId="14148"/>
    <cellStyle name="Labels - Opmaakprofiel3 2 10 6 3 4" xfId="26200"/>
    <cellStyle name="Labels - Opmaakprofiel3 2 10 6 3 5" xfId="40137"/>
    <cellStyle name="Labels - Opmaakprofiel3 2 10 6 3 6" xfId="47820"/>
    <cellStyle name="Labels - Opmaakprofiel3 2 10 6 4" xfId="4026"/>
    <cellStyle name="Labels - Opmaakprofiel3 2 10 6 4 2" xfId="8920"/>
    <cellStyle name="Labels - Opmaakprofiel3 2 10 6 4 2 2" xfId="21218"/>
    <cellStyle name="Labels - Opmaakprofiel3 2 10 6 4 2 3" xfId="33270"/>
    <cellStyle name="Labels - Opmaakprofiel3 2 10 6 4 2 4" xfId="27522"/>
    <cellStyle name="Labels - Opmaakprofiel3 2 10 6 4 2 5" xfId="53885"/>
    <cellStyle name="Labels - Opmaakprofiel3 2 10 6 4 3" xfId="14149"/>
    <cellStyle name="Labels - Opmaakprofiel3 2 10 6 4 4" xfId="26201"/>
    <cellStyle name="Labels - Opmaakprofiel3 2 10 6 4 5" xfId="40136"/>
    <cellStyle name="Labels - Opmaakprofiel3 2 10 6 4 6" xfId="47821"/>
    <cellStyle name="Labels - Opmaakprofiel3 2 10 6 5" xfId="4852"/>
    <cellStyle name="Labels - Opmaakprofiel3 2 10 6 5 2" xfId="8921"/>
    <cellStyle name="Labels - Opmaakprofiel3 2 10 6 5 2 2" xfId="21219"/>
    <cellStyle name="Labels - Opmaakprofiel3 2 10 6 5 2 3" xfId="33271"/>
    <cellStyle name="Labels - Opmaakprofiel3 2 10 6 5 2 4" xfId="42907"/>
    <cellStyle name="Labels - Opmaakprofiel3 2 10 6 5 2 5" xfId="53886"/>
    <cellStyle name="Labels - Opmaakprofiel3 2 10 6 5 3" xfId="14150"/>
    <cellStyle name="Labels - Opmaakprofiel3 2 10 6 5 4" xfId="26202"/>
    <cellStyle name="Labels - Opmaakprofiel3 2 10 6 5 5" xfId="45803"/>
    <cellStyle name="Labels - Opmaakprofiel3 2 10 6 5 6" xfId="47822"/>
    <cellStyle name="Labels - Opmaakprofiel3 2 10 6 6" xfId="4853"/>
    <cellStyle name="Labels - Opmaakprofiel3 2 10 6 6 2" xfId="8922"/>
    <cellStyle name="Labels - Opmaakprofiel3 2 10 6 6 2 2" xfId="21220"/>
    <cellStyle name="Labels - Opmaakprofiel3 2 10 6 6 2 3" xfId="33272"/>
    <cellStyle name="Labels - Opmaakprofiel3 2 10 6 6 2 4" xfId="27523"/>
    <cellStyle name="Labels - Opmaakprofiel3 2 10 6 6 2 5" xfId="53887"/>
    <cellStyle name="Labels - Opmaakprofiel3 2 10 6 6 3" xfId="14151"/>
    <cellStyle name="Labels - Opmaakprofiel3 2 10 6 6 4" xfId="26203"/>
    <cellStyle name="Labels - Opmaakprofiel3 2 10 6 6 5" xfId="40135"/>
    <cellStyle name="Labels - Opmaakprofiel3 2 10 6 6 6" xfId="47823"/>
    <cellStyle name="Labels - Opmaakprofiel3 2 10 6 7" xfId="4854"/>
    <cellStyle name="Labels - Opmaakprofiel3 2 10 6 7 2" xfId="14152"/>
    <cellStyle name="Labels - Opmaakprofiel3 2 10 6 7 3" xfId="26204"/>
    <cellStyle name="Labels - Opmaakprofiel3 2 10 6 7 4" xfId="45802"/>
    <cellStyle name="Labels - Opmaakprofiel3 2 10 6 7 5" xfId="47824"/>
    <cellStyle name="Labels - Opmaakprofiel3 2 10 6 8" xfId="7174"/>
    <cellStyle name="Labels - Opmaakprofiel3 2 10 6 8 2" xfId="19472"/>
    <cellStyle name="Labels - Opmaakprofiel3 2 10 6 8 3" xfId="41275"/>
    <cellStyle name="Labels - Opmaakprofiel3 2 10 6 8 4" xfId="43619"/>
    <cellStyle name="Labels - Opmaakprofiel3 2 10 6 8 5" xfId="52144"/>
    <cellStyle name="Labels - Opmaakprofiel3 2 10 6 9" xfId="14146"/>
    <cellStyle name="Labels - Opmaakprofiel3 2 10 7" xfId="1530"/>
    <cellStyle name="Labels - Opmaakprofiel3 2 10 7 2" xfId="8923"/>
    <cellStyle name="Labels - Opmaakprofiel3 2 10 7 2 2" xfId="21221"/>
    <cellStyle name="Labels - Opmaakprofiel3 2 10 7 2 3" xfId="33273"/>
    <cellStyle name="Labels - Opmaakprofiel3 2 10 7 2 4" xfId="27524"/>
    <cellStyle name="Labels - Opmaakprofiel3 2 10 7 2 5" xfId="53888"/>
    <cellStyle name="Labels - Opmaakprofiel3 2 10 7 3" xfId="14153"/>
    <cellStyle name="Labels - Opmaakprofiel3 2 10 7 4" xfId="26205"/>
    <cellStyle name="Labels - Opmaakprofiel3 2 10 7 5" xfId="40134"/>
    <cellStyle name="Labels - Opmaakprofiel3 2 10 7 6" xfId="47825"/>
    <cellStyle name="Labels - Opmaakprofiel3 2 10 8" xfId="2767"/>
    <cellStyle name="Labels - Opmaakprofiel3 2 10 8 2" xfId="8924"/>
    <cellStyle name="Labels - Opmaakprofiel3 2 10 8 2 2" xfId="21222"/>
    <cellStyle name="Labels - Opmaakprofiel3 2 10 8 2 3" xfId="33274"/>
    <cellStyle name="Labels - Opmaakprofiel3 2 10 8 2 4" xfId="27525"/>
    <cellStyle name="Labels - Opmaakprofiel3 2 10 8 2 5" xfId="53889"/>
    <cellStyle name="Labels - Opmaakprofiel3 2 10 8 3" xfId="14154"/>
    <cellStyle name="Labels - Opmaakprofiel3 2 10 8 4" xfId="26206"/>
    <cellStyle name="Labels - Opmaakprofiel3 2 10 8 5" xfId="40133"/>
    <cellStyle name="Labels - Opmaakprofiel3 2 10 8 6" xfId="47826"/>
    <cellStyle name="Labels - Opmaakprofiel3 2 10 9" xfId="3629"/>
    <cellStyle name="Labels - Opmaakprofiel3 2 10 9 2" xfId="8925"/>
    <cellStyle name="Labels - Opmaakprofiel3 2 10 9 2 2" xfId="21223"/>
    <cellStyle name="Labels - Opmaakprofiel3 2 10 9 2 3" xfId="33275"/>
    <cellStyle name="Labels - Opmaakprofiel3 2 10 9 2 4" xfId="42906"/>
    <cellStyle name="Labels - Opmaakprofiel3 2 10 9 2 5" xfId="53890"/>
    <cellStyle name="Labels - Opmaakprofiel3 2 10 9 3" xfId="14155"/>
    <cellStyle name="Labels - Opmaakprofiel3 2 10 9 4" xfId="26207"/>
    <cellStyle name="Labels - Opmaakprofiel3 2 10 9 5" xfId="45801"/>
    <cellStyle name="Labels - Opmaakprofiel3 2 10 9 6" xfId="47827"/>
    <cellStyle name="Labels - Opmaakprofiel3 2 11" xfId="692"/>
    <cellStyle name="Labels - Opmaakprofiel3 2 11 10" xfId="4855"/>
    <cellStyle name="Labels - Opmaakprofiel3 2 11 10 2" xfId="8926"/>
    <cellStyle name="Labels - Opmaakprofiel3 2 11 10 2 2" xfId="21224"/>
    <cellStyle name="Labels - Opmaakprofiel3 2 11 10 2 3" xfId="33276"/>
    <cellStyle name="Labels - Opmaakprofiel3 2 11 10 2 4" xfId="27526"/>
    <cellStyle name="Labels - Opmaakprofiel3 2 11 10 2 5" xfId="53891"/>
    <cellStyle name="Labels - Opmaakprofiel3 2 11 10 3" xfId="14157"/>
    <cellStyle name="Labels - Opmaakprofiel3 2 11 10 4" xfId="26209"/>
    <cellStyle name="Labels - Opmaakprofiel3 2 11 10 5" xfId="45800"/>
    <cellStyle name="Labels - Opmaakprofiel3 2 11 10 6" xfId="47828"/>
    <cellStyle name="Labels - Opmaakprofiel3 2 11 11" xfId="4856"/>
    <cellStyle name="Labels - Opmaakprofiel3 2 11 11 2" xfId="8927"/>
    <cellStyle name="Labels - Opmaakprofiel3 2 11 11 2 2" xfId="21225"/>
    <cellStyle name="Labels - Opmaakprofiel3 2 11 11 2 3" xfId="33277"/>
    <cellStyle name="Labels - Opmaakprofiel3 2 11 11 2 4" xfId="42905"/>
    <cellStyle name="Labels - Opmaakprofiel3 2 11 11 2 5" xfId="53892"/>
    <cellStyle name="Labels - Opmaakprofiel3 2 11 11 3" xfId="14158"/>
    <cellStyle name="Labels - Opmaakprofiel3 2 11 11 4" xfId="26210"/>
    <cellStyle name="Labels - Opmaakprofiel3 2 11 11 5" xfId="40131"/>
    <cellStyle name="Labels - Opmaakprofiel3 2 11 11 6" xfId="47829"/>
    <cellStyle name="Labels - Opmaakprofiel3 2 11 12" xfId="4857"/>
    <cellStyle name="Labels - Opmaakprofiel3 2 11 12 2" xfId="14159"/>
    <cellStyle name="Labels - Opmaakprofiel3 2 11 12 3" xfId="26211"/>
    <cellStyle name="Labels - Opmaakprofiel3 2 11 12 4" xfId="45799"/>
    <cellStyle name="Labels - Opmaakprofiel3 2 11 12 5" xfId="47830"/>
    <cellStyle name="Labels - Opmaakprofiel3 2 11 13" xfId="10207"/>
    <cellStyle name="Labels - Opmaakprofiel3 2 11 13 2" xfId="22505"/>
    <cellStyle name="Labels - Opmaakprofiel3 2 11 13 3" xfId="44268"/>
    <cellStyle name="Labels - Opmaakprofiel3 2 11 13 4" xfId="28826"/>
    <cellStyle name="Labels - Opmaakprofiel3 2 11 13 5" xfId="55172"/>
    <cellStyle name="Labels - Opmaakprofiel3 2 11 14" xfId="14156"/>
    <cellStyle name="Labels - Opmaakprofiel3 2 11 2" xfId="865"/>
    <cellStyle name="Labels - Opmaakprofiel3 2 11 2 2" xfId="1434"/>
    <cellStyle name="Labels - Opmaakprofiel3 2 11 2 2 2" xfId="8928"/>
    <cellStyle name="Labels - Opmaakprofiel3 2 11 2 2 2 2" xfId="21226"/>
    <cellStyle name="Labels - Opmaakprofiel3 2 11 2 2 2 3" xfId="33278"/>
    <cellStyle name="Labels - Opmaakprofiel3 2 11 2 2 2 4" xfId="27527"/>
    <cellStyle name="Labels - Opmaakprofiel3 2 11 2 2 2 5" xfId="53893"/>
    <cellStyle name="Labels - Opmaakprofiel3 2 11 2 2 3" xfId="14161"/>
    <cellStyle name="Labels - Opmaakprofiel3 2 11 2 2 4" xfId="26213"/>
    <cellStyle name="Labels - Opmaakprofiel3 2 11 2 2 5" xfId="40129"/>
    <cellStyle name="Labels - Opmaakprofiel3 2 11 2 2 6" xfId="47831"/>
    <cellStyle name="Labels - Opmaakprofiel3 2 11 2 3" xfId="2876"/>
    <cellStyle name="Labels - Opmaakprofiel3 2 11 2 3 2" xfId="8929"/>
    <cellStyle name="Labels - Opmaakprofiel3 2 11 2 3 2 2" xfId="21227"/>
    <cellStyle name="Labels - Opmaakprofiel3 2 11 2 3 2 3" xfId="33279"/>
    <cellStyle name="Labels - Opmaakprofiel3 2 11 2 3 2 4" xfId="42904"/>
    <cellStyle name="Labels - Opmaakprofiel3 2 11 2 3 2 5" xfId="53894"/>
    <cellStyle name="Labels - Opmaakprofiel3 2 11 2 3 3" xfId="14162"/>
    <cellStyle name="Labels - Opmaakprofiel3 2 11 2 3 4" xfId="26214"/>
    <cellStyle name="Labels - Opmaakprofiel3 2 11 2 3 5" xfId="45798"/>
    <cellStyle name="Labels - Opmaakprofiel3 2 11 2 3 6" xfId="47832"/>
    <cellStyle name="Labels - Opmaakprofiel3 2 11 2 4" xfId="3729"/>
    <cellStyle name="Labels - Opmaakprofiel3 2 11 2 4 2" xfId="8930"/>
    <cellStyle name="Labels - Opmaakprofiel3 2 11 2 4 2 2" xfId="21228"/>
    <cellStyle name="Labels - Opmaakprofiel3 2 11 2 4 2 3" xfId="33280"/>
    <cellStyle name="Labels - Opmaakprofiel3 2 11 2 4 2 4" xfId="27528"/>
    <cellStyle name="Labels - Opmaakprofiel3 2 11 2 4 2 5" xfId="53895"/>
    <cellStyle name="Labels - Opmaakprofiel3 2 11 2 4 3" xfId="14163"/>
    <cellStyle name="Labels - Opmaakprofiel3 2 11 2 4 4" xfId="26215"/>
    <cellStyle name="Labels - Opmaakprofiel3 2 11 2 4 5" xfId="40128"/>
    <cellStyle name="Labels - Opmaakprofiel3 2 11 2 4 6" xfId="47833"/>
    <cellStyle name="Labels - Opmaakprofiel3 2 11 2 5" xfId="4858"/>
    <cellStyle name="Labels - Opmaakprofiel3 2 11 2 5 2" xfId="8931"/>
    <cellStyle name="Labels - Opmaakprofiel3 2 11 2 5 2 2" xfId="21229"/>
    <cellStyle name="Labels - Opmaakprofiel3 2 11 2 5 2 3" xfId="33281"/>
    <cellStyle name="Labels - Opmaakprofiel3 2 11 2 5 2 4" xfId="42903"/>
    <cellStyle name="Labels - Opmaakprofiel3 2 11 2 5 2 5" xfId="53896"/>
    <cellStyle name="Labels - Opmaakprofiel3 2 11 2 5 3" xfId="14164"/>
    <cellStyle name="Labels - Opmaakprofiel3 2 11 2 5 4" xfId="26216"/>
    <cellStyle name="Labels - Opmaakprofiel3 2 11 2 5 5" xfId="45797"/>
    <cellStyle name="Labels - Opmaakprofiel3 2 11 2 5 6" xfId="47834"/>
    <cellStyle name="Labels - Opmaakprofiel3 2 11 2 6" xfId="4859"/>
    <cellStyle name="Labels - Opmaakprofiel3 2 11 2 6 2" xfId="8932"/>
    <cellStyle name="Labels - Opmaakprofiel3 2 11 2 6 2 2" xfId="21230"/>
    <cellStyle name="Labels - Opmaakprofiel3 2 11 2 6 2 3" xfId="33282"/>
    <cellStyle name="Labels - Opmaakprofiel3 2 11 2 6 2 4" xfId="27529"/>
    <cellStyle name="Labels - Opmaakprofiel3 2 11 2 6 2 5" xfId="53897"/>
    <cellStyle name="Labels - Opmaakprofiel3 2 11 2 6 3" xfId="14165"/>
    <cellStyle name="Labels - Opmaakprofiel3 2 11 2 6 4" xfId="26217"/>
    <cellStyle name="Labels - Opmaakprofiel3 2 11 2 6 5" xfId="40127"/>
    <cellStyle name="Labels - Opmaakprofiel3 2 11 2 6 6" xfId="47835"/>
    <cellStyle name="Labels - Opmaakprofiel3 2 11 2 7" xfId="4860"/>
    <cellStyle name="Labels - Opmaakprofiel3 2 11 2 7 2" xfId="14166"/>
    <cellStyle name="Labels - Opmaakprofiel3 2 11 2 7 3" xfId="26218"/>
    <cellStyle name="Labels - Opmaakprofiel3 2 11 2 7 4" xfId="45796"/>
    <cellStyle name="Labels - Opmaakprofiel3 2 11 2 7 5" xfId="47836"/>
    <cellStyle name="Labels - Opmaakprofiel3 2 11 2 8" xfId="7402"/>
    <cellStyle name="Labels - Opmaakprofiel3 2 11 2 8 2" xfId="19700"/>
    <cellStyle name="Labels - Opmaakprofiel3 2 11 2 8 3" xfId="41503"/>
    <cellStyle name="Labels - Opmaakprofiel3 2 11 2 8 4" xfId="12480"/>
    <cellStyle name="Labels - Opmaakprofiel3 2 11 2 8 5" xfId="52372"/>
    <cellStyle name="Labels - Opmaakprofiel3 2 11 2 9" xfId="14160"/>
    <cellStyle name="Labels - Opmaakprofiel3 2 11 3" xfId="525"/>
    <cellStyle name="Labels - Opmaakprofiel3 2 11 3 2" xfId="1752"/>
    <cellStyle name="Labels - Opmaakprofiel3 2 11 3 2 2" xfId="8933"/>
    <cellStyle name="Labels - Opmaakprofiel3 2 11 3 2 2 2" xfId="21231"/>
    <cellStyle name="Labels - Opmaakprofiel3 2 11 3 2 2 3" xfId="33283"/>
    <cellStyle name="Labels - Opmaakprofiel3 2 11 3 2 2 4" xfId="42902"/>
    <cellStyle name="Labels - Opmaakprofiel3 2 11 3 2 2 5" xfId="53898"/>
    <cellStyle name="Labels - Opmaakprofiel3 2 11 3 2 3" xfId="14168"/>
    <cellStyle name="Labels - Opmaakprofiel3 2 11 3 2 4" xfId="26220"/>
    <cellStyle name="Labels - Opmaakprofiel3 2 11 3 2 5" xfId="45795"/>
    <cellStyle name="Labels - Opmaakprofiel3 2 11 3 2 6" xfId="47837"/>
    <cellStyle name="Labels - Opmaakprofiel3 2 11 3 3" xfId="2596"/>
    <cellStyle name="Labels - Opmaakprofiel3 2 11 3 3 2" xfId="8934"/>
    <cellStyle name="Labels - Opmaakprofiel3 2 11 3 3 2 2" xfId="21232"/>
    <cellStyle name="Labels - Opmaakprofiel3 2 11 3 3 2 3" xfId="33284"/>
    <cellStyle name="Labels - Opmaakprofiel3 2 11 3 3 2 4" xfId="27530"/>
    <cellStyle name="Labels - Opmaakprofiel3 2 11 3 3 2 5" xfId="53899"/>
    <cellStyle name="Labels - Opmaakprofiel3 2 11 3 3 3" xfId="14169"/>
    <cellStyle name="Labels - Opmaakprofiel3 2 11 3 3 4" xfId="26221"/>
    <cellStyle name="Labels - Opmaakprofiel3 2 11 3 3 5" xfId="40125"/>
    <cellStyle name="Labels - Opmaakprofiel3 2 11 3 3 6" xfId="47838"/>
    <cellStyle name="Labels - Opmaakprofiel3 2 11 3 4" xfId="3477"/>
    <cellStyle name="Labels - Opmaakprofiel3 2 11 3 4 2" xfId="8935"/>
    <cellStyle name="Labels - Opmaakprofiel3 2 11 3 4 2 2" xfId="21233"/>
    <cellStyle name="Labels - Opmaakprofiel3 2 11 3 4 2 3" xfId="33285"/>
    <cellStyle name="Labels - Opmaakprofiel3 2 11 3 4 2 4" xfId="27531"/>
    <cellStyle name="Labels - Opmaakprofiel3 2 11 3 4 2 5" xfId="53900"/>
    <cellStyle name="Labels - Opmaakprofiel3 2 11 3 4 3" xfId="14170"/>
    <cellStyle name="Labels - Opmaakprofiel3 2 11 3 4 4" xfId="26222"/>
    <cellStyle name="Labels - Opmaakprofiel3 2 11 3 4 5" xfId="45794"/>
    <cellStyle name="Labels - Opmaakprofiel3 2 11 3 4 6" xfId="47839"/>
    <cellStyle name="Labels - Opmaakprofiel3 2 11 3 5" xfId="4861"/>
    <cellStyle name="Labels - Opmaakprofiel3 2 11 3 5 2" xfId="8936"/>
    <cellStyle name="Labels - Opmaakprofiel3 2 11 3 5 2 2" xfId="21234"/>
    <cellStyle name="Labels - Opmaakprofiel3 2 11 3 5 2 3" xfId="33286"/>
    <cellStyle name="Labels - Opmaakprofiel3 2 11 3 5 2 4" xfId="27532"/>
    <cellStyle name="Labels - Opmaakprofiel3 2 11 3 5 2 5" xfId="53901"/>
    <cellStyle name="Labels - Opmaakprofiel3 2 11 3 5 3" xfId="14171"/>
    <cellStyle name="Labels - Opmaakprofiel3 2 11 3 5 4" xfId="26223"/>
    <cellStyle name="Labels - Opmaakprofiel3 2 11 3 5 5" xfId="40124"/>
    <cellStyle name="Labels - Opmaakprofiel3 2 11 3 5 6" xfId="47840"/>
    <cellStyle name="Labels - Opmaakprofiel3 2 11 3 6" xfId="4862"/>
    <cellStyle name="Labels - Opmaakprofiel3 2 11 3 6 2" xfId="8937"/>
    <cellStyle name="Labels - Opmaakprofiel3 2 11 3 6 2 2" xfId="21235"/>
    <cellStyle name="Labels - Opmaakprofiel3 2 11 3 6 2 3" xfId="33287"/>
    <cellStyle name="Labels - Opmaakprofiel3 2 11 3 6 2 4" xfId="42901"/>
    <cellStyle name="Labels - Opmaakprofiel3 2 11 3 6 2 5" xfId="53902"/>
    <cellStyle name="Labels - Opmaakprofiel3 2 11 3 6 3" xfId="14172"/>
    <cellStyle name="Labels - Opmaakprofiel3 2 11 3 6 4" xfId="26224"/>
    <cellStyle name="Labels - Opmaakprofiel3 2 11 3 6 5" xfId="40123"/>
    <cellStyle name="Labels - Opmaakprofiel3 2 11 3 6 6" xfId="47841"/>
    <cellStyle name="Labels - Opmaakprofiel3 2 11 3 7" xfId="4863"/>
    <cellStyle name="Labels - Opmaakprofiel3 2 11 3 7 2" xfId="14173"/>
    <cellStyle name="Labels - Opmaakprofiel3 2 11 3 7 3" xfId="26225"/>
    <cellStyle name="Labels - Opmaakprofiel3 2 11 3 7 4" xfId="40122"/>
    <cellStyle name="Labels - Opmaakprofiel3 2 11 3 7 5" xfId="47842"/>
    <cellStyle name="Labels - Opmaakprofiel3 2 11 3 8" xfId="10319"/>
    <cellStyle name="Labels - Opmaakprofiel3 2 11 3 8 2" xfId="22617"/>
    <cellStyle name="Labels - Opmaakprofiel3 2 11 3 8 3" xfId="44378"/>
    <cellStyle name="Labels - Opmaakprofiel3 2 11 3 8 4" xfId="29060"/>
    <cellStyle name="Labels - Opmaakprofiel3 2 11 3 8 5" xfId="55284"/>
    <cellStyle name="Labels - Opmaakprofiel3 2 11 3 9" xfId="14167"/>
    <cellStyle name="Labels - Opmaakprofiel3 2 11 4" xfId="647"/>
    <cellStyle name="Labels - Opmaakprofiel3 2 11 4 2" xfId="2396"/>
    <cellStyle name="Labels - Opmaakprofiel3 2 11 4 2 2" xfId="8938"/>
    <cellStyle name="Labels - Opmaakprofiel3 2 11 4 2 2 2" xfId="21236"/>
    <cellStyle name="Labels - Opmaakprofiel3 2 11 4 2 2 3" xfId="33288"/>
    <cellStyle name="Labels - Opmaakprofiel3 2 11 4 2 2 4" xfId="27533"/>
    <cellStyle name="Labels - Opmaakprofiel3 2 11 4 2 2 5" xfId="53903"/>
    <cellStyle name="Labels - Opmaakprofiel3 2 11 4 2 3" xfId="14175"/>
    <cellStyle name="Labels - Opmaakprofiel3 2 11 4 2 4" xfId="26227"/>
    <cellStyle name="Labels - Opmaakprofiel3 2 11 4 2 5" xfId="40121"/>
    <cellStyle name="Labels - Opmaakprofiel3 2 11 4 2 6" xfId="47843"/>
    <cellStyle name="Labels - Opmaakprofiel3 2 11 4 3" xfId="2713"/>
    <cellStyle name="Labels - Opmaakprofiel3 2 11 4 3 2" xfId="8939"/>
    <cellStyle name="Labels - Opmaakprofiel3 2 11 4 3 2 2" xfId="21237"/>
    <cellStyle name="Labels - Opmaakprofiel3 2 11 4 3 2 3" xfId="33289"/>
    <cellStyle name="Labels - Opmaakprofiel3 2 11 4 3 2 4" xfId="42900"/>
    <cellStyle name="Labels - Opmaakprofiel3 2 11 4 3 2 5" xfId="53904"/>
    <cellStyle name="Labels - Opmaakprofiel3 2 11 4 3 3" xfId="14176"/>
    <cellStyle name="Labels - Opmaakprofiel3 2 11 4 3 4" xfId="26228"/>
    <cellStyle name="Labels - Opmaakprofiel3 2 11 4 3 5" xfId="45792"/>
    <cellStyle name="Labels - Opmaakprofiel3 2 11 4 3 6" xfId="47844"/>
    <cellStyle name="Labels - Opmaakprofiel3 2 11 4 4" xfId="3582"/>
    <cellStyle name="Labels - Opmaakprofiel3 2 11 4 4 2" xfId="8940"/>
    <cellStyle name="Labels - Opmaakprofiel3 2 11 4 4 2 2" xfId="21238"/>
    <cellStyle name="Labels - Opmaakprofiel3 2 11 4 4 2 3" xfId="33290"/>
    <cellStyle name="Labels - Opmaakprofiel3 2 11 4 4 2 4" xfId="27534"/>
    <cellStyle name="Labels - Opmaakprofiel3 2 11 4 4 2 5" xfId="53905"/>
    <cellStyle name="Labels - Opmaakprofiel3 2 11 4 4 3" xfId="14177"/>
    <cellStyle name="Labels - Opmaakprofiel3 2 11 4 4 4" xfId="26229"/>
    <cellStyle name="Labels - Opmaakprofiel3 2 11 4 4 5" xfId="40120"/>
    <cellStyle name="Labels - Opmaakprofiel3 2 11 4 4 6" xfId="47845"/>
    <cellStyle name="Labels - Opmaakprofiel3 2 11 4 5" xfId="4864"/>
    <cellStyle name="Labels - Opmaakprofiel3 2 11 4 5 2" xfId="8941"/>
    <cellStyle name="Labels - Opmaakprofiel3 2 11 4 5 2 2" xfId="21239"/>
    <cellStyle name="Labels - Opmaakprofiel3 2 11 4 5 2 3" xfId="33291"/>
    <cellStyle name="Labels - Opmaakprofiel3 2 11 4 5 2 4" xfId="42899"/>
    <cellStyle name="Labels - Opmaakprofiel3 2 11 4 5 2 5" xfId="53906"/>
    <cellStyle name="Labels - Opmaakprofiel3 2 11 4 5 3" xfId="14178"/>
    <cellStyle name="Labels - Opmaakprofiel3 2 11 4 5 4" xfId="26230"/>
    <cellStyle name="Labels - Opmaakprofiel3 2 11 4 5 5" xfId="45791"/>
    <cellStyle name="Labels - Opmaakprofiel3 2 11 4 5 6" xfId="47846"/>
    <cellStyle name="Labels - Opmaakprofiel3 2 11 4 6" xfId="4865"/>
    <cellStyle name="Labels - Opmaakprofiel3 2 11 4 6 2" xfId="8942"/>
    <cellStyle name="Labels - Opmaakprofiel3 2 11 4 6 2 2" xfId="21240"/>
    <cellStyle name="Labels - Opmaakprofiel3 2 11 4 6 2 3" xfId="33292"/>
    <cellStyle name="Labels - Opmaakprofiel3 2 11 4 6 2 4" xfId="27535"/>
    <cellStyle name="Labels - Opmaakprofiel3 2 11 4 6 2 5" xfId="53907"/>
    <cellStyle name="Labels - Opmaakprofiel3 2 11 4 6 3" xfId="14179"/>
    <cellStyle name="Labels - Opmaakprofiel3 2 11 4 6 4" xfId="26231"/>
    <cellStyle name="Labels - Opmaakprofiel3 2 11 4 6 5" xfId="40119"/>
    <cellStyle name="Labels - Opmaakprofiel3 2 11 4 6 6" xfId="47847"/>
    <cellStyle name="Labels - Opmaakprofiel3 2 11 4 7" xfId="4866"/>
    <cellStyle name="Labels - Opmaakprofiel3 2 11 4 7 2" xfId="14180"/>
    <cellStyle name="Labels - Opmaakprofiel3 2 11 4 7 3" xfId="26232"/>
    <cellStyle name="Labels - Opmaakprofiel3 2 11 4 7 4" xfId="45790"/>
    <cellStyle name="Labels - Opmaakprofiel3 2 11 4 7 5" xfId="47848"/>
    <cellStyle name="Labels - Opmaakprofiel3 2 11 4 8" xfId="7551"/>
    <cellStyle name="Labels - Opmaakprofiel3 2 11 4 8 2" xfId="19849"/>
    <cellStyle name="Labels - Opmaakprofiel3 2 11 4 8 3" xfId="41652"/>
    <cellStyle name="Labels - Opmaakprofiel3 2 11 4 8 4" xfId="31511"/>
    <cellStyle name="Labels - Opmaakprofiel3 2 11 4 8 5" xfId="52521"/>
    <cellStyle name="Labels - Opmaakprofiel3 2 11 4 9" xfId="14174"/>
    <cellStyle name="Labels - Opmaakprofiel3 2 11 5" xfId="528"/>
    <cellStyle name="Labels - Opmaakprofiel3 2 11 5 2" xfId="1522"/>
    <cellStyle name="Labels - Opmaakprofiel3 2 11 5 2 2" xfId="8943"/>
    <cellStyle name="Labels - Opmaakprofiel3 2 11 5 2 2 2" xfId="21241"/>
    <cellStyle name="Labels - Opmaakprofiel3 2 11 5 2 2 3" xfId="33293"/>
    <cellStyle name="Labels - Opmaakprofiel3 2 11 5 2 2 4" xfId="42898"/>
    <cellStyle name="Labels - Opmaakprofiel3 2 11 5 2 2 5" xfId="53908"/>
    <cellStyle name="Labels - Opmaakprofiel3 2 11 5 2 3" xfId="14182"/>
    <cellStyle name="Labels - Opmaakprofiel3 2 11 5 2 4" xfId="26234"/>
    <cellStyle name="Labels - Opmaakprofiel3 2 11 5 2 5" xfId="45789"/>
    <cellStyle name="Labels - Opmaakprofiel3 2 11 5 2 6" xfId="47849"/>
    <cellStyle name="Labels - Opmaakprofiel3 2 11 5 3" xfId="2599"/>
    <cellStyle name="Labels - Opmaakprofiel3 2 11 5 3 2" xfId="8944"/>
    <cellStyle name="Labels - Opmaakprofiel3 2 11 5 3 2 2" xfId="21242"/>
    <cellStyle name="Labels - Opmaakprofiel3 2 11 5 3 2 3" xfId="33294"/>
    <cellStyle name="Labels - Opmaakprofiel3 2 11 5 3 2 4" xfId="27536"/>
    <cellStyle name="Labels - Opmaakprofiel3 2 11 5 3 2 5" xfId="53909"/>
    <cellStyle name="Labels - Opmaakprofiel3 2 11 5 3 3" xfId="14183"/>
    <cellStyle name="Labels - Opmaakprofiel3 2 11 5 3 4" xfId="26235"/>
    <cellStyle name="Labels - Opmaakprofiel3 2 11 5 3 5" xfId="40117"/>
    <cellStyle name="Labels - Opmaakprofiel3 2 11 5 3 6" xfId="47850"/>
    <cellStyle name="Labels - Opmaakprofiel3 2 11 5 4" xfId="3480"/>
    <cellStyle name="Labels - Opmaakprofiel3 2 11 5 4 2" xfId="8945"/>
    <cellStyle name="Labels - Opmaakprofiel3 2 11 5 4 2 2" xfId="21243"/>
    <cellStyle name="Labels - Opmaakprofiel3 2 11 5 4 2 3" xfId="33295"/>
    <cellStyle name="Labels - Opmaakprofiel3 2 11 5 4 2 4" xfId="42897"/>
    <cellStyle name="Labels - Opmaakprofiel3 2 11 5 4 2 5" xfId="53910"/>
    <cellStyle name="Labels - Opmaakprofiel3 2 11 5 4 3" xfId="14184"/>
    <cellStyle name="Labels - Opmaakprofiel3 2 11 5 4 4" xfId="26236"/>
    <cellStyle name="Labels - Opmaakprofiel3 2 11 5 4 5" xfId="40116"/>
    <cellStyle name="Labels - Opmaakprofiel3 2 11 5 4 6" xfId="47851"/>
    <cellStyle name="Labels - Opmaakprofiel3 2 11 5 5" xfId="4867"/>
    <cellStyle name="Labels - Opmaakprofiel3 2 11 5 5 2" xfId="8946"/>
    <cellStyle name="Labels - Opmaakprofiel3 2 11 5 5 2 2" xfId="21244"/>
    <cellStyle name="Labels - Opmaakprofiel3 2 11 5 5 2 3" xfId="33296"/>
    <cellStyle name="Labels - Opmaakprofiel3 2 11 5 5 2 4" xfId="27537"/>
    <cellStyle name="Labels - Opmaakprofiel3 2 11 5 5 2 5" xfId="53911"/>
    <cellStyle name="Labels - Opmaakprofiel3 2 11 5 5 3" xfId="14185"/>
    <cellStyle name="Labels - Opmaakprofiel3 2 11 5 5 4" xfId="26237"/>
    <cellStyle name="Labels - Opmaakprofiel3 2 11 5 5 5" xfId="40115"/>
    <cellStyle name="Labels - Opmaakprofiel3 2 11 5 5 6" xfId="47852"/>
    <cellStyle name="Labels - Opmaakprofiel3 2 11 5 6" xfId="4868"/>
    <cellStyle name="Labels - Opmaakprofiel3 2 11 5 6 2" xfId="8947"/>
    <cellStyle name="Labels - Opmaakprofiel3 2 11 5 6 2 2" xfId="21245"/>
    <cellStyle name="Labels - Opmaakprofiel3 2 11 5 6 2 3" xfId="33297"/>
    <cellStyle name="Labels - Opmaakprofiel3 2 11 5 6 2 4" xfId="27538"/>
    <cellStyle name="Labels - Opmaakprofiel3 2 11 5 6 2 5" xfId="53912"/>
    <cellStyle name="Labels - Opmaakprofiel3 2 11 5 6 3" xfId="14186"/>
    <cellStyle name="Labels - Opmaakprofiel3 2 11 5 6 4" xfId="26238"/>
    <cellStyle name="Labels - Opmaakprofiel3 2 11 5 6 5" xfId="45788"/>
    <cellStyle name="Labels - Opmaakprofiel3 2 11 5 6 6" xfId="47853"/>
    <cellStyle name="Labels - Opmaakprofiel3 2 11 5 7" xfId="4869"/>
    <cellStyle name="Labels - Opmaakprofiel3 2 11 5 7 2" xfId="14187"/>
    <cellStyle name="Labels - Opmaakprofiel3 2 11 5 7 3" xfId="26239"/>
    <cellStyle name="Labels - Opmaakprofiel3 2 11 5 7 4" xfId="40114"/>
    <cellStyle name="Labels - Opmaakprofiel3 2 11 5 7 5" xfId="47854"/>
    <cellStyle name="Labels - Opmaakprofiel3 2 11 5 8" xfId="7631"/>
    <cellStyle name="Labels - Opmaakprofiel3 2 11 5 8 2" xfId="19929"/>
    <cellStyle name="Labels - Opmaakprofiel3 2 11 5 8 3" xfId="41732"/>
    <cellStyle name="Labels - Opmaakprofiel3 2 11 5 8 4" xfId="24954"/>
    <cellStyle name="Labels - Opmaakprofiel3 2 11 5 8 5" xfId="52601"/>
    <cellStyle name="Labels - Opmaakprofiel3 2 11 5 9" xfId="14181"/>
    <cellStyle name="Labels - Opmaakprofiel3 2 11 6" xfId="1250"/>
    <cellStyle name="Labels - Opmaakprofiel3 2 11 6 2" xfId="1710"/>
    <cellStyle name="Labels - Opmaakprofiel3 2 11 6 2 2" xfId="8948"/>
    <cellStyle name="Labels - Opmaakprofiel3 2 11 6 2 2 2" xfId="21246"/>
    <cellStyle name="Labels - Opmaakprofiel3 2 11 6 2 2 3" xfId="33298"/>
    <cellStyle name="Labels - Opmaakprofiel3 2 11 6 2 2 4" xfId="27539"/>
    <cellStyle name="Labels - Opmaakprofiel3 2 11 6 2 2 5" xfId="53913"/>
    <cellStyle name="Labels - Opmaakprofiel3 2 11 6 2 3" xfId="14189"/>
    <cellStyle name="Labels - Opmaakprofiel3 2 11 6 2 4" xfId="26241"/>
    <cellStyle name="Labels - Opmaakprofiel3 2 11 6 2 5" xfId="40113"/>
    <cellStyle name="Labels - Opmaakprofiel3 2 11 6 2 6" xfId="47855"/>
    <cellStyle name="Labels - Opmaakprofiel3 2 11 6 3" xfId="3261"/>
    <cellStyle name="Labels - Opmaakprofiel3 2 11 6 3 2" xfId="8949"/>
    <cellStyle name="Labels - Opmaakprofiel3 2 11 6 3 2 2" xfId="21247"/>
    <cellStyle name="Labels - Opmaakprofiel3 2 11 6 3 2 3" xfId="33299"/>
    <cellStyle name="Labels - Opmaakprofiel3 2 11 6 3 2 4" xfId="42896"/>
    <cellStyle name="Labels - Opmaakprofiel3 2 11 6 3 2 5" xfId="53914"/>
    <cellStyle name="Labels - Opmaakprofiel3 2 11 6 3 3" xfId="14190"/>
    <cellStyle name="Labels - Opmaakprofiel3 2 11 6 3 4" xfId="26242"/>
    <cellStyle name="Labels - Opmaakprofiel3 2 11 6 3 5" xfId="45786"/>
    <cellStyle name="Labels - Opmaakprofiel3 2 11 6 3 6" xfId="47856"/>
    <cellStyle name="Labels - Opmaakprofiel3 2 11 6 4" xfId="4073"/>
    <cellStyle name="Labels - Opmaakprofiel3 2 11 6 4 2" xfId="8950"/>
    <cellStyle name="Labels - Opmaakprofiel3 2 11 6 4 2 2" xfId="21248"/>
    <cellStyle name="Labels - Opmaakprofiel3 2 11 6 4 2 3" xfId="33300"/>
    <cellStyle name="Labels - Opmaakprofiel3 2 11 6 4 2 4" xfId="27540"/>
    <cellStyle name="Labels - Opmaakprofiel3 2 11 6 4 2 5" xfId="53915"/>
    <cellStyle name="Labels - Opmaakprofiel3 2 11 6 4 3" xfId="14191"/>
    <cellStyle name="Labels - Opmaakprofiel3 2 11 6 4 4" xfId="26243"/>
    <cellStyle name="Labels - Opmaakprofiel3 2 11 6 4 5" xfId="40112"/>
    <cellStyle name="Labels - Opmaakprofiel3 2 11 6 4 6" xfId="47857"/>
    <cellStyle name="Labels - Opmaakprofiel3 2 11 6 5" xfId="4870"/>
    <cellStyle name="Labels - Opmaakprofiel3 2 11 6 5 2" xfId="8951"/>
    <cellStyle name="Labels - Opmaakprofiel3 2 11 6 5 2 2" xfId="21249"/>
    <cellStyle name="Labels - Opmaakprofiel3 2 11 6 5 2 3" xfId="33301"/>
    <cellStyle name="Labels - Opmaakprofiel3 2 11 6 5 2 4" xfId="42895"/>
    <cellStyle name="Labels - Opmaakprofiel3 2 11 6 5 2 5" xfId="53916"/>
    <cellStyle name="Labels - Opmaakprofiel3 2 11 6 5 3" xfId="14192"/>
    <cellStyle name="Labels - Opmaakprofiel3 2 11 6 5 4" xfId="26244"/>
    <cellStyle name="Labels - Opmaakprofiel3 2 11 6 5 5" xfId="45785"/>
    <cellStyle name="Labels - Opmaakprofiel3 2 11 6 5 6" xfId="47858"/>
    <cellStyle name="Labels - Opmaakprofiel3 2 11 6 6" xfId="4871"/>
    <cellStyle name="Labels - Opmaakprofiel3 2 11 6 6 2" xfId="8952"/>
    <cellStyle name="Labels - Opmaakprofiel3 2 11 6 6 2 2" xfId="21250"/>
    <cellStyle name="Labels - Opmaakprofiel3 2 11 6 6 2 3" xfId="33302"/>
    <cellStyle name="Labels - Opmaakprofiel3 2 11 6 6 2 4" xfId="27541"/>
    <cellStyle name="Labels - Opmaakprofiel3 2 11 6 6 2 5" xfId="53917"/>
    <cellStyle name="Labels - Opmaakprofiel3 2 11 6 6 3" xfId="14193"/>
    <cellStyle name="Labels - Opmaakprofiel3 2 11 6 6 4" xfId="26245"/>
    <cellStyle name="Labels - Opmaakprofiel3 2 11 6 6 5" xfId="40111"/>
    <cellStyle name="Labels - Opmaakprofiel3 2 11 6 6 6" xfId="47859"/>
    <cellStyle name="Labels - Opmaakprofiel3 2 11 6 7" xfId="4872"/>
    <cellStyle name="Labels - Opmaakprofiel3 2 11 6 7 2" xfId="14194"/>
    <cellStyle name="Labels - Opmaakprofiel3 2 11 6 7 3" xfId="26246"/>
    <cellStyle name="Labels - Opmaakprofiel3 2 11 6 7 4" xfId="45784"/>
    <cellStyle name="Labels - Opmaakprofiel3 2 11 6 7 5" xfId="47860"/>
    <cellStyle name="Labels - Opmaakprofiel3 2 11 6 8" xfId="7124"/>
    <cellStyle name="Labels - Opmaakprofiel3 2 11 6 8 2" xfId="19422"/>
    <cellStyle name="Labels - Opmaakprofiel3 2 11 6 8 3" xfId="41225"/>
    <cellStyle name="Labels - Opmaakprofiel3 2 11 6 8 4" xfId="36961"/>
    <cellStyle name="Labels - Opmaakprofiel3 2 11 6 8 5" xfId="52095"/>
    <cellStyle name="Labels - Opmaakprofiel3 2 11 6 9" xfId="14188"/>
    <cellStyle name="Labels - Opmaakprofiel3 2 11 7" xfId="1903"/>
    <cellStyle name="Labels - Opmaakprofiel3 2 11 7 2" xfId="8953"/>
    <cellStyle name="Labels - Opmaakprofiel3 2 11 7 2 2" xfId="21251"/>
    <cellStyle name="Labels - Opmaakprofiel3 2 11 7 2 3" xfId="33303"/>
    <cellStyle name="Labels - Opmaakprofiel3 2 11 7 2 4" xfId="42894"/>
    <cellStyle name="Labels - Opmaakprofiel3 2 11 7 2 5" xfId="53918"/>
    <cellStyle name="Labels - Opmaakprofiel3 2 11 7 3" xfId="14195"/>
    <cellStyle name="Labels - Opmaakprofiel3 2 11 7 4" xfId="26247"/>
    <cellStyle name="Labels - Opmaakprofiel3 2 11 7 5" xfId="40110"/>
    <cellStyle name="Labels - Opmaakprofiel3 2 11 7 6" xfId="47861"/>
    <cellStyle name="Labels - Opmaakprofiel3 2 11 8" xfId="2757"/>
    <cellStyle name="Labels - Opmaakprofiel3 2 11 8 2" xfId="8954"/>
    <cellStyle name="Labels - Opmaakprofiel3 2 11 8 2 2" xfId="21252"/>
    <cellStyle name="Labels - Opmaakprofiel3 2 11 8 2 3" xfId="33304"/>
    <cellStyle name="Labels - Opmaakprofiel3 2 11 8 2 4" xfId="27542"/>
    <cellStyle name="Labels - Opmaakprofiel3 2 11 8 2 5" xfId="53919"/>
    <cellStyle name="Labels - Opmaakprofiel3 2 11 8 3" xfId="14196"/>
    <cellStyle name="Labels - Opmaakprofiel3 2 11 8 4" xfId="26248"/>
    <cellStyle name="Labels - Opmaakprofiel3 2 11 8 5" xfId="40109"/>
    <cellStyle name="Labels - Opmaakprofiel3 2 11 8 6" xfId="47862"/>
    <cellStyle name="Labels - Opmaakprofiel3 2 11 9" xfId="3619"/>
    <cellStyle name="Labels - Opmaakprofiel3 2 11 9 2" xfId="8955"/>
    <cellStyle name="Labels - Opmaakprofiel3 2 11 9 2 2" xfId="21253"/>
    <cellStyle name="Labels - Opmaakprofiel3 2 11 9 2 3" xfId="33305"/>
    <cellStyle name="Labels - Opmaakprofiel3 2 11 9 2 4" xfId="27543"/>
    <cellStyle name="Labels - Opmaakprofiel3 2 11 9 2 5" xfId="53920"/>
    <cellStyle name="Labels - Opmaakprofiel3 2 11 9 3" xfId="14197"/>
    <cellStyle name="Labels - Opmaakprofiel3 2 11 9 4" xfId="26249"/>
    <cellStyle name="Labels - Opmaakprofiel3 2 11 9 5" xfId="40108"/>
    <cellStyle name="Labels - Opmaakprofiel3 2 11 9 6" xfId="47863"/>
    <cellStyle name="Labels - Opmaakprofiel3 2 12" xfId="771"/>
    <cellStyle name="Labels - Opmaakprofiel3 2 12 10" xfId="4873"/>
    <cellStyle name="Labels - Opmaakprofiel3 2 12 10 2" xfId="8956"/>
    <cellStyle name="Labels - Opmaakprofiel3 2 12 10 2 2" xfId="21254"/>
    <cellStyle name="Labels - Opmaakprofiel3 2 12 10 2 3" xfId="33306"/>
    <cellStyle name="Labels - Opmaakprofiel3 2 12 10 2 4" xfId="27544"/>
    <cellStyle name="Labels - Opmaakprofiel3 2 12 10 2 5" xfId="53921"/>
    <cellStyle name="Labels - Opmaakprofiel3 2 12 10 3" xfId="14199"/>
    <cellStyle name="Labels - Opmaakprofiel3 2 12 10 4" xfId="26251"/>
    <cellStyle name="Labels - Opmaakprofiel3 2 12 10 5" xfId="40107"/>
    <cellStyle name="Labels - Opmaakprofiel3 2 12 10 6" xfId="47864"/>
    <cellStyle name="Labels - Opmaakprofiel3 2 12 11" xfId="4874"/>
    <cellStyle name="Labels - Opmaakprofiel3 2 12 11 2" xfId="8957"/>
    <cellStyle name="Labels - Opmaakprofiel3 2 12 11 2 2" xfId="21255"/>
    <cellStyle name="Labels - Opmaakprofiel3 2 12 11 2 3" xfId="33307"/>
    <cellStyle name="Labels - Opmaakprofiel3 2 12 11 2 4" xfId="42893"/>
    <cellStyle name="Labels - Opmaakprofiel3 2 12 11 2 5" xfId="53922"/>
    <cellStyle name="Labels - Opmaakprofiel3 2 12 11 3" xfId="14200"/>
    <cellStyle name="Labels - Opmaakprofiel3 2 12 11 4" xfId="26252"/>
    <cellStyle name="Labels - Opmaakprofiel3 2 12 11 5" xfId="45783"/>
    <cellStyle name="Labels - Opmaakprofiel3 2 12 11 6" xfId="47865"/>
    <cellStyle name="Labels - Opmaakprofiel3 2 12 12" xfId="4875"/>
    <cellStyle name="Labels - Opmaakprofiel3 2 12 12 2" xfId="14201"/>
    <cellStyle name="Labels - Opmaakprofiel3 2 12 12 3" xfId="26253"/>
    <cellStyle name="Labels - Opmaakprofiel3 2 12 12 4" xfId="40106"/>
    <cellStyle name="Labels - Opmaakprofiel3 2 12 12 5" xfId="47866"/>
    <cellStyle name="Labels - Opmaakprofiel3 2 12 13" xfId="7466"/>
    <cellStyle name="Labels - Opmaakprofiel3 2 12 13 2" xfId="19764"/>
    <cellStyle name="Labels - Opmaakprofiel3 2 12 13 3" xfId="41567"/>
    <cellStyle name="Labels - Opmaakprofiel3 2 12 13 4" xfId="43497"/>
    <cellStyle name="Labels - Opmaakprofiel3 2 12 13 5" xfId="52436"/>
    <cellStyle name="Labels - Opmaakprofiel3 2 12 14" xfId="14198"/>
    <cellStyle name="Labels - Opmaakprofiel3 2 12 2" xfId="936"/>
    <cellStyle name="Labels - Opmaakprofiel3 2 12 2 2" xfId="2081"/>
    <cellStyle name="Labels - Opmaakprofiel3 2 12 2 2 2" xfId="8958"/>
    <cellStyle name="Labels - Opmaakprofiel3 2 12 2 2 2 2" xfId="21256"/>
    <cellStyle name="Labels - Opmaakprofiel3 2 12 2 2 2 3" xfId="33308"/>
    <cellStyle name="Labels - Opmaakprofiel3 2 12 2 2 2 4" xfId="27545"/>
    <cellStyle name="Labels - Opmaakprofiel3 2 12 2 2 2 5" xfId="53923"/>
    <cellStyle name="Labels - Opmaakprofiel3 2 12 2 2 3" xfId="14203"/>
    <cellStyle name="Labels - Opmaakprofiel3 2 12 2 2 4" xfId="26255"/>
    <cellStyle name="Labels - Opmaakprofiel3 2 12 2 2 5" xfId="40105"/>
    <cellStyle name="Labels - Opmaakprofiel3 2 12 2 2 6" xfId="47867"/>
    <cellStyle name="Labels - Opmaakprofiel3 2 12 2 3" xfId="2947"/>
    <cellStyle name="Labels - Opmaakprofiel3 2 12 2 3 2" xfId="8959"/>
    <cellStyle name="Labels - Opmaakprofiel3 2 12 2 3 2 2" xfId="21257"/>
    <cellStyle name="Labels - Opmaakprofiel3 2 12 2 3 2 3" xfId="33309"/>
    <cellStyle name="Labels - Opmaakprofiel3 2 12 2 3 2 4" xfId="42892"/>
    <cellStyle name="Labels - Opmaakprofiel3 2 12 2 3 2 5" xfId="53924"/>
    <cellStyle name="Labels - Opmaakprofiel3 2 12 2 3 3" xfId="14204"/>
    <cellStyle name="Labels - Opmaakprofiel3 2 12 2 3 4" xfId="26256"/>
    <cellStyle name="Labels - Opmaakprofiel3 2 12 2 3 5" xfId="45781"/>
    <cellStyle name="Labels - Opmaakprofiel3 2 12 2 3 6" xfId="47868"/>
    <cellStyle name="Labels - Opmaakprofiel3 2 12 2 4" xfId="3795"/>
    <cellStyle name="Labels - Opmaakprofiel3 2 12 2 4 2" xfId="8960"/>
    <cellStyle name="Labels - Opmaakprofiel3 2 12 2 4 2 2" xfId="21258"/>
    <cellStyle name="Labels - Opmaakprofiel3 2 12 2 4 2 3" xfId="33310"/>
    <cellStyle name="Labels - Opmaakprofiel3 2 12 2 4 2 4" xfId="27546"/>
    <cellStyle name="Labels - Opmaakprofiel3 2 12 2 4 2 5" xfId="53925"/>
    <cellStyle name="Labels - Opmaakprofiel3 2 12 2 4 3" xfId="14205"/>
    <cellStyle name="Labels - Opmaakprofiel3 2 12 2 4 4" xfId="26257"/>
    <cellStyle name="Labels - Opmaakprofiel3 2 12 2 4 5" xfId="40104"/>
    <cellStyle name="Labels - Opmaakprofiel3 2 12 2 4 6" xfId="47869"/>
    <cellStyle name="Labels - Opmaakprofiel3 2 12 2 5" xfId="4876"/>
    <cellStyle name="Labels - Opmaakprofiel3 2 12 2 5 2" xfId="8961"/>
    <cellStyle name="Labels - Opmaakprofiel3 2 12 2 5 2 2" xfId="21259"/>
    <cellStyle name="Labels - Opmaakprofiel3 2 12 2 5 2 3" xfId="33311"/>
    <cellStyle name="Labels - Opmaakprofiel3 2 12 2 5 2 4" xfId="42891"/>
    <cellStyle name="Labels - Opmaakprofiel3 2 12 2 5 2 5" xfId="53926"/>
    <cellStyle name="Labels - Opmaakprofiel3 2 12 2 5 3" xfId="14206"/>
    <cellStyle name="Labels - Opmaakprofiel3 2 12 2 5 4" xfId="26258"/>
    <cellStyle name="Labels - Opmaakprofiel3 2 12 2 5 5" xfId="45780"/>
    <cellStyle name="Labels - Opmaakprofiel3 2 12 2 5 6" xfId="47870"/>
    <cellStyle name="Labels - Opmaakprofiel3 2 12 2 6" xfId="4877"/>
    <cellStyle name="Labels - Opmaakprofiel3 2 12 2 6 2" xfId="8962"/>
    <cellStyle name="Labels - Opmaakprofiel3 2 12 2 6 2 2" xfId="21260"/>
    <cellStyle name="Labels - Opmaakprofiel3 2 12 2 6 2 3" xfId="33312"/>
    <cellStyle name="Labels - Opmaakprofiel3 2 12 2 6 2 4" xfId="27547"/>
    <cellStyle name="Labels - Opmaakprofiel3 2 12 2 6 2 5" xfId="53927"/>
    <cellStyle name="Labels - Opmaakprofiel3 2 12 2 6 3" xfId="14207"/>
    <cellStyle name="Labels - Opmaakprofiel3 2 12 2 6 4" xfId="26259"/>
    <cellStyle name="Labels - Opmaakprofiel3 2 12 2 6 5" xfId="40103"/>
    <cellStyle name="Labels - Opmaakprofiel3 2 12 2 6 6" xfId="47871"/>
    <cellStyle name="Labels - Opmaakprofiel3 2 12 2 7" xfId="4878"/>
    <cellStyle name="Labels - Opmaakprofiel3 2 12 2 7 2" xfId="14208"/>
    <cellStyle name="Labels - Opmaakprofiel3 2 12 2 7 3" xfId="26260"/>
    <cellStyle name="Labels - Opmaakprofiel3 2 12 2 7 4" xfId="40102"/>
    <cellStyle name="Labels - Opmaakprofiel3 2 12 2 7 5" xfId="47872"/>
    <cellStyle name="Labels - Opmaakprofiel3 2 12 2 8" xfId="10045"/>
    <cellStyle name="Labels - Opmaakprofiel3 2 12 2 8 2" xfId="22343"/>
    <cellStyle name="Labels - Opmaakprofiel3 2 12 2 8 3" xfId="44107"/>
    <cellStyle name="Labels - Opmaakprofiel3 2 12 2 8 4" xfId="28497"/>
    <cellStyle name="Labels - Opmaakprofiel3 2 12 2 8 5" xfId="55010"/>
    <cellStyle name="Labels - Opmaakprofiel3 2 12 2 9" xfId="14202"/>
    <cellStyle name="Labels - Opmaakprofiel3 2 12 3" xfId="1032"/>
    <cellStyle name="Labels - Opmaakprofiel3 2 12 3 2" xfId="2263"/>
    <cellStyle name="Labels - Opmaakprofiel3 2 12 3 2 2" xfId="8963"/>
    <cellStyle name="Labels - Opmaakprofiel3 2 12 3 2 2 2" xfId="21261"/>
    <cellStyle name="Labels - Opmaakprofiel3 2 12 3 2 2 3" xfId="33313"/>
    <cellStyle name="Labels - Opmaakprofiel3 2 12 3 2 2 4" xfId="42890"/>
    <cellStyle name="Labels - Opmaakprofiel3 2 12 3 2 2 5" xfId="53928"/>
    <cellStyle name="Labels - Opmaakprofiel3 2 12 3 2 3" xfId="14210"/>
    <cellStyle name="Labels - Opmaakprofiel3 2 12 3 2 4" xfId="26262"/>
    <cellStyle name="Labels - Opmaakprofiel3 2 12 3 2 5" xfId="45779"/>
    <cellStyle name="Labels - Opmaakprofiel3 2 12 3 2 6" xfId="47873"/>
    <cellStyle name="Labels - Opmaakprofiel3 2 12 3 3" xfId="3043"/>
    <cellStyle name="Labels - Opmaakprofiel3 2 12 3 3 2" xfId="8964"/>
    <cellStyle name="Labels - Opmaakprofiel3 2 12 3 3 2 2" xfId="21262"/>
    <cellStyle name="Labels - Opmaakprofiel3 2 12 3 3 2 3" xfId="33314"/>
    <cellStyle name="Labels - Opmaakprofiel3 2 12 3 3 2 4" xfId="27548"/>
    <cellStyle name="Labels - Opmaakprofiel3 2 12 3 3 2 5" xfId="53929"/>
    <cellStyle name="Labels - Opmaakprofiel3 2 12 3 3 3" xfId="14211"/>
    <cellStyle name="Labels - Opmaakprofiel3 2 12 3 3 4" xfId="26263"/>
    <cellStyle name="Labels - Opmaakprofiel3 2 12 3 3 5" xfId="40100"/>
    <cellStyle name="Labels - Opmaakprofiel3 2 12 3 3 6" xfId="47874"/>
    <cellStyle name="Labels - Opmaakprofiel3 2 12 3 4" xfId="3885"/>
    <cellStyle name="Labels - Opmaakprofiel3 2 12 3 4 2" xfId="8965"/>
    <cellStyle name="Labels - Opmaakprofiel3 2 12 3 4 2 2" xfId="21263"/>
    <cellStyle name="Labels - Opmaakprofiel3 2 12 3 4 2 3" xfId="33315"/>
    <cellStyle name="Labels - Opmaakprofiel3 2 12 3 4 2 4" xfId="42889"/>
    <cellStyle name="Labels - Opmaakprofiel3 2 12 3 4 2 5" xfId="53930"/>
    <cellStyle name="Labels - Opmaakprofiel3 2 12 3 4 3" xfId="14212"/>
    <cellStyle name="Labels - Opmaakprofiel3 2 12 3 4 4" xfId="26264"/>
    <cellStyle name="Labels - Opmaakprofiel3 2 12 3 4 5" xfId="45778"/>
    <cellStyle name="Labels - Opmaakprofiel3 2 12 3 4 6" xfId="47875"/>
    <cellStyle name="Labels - Opmaakprofiel3 2 12 3 5" xfId="4879"/>
    <cellStyle name="Labels - Opmaakprofiel3 2 12 3 5 2" xfId="8966"/>
    <cellStyle name="Labels - Opmaakprofiel3 2 12 3 5 2 2" xfId="21264"/>
    <cellStyle name="Labels - Opmaakprofiel3 2 12 3 5 2 3" xfId="33316"/>
    <cellStyle name="Labels - Opmaakprofiel3 2 12 3 5 2 4" xfId="27549"/>
    <cellStyle name="Labels - Opmaakprofiel3 2 12 3 5 2 5" xfId="53931"/>
    <cellStyle name="Labels - Opmaakprofiel3 2 12 3 5 3" xfId="14213"/>
    <cellStyle name="Labels - Opmaakprofiel3 2 12 3 5 4" xfId="26265"/>
    <cellStyle name="Labels - Opmaakprofiel3 2 12 3 5 5" xfId="40099"/>
    <cellStyle name="Labels - Opmaakprofiel3 2 12 3 5 6" xfId="47876"/>
    <cellStyle name="Labels - Opmaakprofiel3 2 12 3 6" xfId="4880"/>
    <cellStyle name="Labels - Opmaakprofiel3 2 12 3 6 2" xfId="8967"/>
    <cellStyle name="Labels - Opmaakprofiel3 2 12 3 6 2 2" xfId="21265"/>
    <cellStyle name="Labels - Opmaakprofiel3 2 12 3 6 2 3" xfId="33317"/>
    <cellStyle name="Labels - Opmaakprofiel3 2 12 3 6 2 4" xfId="27550"/>
    <cellStyle name="Labels - Opmaakprofiel3 2 12 3 6 2 5" xfId="53932"/>
    <cellStyle name="Labels - Opmaakprofiel3 2 12 3 6 3" xfId="14214"/>
    <cellStyle name="Labels - Opmaakprofiel3 2 12 3 6 4" xfId="26266"/>
    <cellStyle name="Labels - Opmaakprofiel3 2 12 3 6 5" xfId="45777"/>
    <cellStyle name="Labels - Opmaakprofiel3 2 12 3 6 6" xfId="47877"/>
    <cellStyle name="Labels - Opmaakprofiel3 2 12 3 7" xfId="4881"/>
    <cellStyle name="Labels - Opmaakprofiel3 2 12 3 7 2" xfId="14215"/>
    <cellStyle name="Labels - Opmaakprofiel3 2 12 3 7 3" xfId="26267"/>
    <cellStyle name="Labels - Opmaakprofiel3 2 12 3 7 4" xfId="40098"/>
    <cellStyle name="Labels - Opmaakprofiel3 2 12 3 7 5" xfId="47878"/>
    <cellStyle name="Labels - Opmaakprofiel3 2 12 3 8" xfId="7288"/>
    <cellStyle name="Labels - Opmaakprofiel3 2 12 3 8 2" xfId="19586"/>
    <cellStyle name="Labels - Opmaakprofiel3 2 12 3 8 3" xfId="41389"/>
    <cellStyle name="Labels - Opmaakprofiel3 2 12 3 8 4" xfId="36866"/>
    <cellStyle name="Labels - Opmaakprofiel3 2 12 3 8 5" xfId="52258"/>
    <cellStyle name="Labels - Opmaakprofiel3 2 12 3 9" xfId="14209"/>
    <cellStyle name="Labels - Opmaakprofiel3 2 12 4" xfId="1109"/>
    <cellStyle name="Labels - Opmaakprofiel3 2 12 4 2" xfId="2399"/>
    <cellStyle name="Labels - Opmaakprofiel3 2 12 4 2 2" xfId="8968"/>
    <cellStyle name="Labels - Opmaakprofiel3 2 12 4 2 2 2" xfId="21266"/>
    <cellStyle name="Labels - Opmaakprofiel3 2 12 4 2 2 3" xfId="33318"/>
    <cellStyle name="Labels - Opmaakprofiel3 2 12 4 2 2 4" xfId="27551"/>
    <cellStyle name="Labels - Opmaakprofiel3 2 12 4 2 2 5" xfId="53933"/>
    <cellStyle name="Labels - Opmaakprofiel3 2 12 4 2 3" xfId="14217"/>
    <cellStyle name="Labels - Opmaakprofiel3 2 12 4 2 4" xfId="26269"/>
    <cellStyle name="Labels - Opmaakprofiel3 2 12 4 2 5" xfId="40097"/>
    <cellStyle name="Labels - Opmaakprofiel3 2 12 4 2 6" xfId="47879"/>
    <cellStyle name="Labels - Opmaakprofiel3 2 12 4 3" xfId="3120"/>
    <cellStyle name="Labels - Opmaakprofiel3 2 12 4 3 2" xfId="8969"/>
    <cellStyle name="Labels - Opmaakprofiel3 2 12 4 3 2 2" xfId="21267"/>
    <cellStyle name="Labels - Opmaakprofiel3 2 12 4 3 2 3" xfId="33319"/>
    <cellStyle name="Labels - Opmaakprofiel3 2 12 4 3 2 4" xfId="42888"/>
    <cellStyle name="Labels - Opmaakprofiel3 2 12 4 3 2 5" xfId="53934"/>
    <cellStyle name="Labels - Opmaakprofiel3 2 12 4 3 3" xfId="14218"/>
    <cellStyle name="Labels - Opmaakprofiel3 2 12 4 3 4" xfId="26270"/>
    <cellStyle name="Labels - Opmaakprofiel3 2 12 4 3 5" xfId="45775"/>
    <cellStyle name="Labels - Opmaakprofiel3 2 12 4 3 6" xfId="47880"/>
    <cellStyle name="Labels - Opmaakprofiel3 2 12 4 4" xfId="3954"/>
    <cellStyle name="Labels - Opmaakprofiel3 2 12 4 4 2" xfId="8970"/>
    <cellStyle name="Labels - Opmaakprofiel3 2 12 4 4 2 2" xfId="21268"/>
    <cellStyle name="Labels - Opmaakprofiel3 2 12 4 4 2 3" xfId="33320"/>
    <cellStyle name="Labels - Opmaakprofiel3 2 12 4 4 2 4" xfId="27552"/>
    <cellStyle name="Labels - Opmaakprofiel3 2 12 4 4 2 5" xfId="53935"/>
    <cellStyle name="Labels - Opmaakprofiel3 2 12 4 4 3" xfId="14219"/>
    <cellStyle name="Labels - Opmaakprofiel3 2 12 4 4 4" xfId="26271"/>
    <cellStyle name="Labels - Opmaakprofiel3 2 12 4 4 5" xfId="40096"/>
    <cellStyle name="Labels - Opmaakprofiel3 2 12 4 4 6" xfId="47881"/>
    <cellStyle name="Labels - Opmaakprofiel3 2 12 4 5" xfId="4882"/>
    <cellStyle name="Labels - Opmaakprofiel3 2 12 4 5 2" xfId="8971"/>
    <cellStyle name="Labels - Opmaakprofiel3 2 12 4 5 2 2" xfId="21269"/>
    <cellStyle name="Labels - Opmaakprofiel3 2 12 4 5 2 3" xfId="33321"/>
    <cellStyle name="Labels - Opmaakprofiel3 2 12 4 5 2 4" xfId="42887"/>
    <cellStyle name="Labels - Opmaakprofiel3 2 12 4 5 2 5" xfId="53936"/>
    <cellStyle name="Labels - Opmaakprofiel3 2 12 4 5 3" xfId="14220"/>
    <cellStyle name="Labels - Opmaakprofiel3 2 12 4 5 4" xfId="26272"/>
    <cellStyle name="Labels - Opmaakprofiel3 2 12 4 5 5" xfId="40095"/>
    <cellStyle name="Labels - Opmaakprofiel3 2 12 4 5 6" xfId="47882"/>
    <cellStyle name="Labels - Opmaakprofiel3 2 12 4 6" xfId="4883"/>
    <cellStyle name="Labels - Opmaakprofiel3 2 12 4 6 2" xfId="8972"/>
    <cellStyle name="Labels - Opmaakprofiel3 2 12 4 6 2 2" xfId="21270"/>
    <cellStyle name="Labels - Opmaakprofiel3 2 12 4 6 2 3" xfId="33322"/>
    <cellStyle name="Labels - Opmaakprofiel3 2 12 4 6 2 4" xfId="27553"/>
    <cellStyle name="Labels - Opmaakprofiel3 2 12 4 6 2 5" xfId="53937"/>
    <cellStyle name="Labels - Opmaakprofiel3 2 12 4 6 3" xfId="14221"/>
    <cellStyle name="Labels - Opmaakprofiel3 2 12 4 6 4" xfId="26273"/>
    <cellStyle name="Labels - Opmaakprofiel3 2 12 4 6 5" xfId="40094"/>
    <cellStyle name="Labels - Opmaakprofiel3 2 12 4 6 6" xfId="47883"/>
    <cellStyle name="Labels - Opmaakprofiel3 2 12 4 7" xfId="4884"/>
    <cellStyle name="Labels - Opmaakprofiel3 2 12 4 7 2" xfId="14222"/>
    <cellStyle name="Labels - Opmaakprofiel3 2 12 4 7 3" xfId="26274"/>
    <cellStyle name="Labels - Opmaakprofiel3 2 12 4 7 4" xfId="45774"/>
    <cellStyle name="Labels - Opmaakprofiel3 2 12 4 7 5" xfId="47884"/>
    <cellStyle name="Labels - Opmaakprofiel3 2 12 4 8" xfId="7236"/>
    <cellStyle name="Labels - Opmaakprofiel3 2 12 4 8 2" xfId="19534"/>
    <cellStyle name="Labels - Opmaakprofiel3 2 12 4 8 3" xfId="41337"/>
    <cellStyle name="Labels - Opmaakprofiel3 2 12 4 8 4" xfId="43593"/>
    <cellStyle name="Labels - Opmaakprofiel3 2 12 4 8 5" xfId="52206"/>
    <cellStyle name="Labels - Opmaakprofiel3 2 12 4 9" xfId="14216"/>
    <cellStyle name="Labels - Opmaakprofiel3 2 12 5" xfId="1204"/>
    <cellStyle name="Labels - Opmaakprofiel3 2 12 5 2" xfId="2078"/>
    <cellStyle name="Labels - Opmaakprofiel3 2 12 5 2 2" xfId="8973"/>
    <cellStyle name="Labels - Opmaakprofiel3 2 12 5 2 2 2" xfId="21271"/>
    <cellStyle name="Labels - Opmaakprofiel3 2 12 5 2 2 3" xfId="33323"/>
    <cellStyle name="Labels - Opmaakprofiel3 2 12 5 2 2 4" xfId="42886"/>
    <cellStyle name="Labels - Opmaakprofiel3 2 12 5 2 2 5" xfId="53938"/>
    <cellStyle name="Labels - Opmaakprofiel3 2 12 5 2 3" xfId="14224"/>
    <cellStyle name="Labels - Opmaakprofiel3 2 12 5 2 4" xfId="26276"/>
    <cellStyle name="Labels - Opmaakprofiel3 2 12 5 2 5" xfId="45773"/>
    <cellStyle name="Labels - Opmaakprofiel3 2 12 5 2 6" xfId="47885"/>
    <cellStyle name="Labels - Opmaakprofiel3 2 12 5 3" xfId="3215"/>
    <cellStyle name="Labels - Opmaakprofiel3 2 12 5 3 2" xfId="8974"/>
    <cellStyle name="Labels - Opmaakprofiel3 2 12 5 3 2 2" xfId="21272"/>
    <cellStyle name="Labels - Opmaakprofiel3 2 12 5 3 2 3" xfId="33324"/>
    <cellStyle name="Labels - Opmaakprofiel3 2 12 5 3 2 4" xfId="27554"/>
    <cellStyle name="Labels - Opmaakprofiel3 2 12 5 3 2 5" xfId="53939"/>
    <cellStyle name="Labels - Opmaakprofiel3 2 12 5 3 3" xfId="14225"/>
    <cellStyle name="Labels - Opmaakprofiel3 2 12 5 3 4" xfId="26277"/>
    <cellStyle name="Labels - Opmaakprofiel3 2 12 5 3 5" xfId="40092"/>
    <cellStyle name="Labels - Opmaakprofiel3 2 12 5 3 6" xfId="47886"/>
    <cellStyle name="Labels - Opmaakprofiel3 2 12 5 4" xfId="4030"/>
    <cellStyle name="Labels - Opmaakprofiel3 2 12 5 4 2" xfId="8975"/>
    <cellStyle name="Labels - Opmaakprofiel3 2 12 5 4 2 2" xfId="21273"/>
    <cellStyle name="Labels - Opmaakprofiel3 2 12 5 4 2 3" xfId="33325"/>
    <cellStyle name="Labels - Opmaakprofiel3 2 12 5 4 2 4" xfId="42885"/>
    <cellStyle name="Labels - Opmaakprofiel3 2 12 5 4 2 5" xfId="53940"/>
    <cellStyle name="Labels - Opmaakprofiel3 2 12 5 4 3" xfId="14226"/>
    <cellStyle name="Labels - Opmaakprofiel3 2 12 5 4 4" xfId="26278"/>
    <cellStyle name="Labels - Opmaakprofiel3 2 12 5 4 5" xfId="40091"/>
    <cellStyle name="Labels - Opmaakprofiel3 2 12 5 4 6" xfId="47887"/>
    <cellStyle name="Labels - Opmaakprofiel3 2 12 5 5" xfId="4885"/>
    <cellStyle name="Labels - Opmaakprofiel3 2 12 5 5 2" xfId="8976"/>
    <cellStyle name="Labels - Opmaakprofiel3 2 12 5 5 2 2" xfId="21274"/>
    <cellStyle name="Labels - Opmaakprofiel3 2 12 5 5 2 3" xfId="33326"/>
    <cellStyle name="Labels - Opmaakprofiel3 2 12 5 5 2 4" xfId="27555"/>
    <cellStyle name="Labels - Opmaakprofiel3 2 12 5 5 2 5" xfId="53941"/>
    <cellStyle name="Labels - Opmaakprofiel3 2 12 5 5 3" xfId="14227"/>
    <cellStyle name="Labels - Opmaakprofiel3 2 12 5 5 4" xfId="26279"/>
    <cellStyle name="Labels - Opmaakprofiel3 2 12 5 5 5" xfId="45772"/>
    <cellStyle name="Labels - Opmaakprofiel3 2 12 5 5 6" xfId="47888"/>
    <cellStyle name="Labels - Opmaakprofiel3 2 12 5 6" xfId="4886"/>
    <cellStyle name="Labels - Opmaakprofiel3 2 12 5 6 2" xfId="8977"/>
    <cellStyle name="Labels - Opmaakprofiel3 2 12 5 6 2 2" xfId="21275"/>
    <cellStyle name="Labels - Opmaakprofiel3 2 12 5 6 2 3" xfId="33327"/>
    <cellStyle name="Labels - Opmaakprofiel3 2 12 5 6 2 4" xfId="42884"/>
    <cellStyle name="Labels - Opmaakprofiel3 2 12 5 6 2 5" xfId="53942"/>
    <cellStyle name="Labels - Opmaakprofiel3 2 12 5 6 3" xfId="14228"/>
    <cellStyle name="Labels - Opmaakprofiel3 2 12 5 6 4" xfId="26280"/>
    <cellStyle name="Labels - Opmaakprofiel3 2 12 5 6 5" xfId="40090"/>
    <cellStyle name="Labels - Opmaakprofiel3 2 12 5 6 6" xfId="47889"/>
    <cellStyle name="Labels - Opmaakprofiel3 2 12 5 7" xfId="4887"/>
    <cellStyle name="Labels - Opmaakprofiel3 2 12 5 7 2" xfId="14229"/>
    <cellStyle name="Labels - Opmaakprofiel3 2 12 5 7 3" xfId="26281"/>
    <cellStyle name="Labels - Opmaakprofiel3 2 12 5 7 4" xfId="45771"/>
    <cellStyle name="Labels - Opmaakprofiel3 2 12 5 7 5" xfId="47890"/>
    <cellStyle name="Labels - Opmaakprofiel3 2 12 5 8" xfId="7170"/>
    <cellStyle name="Labels - Opmaakprofiel3 2 12 5 8 2" xfId="19468"/>
    <cellStyle name="Labels - Opmaakprofiel3 2 12 5 8 3" xfId="41271"/>
    <cellStyle name="Labels - Opmaakprofiel3 2 12 5 8 4" xfId="43621"/>
    <cellStyle name="Labels - Opmaakprofiel3 2 12 5 8 5" xfId="52140"/>
    <cellStyle name="Labels - Opmaakprofiel3 2 12 5 9" xfId="14223"/>
    <cellStyle name="Labels - Opmaakprofiel3 2 12 6" xfId="419"/>
    <cellStyle name="Labels - Opmaakprofiel3 2 12 6 2" xfId="1807"/>
    <cellStyle name="Labels - Opmaakprofiel3 2 12 6 2 2" xfId="8978"/>
    <cellStyle name="Labels - Opmaakprofiel3 2 12 6 2 2 2" xfId="21276"/>
    <cellStyle name="Labels - Opmaakprofiel3 2 12 6 2 2 3" xfId="33328"/>
    <cellStyle name="Labels - Opmaakprofiel3 2 12 6 2 2 4" xfId="27556"/>
    <cellStyle name="Labels - Opmaakprofiel3 2 12 6 2 2 5" xfId="53943"/>
    <cellStyle name="Labels - Opmaakprofiel3 2 12 6 2 3" xfId="14231"/>
    <cellStyle name="Labels - Opmaakprofiel3 2 12 6 2 4" xfId="26283"/>
    <cellStyle name="Labels - Opmaakprofiel3 2 12 6 2 5" xfId="45770"/>
    <cellStyle name="Labels - Opmaakprofiel3 2 12 6 2 6" xfId="47891"/>
    <cellStyle name="Labels - Opmaakprofiel3 2 12 6 3" xfId="2490"/>
    <cellStyle name="Labels - Opmaakprofiel3 2 12 6 3 2" xfId="8979"/>
    <cellStyle name="Labels - Opmaakprofiel3 2 12 6 3 2 2" xfId="21277"/>
    <cellStyle name="Labels - Opmaakprofiel3 2 12 6 3 2 3" xfId="33329"/>
    <cellStyle name="Labels - Opmaakprofiel3 2 12 6 3 2 4" xfId="27557"/>
    <cellStyle name="Labels - Opmaakprofiel3 2 12 6 3 2 5" xfId="53944"/>
    <cellStyle name="Labels - Opmaakprofiel3 2 12 6 3 3" xfId="14232"/>
    <cellStyle name="Labels - Opmaakprofiel3 2 12 6 3 4" xfId="26284"/>
    <cellStyle name="Labels - Opmaakprofiel3 2 12 6 3 5" xfId="40088"/>
    <cellStyle name="Labels - Opmaakprofiel3 2 12 6 3 6" xfId="47892"/>
    <cellStyle name="Labels - Opmaakprofiel3 2 12 6 4" xfId="2391"/>
    <cellStyle name="Labels - Opmaakprofiel3 2 12 6 4 2" xfId="8980"/>
    <cellStyle name="Labels - Opmaakprofiel3 2 12 6 4 2 2" xfId="21278"/>
    <cellStyle name="Labels - Opmaakprofiel3 2 12 6 4 2 3" xfId="33330"/>
    <cellStyle name="Labels - Opmaakprofiel3 2 12 6 4 2 4" xfId="27558"/>
    <cellStyle name="Labels - Opmaakprofiel3 2 12 6 4 2 5" xfId="53945"/>
    <cellStyle name="Labels - Opmaakprofiel3 2 12 6 4 3" xfId="14233"/>
    <cellStyle name="Labels - Opmaakprofiel3 2 12 6 4 4" xfId="26285"/>
    <cellStyle name="Labels - Opmaakprofiel3 2 12 6 4 5" xfId="40087"/>
    <cellStyle name="Labels - Opmaakprofiel3 2 12 6 4 6" xfId="47893"/>
    <cellStyle name="Labels - Opmaakprofiel3 2 12 6 5" xfId="4888"/>
    <cellStyle name="Labels - Opmaakprofiel3 2 12 6 5 2" xfId="8981"/>
    <cellStyle name="Labels - Opmaakprofiel3 2 12 6 5 2 2" xfId="21279"/>
    <cellStyle name="Labels - Opmaakprofiel3 2 12 6 5 2 3" xfId="33331"/>
    <cellStyle name="Labels - Opmaakprofiel3 2 12 6 5 2 4" xfId="42883"/>
    <cellStyle name="Labels - Opmaakprofiel3 2 12 6 5 2 5" xfId="53946"/>
    <cellStyle name="Labels - Opmaakprofiel3 2 12 6 5 3" xfId="14234"/>
    <cellStyle name="Labels - Opmaakprofiel3 2 12 6 5 4" xfId="26286"/>
    <cellStyle name="Labels - Opmaakprofiel3 2 12 6 5 5" xfId="45769"/>
    <cellStyle name="Labels - Opmaakprofiel3 2 12 6 5 6" xfId="47894"/>
    <cellStyle name="Labels - Opmaakprofiel3 2 12 6 6" xfId="4889"/>
    <cellStyle name="Labels - Opmaakprofiel3 2 12 6 6 2" xfId="8982"/>
    <cellStyle name="Labels - Opmaakprofiel3 2 12 6 6 2 2" xfId="21280"/>
    <cellStyle name="Labels - Opmaakprofiel3 2 12 6 6 2 3" xfId="33332"/>
    <cellStyle name="Labels - Opmaakprofiel3 2 12 6 6 2 4" xfId="27559"/>
    <cellStyle name="Labels - Opmaakprofiel3 2 12 6 6 2 5" xfId="53947"/>
    <cellStyle name="Labels - Opmaakprofiel3 2 12 6 6 3" xfId="14235"/>
    <cellStyle name="Labels - Opmaakprofiel3 2 12 6 6 4" xfId="26287"/>
    <cellStyle name="Labels - Opmaakprofiel3 2 12 6 6 5" xfId="40086"/>
    <cellStyle name="Labels - Opmaakprofiel3 2 12 6 6 6" xfId="47895"/>
    <cellStyle name="Labels - Opmaakprofiel3 2 12 6 7" xfId="4890"/>
    <cellStyle name="Labels - Opmaakprofiel3 2 12 6 7 2" xfId="14236"/>
    <cellStyle name="Labels - Opmaakprofiel3 2 12 6 7 3" xfId="26288"/>
    <cellStyle name="Labels - Opmaakprofiel3 2 12 6 7 4" xfId="45768"/>
    <cellStyle name="Labels - Opmaakprofiel3 2 12 6 7 5" xfId="47896"/>
    <cellStyle name="Labels - Opmaakprofiel3 2 12 6 8" xfId="7703"/>
    <cellStyle name="Labels - Opmaakprofiel3 2 12 6 8 2" xfId="20001"/>
    <cellStyle name="Labels - Opmaakprofiel3 2 12 6 8 3" xfId="41804"/>
    <cellStyle name="Labels - Opmaakprofiel3 2 12 6 8 4" xfId="25104"/>
    <cellStyle name="Labels - Opmaakprofiel3 2 12 6 8 5" xfId="52673"/>
    <cellStyle name="Labels - Opmaakprofiel3 2 12 6 9" xfId="14230"/>
    <cellStyle name="Labels - Opmaakprofiel3 2 12 7" xfId="223"/>
    <cellStyle name="Labels - Opmaakprofiel3 2 12 7 2" xfId="8983"/>
    <cellStyle name="Labels - Opmaakprofiel3 2 12 7 2 2" xfId="21281"/>
    <cellStyle name="Labels - Opmaakprofiel3 2 12 7 2 3" xfId="33333"/>
    <cellStyle name="Labels - Opmaakprofiel3 2 12 7 2 4" xfId="42882"/>
    <cellStyle name="Labels - Opmaakprofiel3 2 12 7 2 5" xfId="53948"/>
    <cellStyle name="Labels - Opmaakprofiel3 2 12 7 3" xfId="14237"/>
    <cellStyle name="Labels - Opmaakprofiel3 2 12 7 4" xfId="26289"/>
    <cellStyle name="Labels - Opmaakprofiel3 2 12 7 5" xfId="40085"/>
    <cellStyle name="Labels - Opmaakprofiel3 2 12 7 6" xfId="47897"/>
    <cellStyle name="Labels - Opmaakprofiel3 2 12 8" xfId="2803"/>
    <cellStyle name="Labels - Opmaakprofiel3 2 12 8 2" xfId="8984"/>
    <cellStyle name="Labels - Opmaakprofiel3 2 12 8 2 2" xfId="21282"/>
    <cellStyle name="Labels - Opmaakprofiel3 2 12 8 2 3" xfId="33334"/>
    <cellStyle name="Labels - Opmaakprofiel3 2 12 8 2 4" xfId="19284"/>
    <cellStyle name="Labels - Opmaakprofiel3 2 12 8 2 5" xfId="53949"/>
    <cellStyle name="Labels - Opmaakprofiel3 2 12 8 3" xfId="14238"/>
    <cellStyle name="Labels - Opmaakprofiel3 2 12 8 4" xfId="26290"/>
    <cellStyle name="Labels - Opmaakprofiel3 2 12 8 5" xfId="45767"/>
    <cellStyle name="Labels - Opmaakprofiel3 2 12 8 6" xfId="47898"/>
    <cellStyle name="Labels - Opmaakprofiel3 2 12 9" xfId="3664"/>
    <cellStyle name="Labels - Opmaakprofiel3 2 12 9 2" xfId="8985"/>
    <cellStyle name="Labels - Opmaakprofiel3 2 12 9 2 2" xfId="21283"/>
    <cellStyle name="Labels - Opmaakprofiel3 2 12 9 2 3" xfId="33335"/>
    <cellStyle name="Labels - Opmaakprofiel3 2 12 9 2 4" xfId="42881"/>
    <cellStyle name="Labels - Opmaakprofiel3 2 12 9 2 5" xfId="53950"/>
    <cellStyle name="Labels - Opmaakprofiel3 2 12 9 3" xfId="14239"/>
    <cellStyle name="Labels - Opmaakprofiel3 2 12 9 4" xfId="26291"/>
    <cellStyle name="Labels - Opmaakprofiel3 2 12 9 5" xfId="40084"/>
    <cellStyle name="Labels - Opmaakprofiel3 2 12 9 6" xfId="47899"/>
    <cellStyle name="Labels - Opmaakprofiel3 2 13" xfId="745"/>
    <cellStyle name="Labels - Opmaakprofiel3 2 13 10" xfId="4891"/>
    <cellStyle name="Labels - Opmaakprofiel3 2 13 10 2" xfId="8986"/>
    <cellStyle name="Labels - Opmaakprofiel3 2 13 10 2 2" xfId="21284"/>
    <cellStyle name="Labels - Opmaakprofiel3 2 13 10 2 3" xfId="33336"/>
    <cellStyle name="Labels - Opmaakprofiel3 2 13 10 2 4" xfId="27560"/>
    <cellStyle name="Labels - Opmaakprofiel3 2 13 10 2 5" xfId="53951"/>
    <cellStyle name="Labels - Opmaakprofiel3 2 13 10 3" xfId="14241"/>
    <cellStyle name="Labels - Opmaakprofiel3 2 13 10 4" xfId="26293"/>
    <cellStyle name="Labels - Opmaakprofiel3 2 13 10 5" xfId="40083"/>
    <cellStyle name="Labels - Opmaakprofiel3 2 13 10 6" xfId="47900"/>
    <cellStyle name="Labels - Opmaakprofiel3 2 13 11" xfId="4892"/>
    <cellStyle name="Labels - Opmaakprofiel3 2 13 11 2" xfId="8987"/>
    <cellStyle name="Labels - Opmaakprofiel3 2 13 11 2 2" xfId="21285"/>
    <cellStyle name="Labels - Opmaakprofiel3 2 13 11 2 3" xfId="33337"/>
    <cellStyle name="Labels - Opmaakprofiel3 2 13 11 2 4" xfId="42880"/>
    <cellStyle name="Labels - Opmaakprofiel3 2 13 11 2 5" xfId="53952"/>
    <cellStyle name="Labels - Opmaakprofiel3 2 13 11 3" xfId="14242"/>
    <cellStyle name="Labels - Opmaakprofiel3 2 13 11 4" xfId="26294"/>
    <cellStyle name="Labels - Opmaakprofiel3 2 13 11 5" xfId="45765"/>
    <cellStyle name="Labels - Opmaakprofiel3 2 13 11 6" xfId="47901"/>
    <cellStyle name="Labels - Opmaakprofiel3 2 13 12" xfId="4893"/>
    <cellStyle name="Labels - Opmaakprofiel3 2 13 12 2" xfId="14243"/>
    <cellStyle name="Labels - Opmaakprofiel3 2 13 12 3" xfId="26295"/>
    <cellStyle name="Labels - Opmaakprofiel3 2 13 12 4" xfId="40082"/>
    <cellStyle name="Labels - Opmaakprofiel3 2 13 12 5" xfId="47902"/>
    <cellStyle name="Labels - Opmaakprofiel3 2 13 13" xfId="7484"/>
    <cellStyle name="Labels - Opmaakprofiel3 2 13 13 2" xfId="19782"/>
    <cellStyle name="Labels - Opmaakprofiel3 2 13 13 3" xfId="41585"/>
    <cellStyle name="Labels - Opmaakprofiel3 2 13 13 4" xfId="43489"/>
    <cellStyle name="Labels - Opmaakprofiel3 2 13 13 5" xfId="52454"/>
    <cellStyle name="Labels - Opmaakprofiel3 2 13 14" xfId="14240"/>
    <cellStyle name="Labels - Opmaakprofiel3 2 13 2" xfId="915"/>
    <cellStyle name="Labels - Opmaakprofiel3 2 13 2 2" xfId="2274"/>
    <cellStyle name="Labels - Opmaakprofiel3 2 13 2 2 2" xfId="8988"/>
    <cellStyle name="Labels - Opmaakprofiel3 2 13 2 2 2 2" xfId="21286"/>
    <cellStyle name="Labels - Opmaakprofiel3 2 13 2 2 2 3" xfId="33338"/>
    <cellStyle name="Labels - Opmaakprofiel3 2 13 2 2 2 4" xfId="27561"/>
    <cellStyle name="Labels - Opmaakprofiel3 2 13 2 2 2 5" xfId="53953"/>
    <cellStyle name="Labels - Opmaakprofiel3 2 13 2 2 3" xfId="14245"/>
    <cellStyle name="Labels - Opmaakprofiel3 2 13 2 2 4" xfId="26297"/>
    <cellStyle name="Labels - Opmaakprofiel3 2 13 2 2 5" xfId="40081"/>
    <cellStyle name="Labels - Opmaakprofiel3 2 13 2 2 6" xfId="47903"/>
    <cellStyle name="Labels - Opmaakprofiel3 2 13 2 3" xfId="2926"/>
    <cellStyle name="Labels - Opmaakprofiel3 2 13 2 3 2" xfId="8989"/>
    <cellStyle name="Labels - Opmaakprofiel3 2 13 2 3 2 2" xfId="21287"/>
    <cellStyle name="Labels - Opmaakprofiel3 2 13 2 3 2 3" xfId="33339"/>
    <cellStyle name="Labels - Opmaakprofiel3 2 13 2 3 2 4" xfId="42879"/>
    <cellStyle name="Labels - Opmaakprofiel3 2 13 2 3 2 5" xfId="53954"/>
    <cellStyle name="Labels - Opmaakprofiel3 2 13 2 3 3" xfId="14246"/>
    <cellStyle name="Labels - Opmaakprofiel3 2 13 2 3 4" xfId="26298"/>
    <cellStyle name="Labels - Opmaakprofiel3 2 13 2 3 5" xfId="45764"/>
    <cellStyle name="Labels - Opmaakprofiel3 2 13 2 3 6" xfId="47904"/>
    <cellStyle name="Labels - Opmaakprofiel3 2 13 2 4" xfId="3778"/>
    <cellStyle name="Labels - Opmaakprofiel3 2 13 2 4 2" xfId="8990"/>
    <cellStyle name="Labels - Opmaakprofiel3 2 13 2 4 2 2" xfId="21288"/>
    <cellStyle name="Labels - Opmaakprofiel3 2 13 2 4 2 3" xfId="33340"/>
    <cellStyle name="Labels - Opmaakprofiel3 2 13 2 4 2 4" xfId="27562"/>
    <cellStyle name="Labels - Opmaakprofiel3 2 13 2 4 2 5" xfId="53955"/>
    <cellStyle name="Labels - Opmaakprofiel3 2 13 2 4 3" xfId="14247"/>
    <cellStyle name="Labels - Opmaakprofiel3 2 13 2 4 4" xfId="26299"/>
    <cellStyle name="Labels - Opmaakprofiel3 2 13 2 4 5" xfId="40080"/>
    <cellStyle name="Labels - Opmaakprofiel3 2 13 2 4 6" xfId="47905"/>
    <cellStyle name="Labels - Opmaakprofiel3 2 13 2 5" xfId="4894"/>
    <cellStyle name="Labels - Opmaakprofiel3 2 13 2 5 2" xfId="8991"/>
    <cellStyle name="Labels - Opmaakprofiel3 2 13 2 5 2 2" xfId="21289"/>
    <cellStyle name="Labels - Opmaakprofiel3 2 13 2 5 2 3" xfId="33341"/>
    <cellStyle name="Labels - Opmaakprofiel3 2 13 2 5 2 4" xfId="27563"/>
    <cellStyle name="Labels - Opmaakprofiel3 2 13 2 5 2 5" xfId="53956"/>
    <cellStyle name="Labels - Opmaakprofiel3 2 13 2 5 3" xfId="14248"/>
    <cellStyle name="Labels - Opmaakprofiel3 2 13 2 5 4" xfId="26300"/>
    <cellStyle name="Labels - Opmaakprofiel3 2 13 2 5 5" xfId="45763"/>
    <cellStyle name="Labels - Opmaakprofiel3 2 13 2 5 6" xfId="47906"/>
    <cellStyle name="Labels - Opmaakprofiel3 2 13 2 6" xfId="4895"/>
    <cellStyle name="Labels - Opmaakprofiel3 2 13 2 6 2" xfId="8992"/>
    <cellStyle name="Labels - Opmaakprofiel3 2 13 2 6 2 2" xfId="21290"/>
    <cellStyle name="Labels - Opmaakprofiel3 2 13 2 6 2 3" xfId="33342"/>
    <cellStyle name="Labels - Opmaakprofiel3 2 13 2 6 2 4" xfId="27564"/>
    <cellStyle name="Labels - Opmaakprofiel3 2 13 2 6 2 5" xfId="53957"/>
    <cellStyle name="Labels - Opmaakprofiel3 2 13 2 6 3" xfId="14249"/>
    <cellStyle name="Labels - Opmaakprofiel3 2 13 2 6 4" xfId="26301"/>
    <cellStyle name="Labels - Opmaakprofiel3 2 13 2 6 5" xfId="40079"/>
    <cellStyle name="Labels - Opmaakprofiel3 2 13 2 6 6" xfId="47907"/>
    <cellStyle name="Labels - Opmaakprofiel3 2 13 2 7" xfId="4896"/>
    <cellStyle name="Labels - Opmaakprofiel3 2 13 2 7 2" xfId="14250"/>
    <cellStyle name="Labels - Opmaakprofiel3 2 13 2 7 3" xfId="26302"/>
    <cellStyle name="Labels - Opmaakprofiel3 2 13 2 7 4" xfId="45762"/>
    <cellStyle name="Labels - Opmaakprofiel3 2 13 2 7 5" xfId="47908"/>
    <cellStyle name="Labels - Opmaakprofiel3 2 13 2 8" xfId="7369"/>
    <cellStyle name="Labels - Opmaakprofiel3 2 13 2 8 2" xfId="19667"/>
    <cellStyle name="Labels - Opmaakprofiel3 2 13 2 8 3" xfId="41470"/>
    <cellStyle name="Labels - Opmaakprofiel3 2 13 2 8 4" xfId="17920"/>
    <cellStyle name="Labels - Opmaakprofiel3 2 13 2 8 5" xfId="52339"/>
    <cellStyle name="Labels - Opmaakprofiel3 2 13 2 9" xfId="14244"/>
    <cellStyle name="Labels - Opmaakprofiel3 2 13 3" xfId="1012"/>
    <cellStyle name="Labels - Opmaakprofiel3 2 13 3 2" xfId="1873"/>
    <cellStyle name="Labels - Opmaakprofiel3 2 13 3 2 2" xfId="8993"/>
    <cellStyle name="Labels - Opmaakprofiel3 2 13 3 2 2 2" xfId="21291"/>
    <cellStyle name="Labels - Opmaakprofiel3 2 13 3 2 2 3" xfId="33343"/>
    <cellStyle name="Labels - Opmaakprofiel3 2 13 3 2 2 4" xfId="42878"/>
    <cellStyle name="Labels - Opmaakprofiel3 2 13 3 2 2 5" xfId="53958"/>
    <cellStyle name="Labels - Opmaakprofiel3 2 13 3 2 3" xfId="14252"/>
    <cellStyle name="Labels - Opmaakprofiel3 2 13 3 2 4" xfId="26304"/>
    <cellStyle name="Labels - Opmaakprofiel3 2 13 3 2 5" xfId="45761"/>
    <cellStyle name="Labels - Opmaakprofiel3 2 13 3 2 6" xfId="47909"/>
    <cellStyle name="Labels - Opmaakprofiel3 2 13 3 3" xfId="3023"/>
    <cellStyle name="Labels - Opmaakprofiel3 2 13 3 3 2" xfId="8994"/>
    <cellStyle name="Labels - Opmaakprofiel3 2 13 3 3 2 2" xfId="21292"/>
    <cellStyle name="Labels - Opmaakprofiel3 2 13 3 3 2 3" xfId="33344"/>
    <cellStyle name="Labels - Opmaakprofiel3 2 13 3 3 2 4" xfId="27565"/>
    <cellStyle name="Labels - Opmaakprofiel3 2 13 3 3 2 5" xfId="53959"/>
    <cellStyle name="Labels - Opmaakprofiel3 2 13 3 3 3" xfId="14253"/>
    <cellStyle name="Labels - Opmaakprofiel3 2 13 3 3 4" xfId="26305"/>
    <cellStyle name="Labels - Opmaakprofiel3 2 13 3 3 5" xfId="40077"/>
    <cellStyle name="Labels - Opmaakprofiel3 2 13 3 3 6" xfId="47910"/>
    <cellStyle name="Labels - Opmaakprofiel3 2 13 3 4" xfId="3868"/>
    <cellStyle name="Labels - Opmaakprofiel3 2 13 3 4 2" xfId="8995"/>
    <cellStyle name="Labels - Opmaakprofiel3 2 13 3 4 2 2" xfId="21293"/>
    <cellStyle name="Labels - Opmaakprofiel3 2 13 3 4 2 3" xfId="33345"/>
    <cellStyle name="Labels - Opmaakprofiel3 2 13 3 4 2 4" xfId="42877"/>
    <cellStyle name="Labels - Opmaakprofiel3 2 13 3 4 2 5" xfId="53960"/>
    <cellStyle name="Labels - Opmaakprofiel3 2 13 3 4 3" xfId="14254"/>
    <cellStyle name="Labels - Opmaakprofiel3 2 13 3 4 4" xfId="26306"/>
    <cellStyle name="Labels - Opmaakprofiel3 2 13 3 4 5" xfId="45760"/>
    <cellStyle name="Labels - Opmaakprofiel3 2 13 3 4 6" xfId="47911"/>
    <cellStyle name="Labels - Opmaakprofiel3 2 13 3 5" xfId="4897"/>
    <cellStyle name="Labels - Opmaakprofiel3 2 13 3 5 2" xfId="8996"/>
    <cellStyle name="Labels - Opmaakprofiel3 2 13 3 5 2 2" xfId="21294"/>
    <cellStyle name="Labels - Opmaakprofiel3 2 13 3 5 2 3" xfId="33346"/>
    <cellStyle name="Labels - Opmaakprofiel3 2 13 3 5 2 4" xfId="27566"/>
    <cellStyle name="Labels - Opmaakprofiel3 2 13 3 5 2 5" xfId="53961"/>
    <cellStyle name="Labels - Opmaakprofiel3 2 13 3 5 3" xfId="14255"/>
    <cellStyle name="Labels - Opmaakprofiel3 2 13 3 5 4" xfId="26307"/>
    <cellStyle name="Labels - Opmaakprofiel3 2 13 3 5 5" xfId="40076"/>
    <cellStyle name="Labels - Opmaakprofiel3 2 13 3 5 6" xfId="47912"/>
    <cellStyle name="Labels - Opmaakprofiel3 2 13 3 6" xfId="4898"/>
    <cellStyle name="Labels - Opmaakprofiel3 2 13 3 6 2" xfId="8997"/>
    <cellStyle name="Labels - Opmaakprofiel3 2 13 3 6 2 2" xfId="21295"/>
    <cellStyle name="Labels - Opmaakprofiel3 2 13 3 6 2 3" xfId="33347"/>
    <cellStyle name="Labels - Opmaakprofiel3 2 13 3 6 2 4" xfId="42876"/>
    <cellStyle name="Labels - Opmaakprofiel3 2 13 3 6 2 5" xfId="53962"/>
    <cellStyle name="Labels - Opmaakprofiel3 2 13 3 6 3" xfId="14256"/>
    <cellStyle name="Labels - Opmaakprofiel3 2 13 3 6 4" xfId="26308"/>
    <cellStyle name="Labels - Opmaakprofiel3 2 13 3 6 5" xfId="40075"/>
    <cellStyle name="Labels - Opmaakprofiel3 2 13 3 6 6" xfId="47913"/>
    <cellStyle name="Labels - Opmaakprofiel3 2 13 3 7" xfId="4899"/>
    <cellStyle name="Labels - Opmaakprofiel3 2 13 3 7 2" xfId="14257"/>
    <cellStyle name="Labels - Opmaakprofiel3 2 13 3 7 3" xfId="26309"/>
    <cellStyle name="Labels - Opmaakprofiel3 2 13 3 7 4" xfId="40074"/>
    <cellStyle name="Labels - Opmaakprofiel3 2 13 3 7 5" xfId="47914"/>
    <cellStyle name="Labels - Opmaakprofiel3 2 13 3 8" xfId="7302"/>
    <cellStyle name="Labels - Opmaakprofiel3 2 13 3 8 2" xfId="19600"/>
    <cellStyle name="Labels - Opmaakprofiel3 2 13 3 8 3" xfId="41403"/>
    <cellStyle name="Labels - Opmaakprofiel3 2 13 3 8 4" xfId="43566"/>
    <cellStyle name="Labels - Opmaakprofiel3 2 13 3 8 5" xfId="52272"/>
    <cellStyle name="Labels - Opmaakprofiel3 2 13 3 9" xfId="14251"/>
    <cellStyle name="Labels - Opmaakprofiel3 2 13 4" xfId="1140"/>
    <cellStyle name="Labels - Opmaakprofiel3 2 13 4 2" xfId="1703"/>
    <cellStyle name="Labels - Opmaakprofiel3 2 13 4 2 2" xfId="8998"/>
    <cellStyle name="Labels - Opmaakprofiel3 2 13 4 2 2 2" xfId="21296"/>
    <cellStyle name="Labels - Opmaakprofiel3 2 13 4 2 2 3" xfId="33348"/>
    <cellStyle name="Labels - Opmaakprofiel3 2 13 4 2 2 4" xfId="27567"/>
    <cellStyle name="Labels - Opmaakprofiel3 2 13 4 2 2 5" xfId="53963"/>
    <cellStyle name="Labels - Opmaakprofiel3 2 13 4 2 3" xfId="14259"/>
    <cellStyle name="Labels - Opmaakprofiel3 2 13 4 2 4" xfId="26311"/>
    <cellStyle name="Labels - Opmaakprofiel3 2 13 4 2 5" xfId="40073"/>
    <cellStyle name="Labels - Opmaakprofiel3 2 13 4 2 6" xfId="47915"/>
    <cellStyle name="Labels - Opmaakprofiel3 2 13 4 3" xfId="3151"/>
    <cellStyle name="Labels - Opmaakprofiel3 2 13 4 3 2" xfId="8999"/>
    <cellStyle name="Labels - Opmaakprofiel3 2 13 4 3 2 2" xfId="21297"/>
    <cellStyle name="Labels - Opmaakprofiel3 2 13 4 3 2 3" xfId="33349"/>
    <cellStyle name="Labels - Opmaakprofiel3 2 13 4 3 2 4" xfId="42875"/>
    <cellStyle name="Labels - Opmaakprofiel3 2 13 4 3 2 5" xfId="53964"/>
    <cellStyle name="Labels - Opmaakprofiel3 2 13 4 3 3" xfId="14260"/>
    <cellStyle name="Labels - Opmaakprofiel3 2 13 4 3 4" xfId="26312"/>
    <cellStyle name="Labels - Opmaakprofiel3 2 13 4 3 5" xfId="45758"/>
    <cellStyle name="Labels - Opmaakprofiel3 2 13 4 3 6" xfId="47916"/>
    <cellStyle name="Labels - Opmaakprofiel3 2 13 4 4" xfId="3979"/>
    <cellStyle name="Labels - Opmaakprofiel3 2 13 4 4 2" xfId="9000"/>
    <cellStyle name="Labels - Opmaakprofiel3 2 13 4 4 2 2" xfId="21298"/>
    <cellStyle name="Labels - Opmaakprofiel3 2 13 4 4 2 3" xfId="33350"/>
    <cellStyle name="Labels - Opmaakprofiel3 2 13 4 4 2 4" xfId="19286"/>
    <cellStyle name="Labels - Opmaakprofiel3 2 13 4 4 2 5" xfId="53965"/>
    <cellStyle name="Labels - Opmaakprofiel3 2 13 4 4 3" xfId="14261"/>
    <cellStyle name="Labels - Opmaakprofiel3 2 13 4 4 4" xfId="26313"/>
    <cellStyle name="Labels - Opmaakprofiel3 2 13 4 4 5" xfId="40072"/>
    <cellStyle name="Labels - Opmaakprofiel3 2 13 4 4 6" xfId="47917"/>
    <cellStyle name="Labels - Opmaakprofiel3 2 13 4 5" xfId="4900"/>
    <cellStyle name="Labels - Opmaakprofiel3 2 13 4 5 2" xfId="9001"/>
    <cellStyle name="Labels - Opmaakprofiel3 2 13 4 5 2 2" xfId="21299"/>
    <cellStyle name="Labels - Opmaakprofiel3 2 13 4 5 2 3" xfId="33351"/>
    <cellStyle name="Labels - Opmaakprofiel3 2 13 4 5 2 4" xfId="42874"/>
    <cellStyle name="Labels - Opmaakprofiel3 2 13 4 5 2 5" xfId="53966"/>
    <cellStyle name="Labels - Opmaakprofiel3 2 13 4 5 3" xfId="14262"/>
    <cellStyle name="Labels - Opmaakprofiel3 2 13 4 5 4" xfId="26314"/>
    <cellStyle name="Labels - Opmaakprofiel3 2 13 4 5 5" xfId="45757"/>
    <cellStyle name="Labels - Opmaakprofiel3 2 13 4 5 6" xfId="47918"/>
    <cellStyle name="Labels - Opmaakprofiel3 2 13 4 6" xfId="4901"/>
    <cellStyle name="Labels - Opmaakprofiel3 2 13 4 6 2" xfId="9002"/>
    <cellStyle name="Labels - Opmaakprofiel3 2 13 4 6 2 2" xfId="21300"/>
    <cellStyle name="Labels - Opmaakprofiel3 2 13 4 6 2 3" xfId="33352"/>
    <cellStyle name="Labels - Opmaakprofiel3 2 13 4 6 2 4" xfId="19283"/>
    <cellStyle name="Labels - Opmaakprofiel3 2 13 4 6 2 5" xfId="53967"/>
    <cellStyle name="Labels - Opmaakprofiel3 2 13 4 6 3" xfId="14263"/>
    <cellStyle name="Labels - Opmaakprofiel3 2 13 4 6 4" xfId="26315"/>
    <cellStyle name="Labels - Opmaakprofiel3 2 13 4 6 5" xfId="40071"/>
    <cellStyle name="Labels - Opmaakprofiel3 2 13 4 6 6" xfId="47919"/>
    <cellStyle name="Labels - Opmaakprofiel3 2 13 4 7" xfId="4902"/>
    <cellStyle name="Labels - Opmaakprofiel3 2 13 4 7 2" xfId="14264"/>
    <cellStyle name="Labels - Opmaakprofiel3 2 13 4 7 3" xfId="26316"/>
    <cellStyle name="Labels - Opmaakprofiel3 2 13 4 7 4" xfId="45756"/>
    <cellStyle name="Labels - Opmaakprofiel3 2 13 4 7 5" xfId="47920"/>
    <cellStyle name="Labels - Opmaakprofiel3 2 13 4 8" xfId="9900"/>
    <cellStyle name="Labels - Opmaakprofiel3 2 13 4 8 2" xfId="22198"/>
    <cellStyle name="Labels - Opmaakprofiel3 2 13 4 8 3" xfId="43965"/>
    <cellStyle name="Labels - Opmaakprofiel3 2 13 4 8 4" xfId="42499"/>
    <cellStyle name="Labels - Opmaakprofiel3 2 13 4 8 5" xfId="54865"/>
    <cellStyle name="Labels - Opmaakprofiel3 2 13 4 9" xfId="14258"/>
    <cellStyle name="Labels - Opmaakprofiel3 2 13 5" xfId="1183"/>
    <cellStyle name="Labels - Opmaakprofiel3 2 13 5 2" xfId="2142"/>
    <cellStyle name="Labels - Opmaakprofiel3 2 13 5 2 2" xfId="9003"/>
    <cellStyle name="Labels - Opmaakprofiel3 2 13 5 2 2 2" xfId="21301"/>
    <cellStyle name="Labels - Opmaakprofiel3 2 13 5 2 2 3" xfId="33353"/>
    <cellStyle name="Labels - Opmaakprofiel3 2 13 5 2 2 4" xfId="27568"/>
    <cellStyle name="Labels - Opmaakprofiel3 2 13 5 2 2 5" xfId="53968"/>
    <cellStyle name="Labels - Opmaakprofiel3 2 13 5 2 3" xfId="14266"/>
    <cellStyle name="Labels - Opmaakprofiel3 2 13 5 2 4" xfId="26318"/>
    <cellStyle name="Labels - Opmaakprofiel3 2 13 5 2 5" xfId="45755"/>
    <cellStyle name="Labels - Opmaakprofiel3 2 13 5 2 6" xfId="47921"/>
    <cellStyle name="Labels - Opmaakprofiel3 2 13 5 3" xfId="3194"/>
    <cellStyle name="Labels - Opmaakprofiel3 2 13 5 3 2" xfId="9004"/>
    <cellStyle name="Labels - Opmaakprofiel3 2 13 5 3 2 2" xfId="21302"/>
    <cellStyle name="Labels - Opmaakprofiel3 2 13 5 3 2 3" xfId="33354"/>
    <cellStyle name="Labels - Opmaakprofiel3 2 13 5 3 2 4" xfId="27569"/>
    <cellStyle name="Labels - Opmaakprofiel3 2 13 5 3 2 5" xfId="53969"/>
    <cellStyle name="Labels - Opmaakprofiel3 2 13 5 3 3" xfId="14267"/>
    <cellStyle name="Labels - Opmaakprofiel3 2 13 5 3 4" xfId="26319"/>
    <cellStyle name="Labels - Opmaakprofiel3 2 13 5 3 5" xfId="40069"/>
    <cellStyle name="Labels - Opmaakprofiel3 2 13 5 3 6" xfId="47922"/>
    <cellStyle name="Labels - Opmaakprofiel3 2 13 5 4" xfId="4013"/>
    <cellStyle name="Labels - Opmaakprofiel3 2 13 5 4 2" xfId="9005"/>
    <cellStyle name="Labels - Opmaakprofiel3 2 13 5 4 2 2" xfId="21303"/>
    <cellStyle name="Labels - Opmaakprofiel3 2 13 5 4 2 3" xfId="33355"/>
    <cellStyle name="Labels - Opmaakprofiel3 2 13 5 4 2 4" xfId="42873"/>
    <cellStyle name="Labels - Opmaakprofiel3 2 13 5 4 2 5" xfId="53970"/>
    <cellStyle name="Labels - Opmaakprofiel3 2 13 5 4 3" xfId="14268"/>
    <cellStyle name="Labels - Opmaakprofiel3 2 13 5 4 4" xfId="26320"/>
    <cellStyle name="Labels - Opmaakprofiel3 2 13 5 4 5" xfId="40068"/>
    <cellStyle name="Labels - Opmaakprofiel3 2 13 5 4 6" xfId="47923"/>
    <cellStyle name="Labels - Opmaakprofiel3 2 13 5 5" xfId="4903"/>
    <cellStyle name="Labels - Opmaakprofiel3 2 13 5 5 2" xfId="9006"/>
    <cellStyle name="Labels - Opmaakprofiel3 2 13 5 5 2 2" xfId="21304"/>
    <cellStyle name="Labels - Opmaakprofiel3 2 13 5 5 2 3" xfId="33356"/>
    <cellStyle name="Labels - Opmaakprofiel3 2 13 5 5 2 4" xfId="27570"/>
    <cellStyle name="Labels - Opmaakprofiel3 2 13 5 5 2 5" xfId="53971"/>
    <cellStyle name="Labels - Opmaakprofiel3 2 13 5 5 3" xfId="14269"/>
    <cellStyle name="Labels - Opmaakprofiel3 2 13 5 5 4" xfId="26321"/>
    <cellStyle name="Labels - Opmaakprofiel3 2 13 5 5 5" xfId="40067"/>
    <cellStyle name="Labels - Opmaakprofiel3 2 13 5 5 6" xfId="47924"/>
    <cellStyle name="Labels - Opmaakprofiel3 2 13 5 6" xfId="4904"/>
    <cellStyle name="Labels - Opmaakprofiel3 2 13 5 6 2" xfId="9007"/>
    <cellStyle name="Labels - Opmaakprofiel3 2 13 5 6 2 2" xfId="21305"/>
    <cellStyle name="Labels - Opmaakprofiel3 2 13 5 6 2 3" xfId="33357"/>
    <cellStyle name="Labels - Opmaakprofiel3 2 13 5 6 2 4" xfId="42872"/>
    <cellStyle name="Labels - Opmaakprofiel3 2 13 5 6 2 5" xfId="53972"/>
    <cellStyle name="Labels - Opmaakprofiel3 2 13 5 6 3" xfId="14270"/>
    <cellStyle name="Labels - Opmaakprofiel3 2 13 5 6 4" xfId="26322"/>
    <cellStyle name="Labels - Opmaakprofiel3 2 13 5 6 5" xfId="45754"/>
    <cellStyle name="Labels - Opmaakprofiel3 2 13 5 6 6" xfId="47925"/>
    <cellStyle name="Labels - Opmaakprofiel3 2 13 5 7" xfId="4905"/>
    <cellStyle name="Labels - Opmaakprofiel3 2 13 5 7 2" xfId="14271"/>
    <cellStyle name="Labels - Opmaakprofiel3 2 13 5 7 3" xfId="26323"/>
    <cellStyle name="Labels - Opmaakprofiel3 2 13 5 7 4" xfId="40066"/>
    <cellStyle name="Labels - Opmaakprofiel3 2 13 5 7 5" xfId="47926"/>
    <cellStyle name="Labels - Opmaakprofiel3 2 13 5 8" xfId="7187"/>
    <cellStyle name="Labels - Opmaakprofiel3 2 13 5 8 2" xfId="19485"/>
    <cellStyle name="Labels - Opmaakprofiel3 2 13 5 8 3" xfId="41288"/>
    <cellStyle name="Labels - Opmaakprofiel3 2 13 5 8 4" xfId="36925"/>
    <cellStyle name="Labels - Opmaakprofiel3 2 13 5 8 5" xfId="52157"/>
    <cellStyle name="Labels - Opmaakprofiel3 2 13 5 9" xfId="14265"/>
    <cellStyle name="Labels - Opmaakprofiel3 2 13 6" xfId="1258"/>
    <cellStyle name="Labels - Opmaakprofiel3 2 13 6 2" xfId="1863"/>
    <cellStyle name="Labels - Opmaakprofiel3 2 13 6 2 2" xfId="9008"/>
    <cellStyle name="Labels - Opmaakprofiel3 2 13 6 2 2 2" xfId="21306"/>
    <cellStyle name="Labels - Opmaakprofiel3 2 13 6 2 2 3" xfId="33358"/>
    <cellStyle name="Labels - Opmaakprofiel3 2 13 6 2 2 4" xfId="27571"/>
    <cellStyle name="Labels - Opmaakprofiel3 2 13 6 2 2 5" xfId="53973"/>
    <cellStyle name="Labels - Opmaakprofiel3 2 13 6 2 3" xfId="14273"/>
    <cellStyle name="Labels - Opmaakprofiel3 2 13 6 2 4" xfId="26325"/>
    <cellStyle name="Labels - Opmaakprofiel3 2 13 6 2 5" xfId="40065"/>
    <cellStyle name="Labels - Opmaakprofiel3 2 13 6 2 6" xfId="47927"/>
    <cellStyle name="Labels - Opmaakprofiel3 2 13 6 3" xfId="3269"/>
    <cellStyle name="Labels - Opmaakprofiel3 2 13 6 3 2" xfId="9009"/>
    <cellStyle name="Labels - Opmaakprofiel3 2 13 6 3 2 2" xfId="21307"/>
    <cellStyle name="Labels - Opmaakprofiel3 2 13 6 3 2 3" xfId="33359"/>
    <cellStyle name="Labels - Opmaakprofiel3 2 13 6 3 2 4" xfId="42871"/>
    <cellStyle name="Labels - Opmaakprofiel3 2 13 6 3 2 5" xfId="53974"/>
    <cellStyle name="Labels - Opmaakprofiel3 2 13 6 3 3" xfId="14274"/>
    <cellStyle name="Labels - Opmaakprofiel3 2 13 6 3 4" xfId="26326"/>
    <cellStyle name="Labels - Opmaakprofiel3 2 13 6 3 5" xfId="45752"/>
    <cellStyle name="Labels - Opmaakprofiel3 2 13 6 3 6" xfId="47928"/>
    <cellStyle name="Labels - Opmaakprofiel3 2 13 6 4" xfId="4078"/>
    <cellStyle name="Labels - Opmaakprofiel3 2 13 6 4 2" xfId="9010"/>
    <cellStyle name="Labels - Opmaakprofiel3 2 13 6 4 2 2" xfId="21308"/>
    <cellStyle name="Labels - Opmaakprofiel3 2 13 6 4 2 3" xfId="33360"/>
    <cellStyle name="Labels - Opmaakprofiel3 2 13 6 4 2 4" xfId="27572"/>
    <cellStyle name="Labels - Opmaakprofiel3 2 13 6 4 2 5" xfId="53975"/>
    <cellStyle name="Labels - Opmaakprofiel3 2 13 6 4 3" xfId="14275"/>
    <cellStyle name="Labels - Opmaakprofiel3 2 13 6 4 4" xfId="26327"/>
    <cellStyle name="Labels - Opmaakprofiel3 2 13 6 4 5" xfId="40064"/>
    <cellStyle name="Labels - Opmaakprofiel3 2 13 6 4 6" xfId="47929"/>
    <cellStyle name="Labels - Opmaakprofiel3 2 13 6 5" xfId="4906"/>
    <cellStyle name="Labels - Opmaakprofiel3 2 13 6 5 2" xfId="9011"/>
    <cellStyle name="Labels - Opmaakprofiel3 2 13 6 5 2 2" xfId="21309"/>
    <cellStyle name="Labels - Opmaakprofiel3 2 13 6 5 2 3" xfId="33361"/>
    <cellStyle name="Labels - Opmaakprofiel3 2 13 6 5 2 4" xfId="42870"/>
    <cellStyle name="Labels - Opmaakprofiel3 2 13 6 5 2 5" xfId="53976"/>
    <cellStyle name="Labels - Opmaakprofiel3 2 13 6 5 3" xfId="14276"/>
    <cellStyle name="Labels - Opmaakprofiel3 2 13 6 5 4" xfId="26328"/>
    <cellStyle name="Labels - Opmaakprofiel3 2 13 6 5 5" xfId="45751"/>
    <cellStyle name="Labels - Opmaakprofiel3 2 13 6 5 6" xfId="47930"/>
    <cellStyle name="Labels - Opmaakprofiel3 2 13 6 6" xfId="4907"/>
    <cellStyle name="Labels - Opmaakprofiel3 2 13 6 6 2" xfId="9012"/>
    <cellStyle name="Labels - Opmaakprofiel3 2 13 6 6 2 2" xfId="21310"/>
    <cellStyle name="Labels - Opmaakprofiel3 2 13 6 6 2 3" xfId="33362"/>
    <cellStyle name="Labels - Opmaakprofiel3 2 13 6 6 2 4" xfId="27573"/>
    <cellStyle name="Labels - Opmaakprofiel3 2 13 6 6 2 5" xfId="53977"/>
    <cellStyle name="Labels - Opmaakprofiel3 2 13 6 6 3" xfId="14277"/>
    <cellStyle name="Labels - Opmaakprofiel3 2 13 6 6 4" xfId="26329"/>
    <cellStyle name="Labels - Opmaakprofiel3 2 13 6 6 5" xfId="40063"/>
    <cellStyle name="Labels - Opmaakprofiel3 2 13 6 6 6" xfId="47931"/>
    <cellStyle name="Labels - Opmaakprofiel3 2 13 6 7" xfId="4908"/>
    <cellStyle name="Labels - Opmaakprofiel3 2 13 6 7 2" xfId="14278"/>
    <cellStyle name="Labels - Opmaakprofiel3 2 13 6 7 3" xfId="26330"/>
    <cellStyle name="Labels - Opmaakprofiel3 2 13 6 7 4" xfId="45750"/>
    <cellStyle name="Labels - Opmaakprofiel3 2 13 6 7 5" xfId="47932"/>
    <cellStyle name="Labels - Opmaakprofiel3 2 13 6 8" xfId="7117"/>
    <cellStyle name="Labels - Opmaakprofiel3 2 13 6 8 2" xfId="19415"/>
    <cellStyle name="Labels - Opmaakprofiel3 2 13 6 8 3" xfId="41218"/>
    <cellStyle name="Labels - Opmaakprofiel3 2 13 6 8 4" xfId="36966"/>
    <cellStyle name="Labels - Opmaakprofiel3 2 13 6 8 5" xfId="52088"/>
    <cellStyle name="Labels - Opmaakprofiel3 2 13 6 9" xfId="14272"/>
    <cellStyle name="Labels - Opmaakprofiel3 2 13 7" xfId="2286"/>
    <cellStyle name="Labels - Opmaakprofiel3 2 13 7 2" xfId="9013"/>
    <cellStyle name="Labels - Opmaakprofiel3 2 13 7 2 2" xfId="21311"/>
    <cellStyle name="Labels - Opmaakprofiel3 2 13 7 2 3" xfId="33363"/>
    <cellStyle name="Labels - Opmaakprofiel3 2 13 7 2 4" xfId="42869"/>
    <cellStyle name="Labels - Opmaakprofiel3 2 13 7 2 5" xfId="53978"/>
    <cellStyle name="Labels - Opmaakprofiel3 2 13 7 3" xfId="14279"/>
    <cellStyle name="Labels - Opmaakprofiel3 2 13 7 4" xfId="26331"/>
    <cellStyle name="Labels - Opmaakprofiel3 2 13 7 5" xfId="40062"/>
    <cellStyle name="Labels - Opmaakprofiel3 2 13 7 6" xfId="47933"/>
    <cellStyle name="Labels - Opmaakprofiel3 2 13 8" xfId="2791"/>
    <cellStyle name="Labels - Opmaakprofiel3 2 13 8 2" xfId="9014"/>
    <cellStyle name="Labels - Opmaakprofiel3 2 13 8 2 2" xfId="21312"/>
    <cellStyle name="Labels - Opmaakprofiel3 2 13 8 2 3" xfId="33364"/>
    <cellStyle name="Labels - Opmaakprofiel3 2 13 8 2 4" xfId="27574"/>
    <cellStyle name="Labels - Opmaakprofiel3 2 13 8 2 5" xfId="53979"/>
    <cellStyle name="Labels - Opmaakprofiel3 2 13 8 3" xfId="14280"/>
    <cellStyle name="Labels - Opmaakprofiel3 2 13 8 4" xfId="26332"/>
    <cellStyle name="Labels - Opmaakprofiel3 2 13 8 5" xfId="40061"/>
    <cellStyle name="Labels - Opmaakprofiel3 2 13 8 6" xfId="47934"/>
    <cellStyle name="Labels - Opmaakprofiel3 2 13 9" xfId="3653"/>
    <cellStyle name="Labels - Opmaakprofiel3 2 13 9 2" xfId="9015"/>
    <cellStyle name="Labels - Opmaakprofiel3 2 13 9 2 2" xfId="21313"/>
    <cellStyle name="Labels - Opmaakprofiel3 2 13 9 2 3" xfId="33365"/>
    <cellStyle name="Labels - Opmaakprofiel3 2 13 9 2 4" xfId="27575"/>
    <cellStyle name="Labels - Opmaakprofiel3 2 13 9 2 5" xfId="53980"/>
    <cellStyle name="Labels - Opmaakprofiel3 2 13 9 3" xfId="14281"/>
    <cellStyle name="Labels - Opmaakprofiel3 2 13 9 4" xfId="26333"/>
    <cellStyle name="Labels - Opmaakprofiel3 2 13 9 5" xfId="40060"/>
    <cellStyle name="Labels - Opmaakprofiel3 2 13 9 6" xfId="47935"/>
    <cellStyle name="Labels - Opmaakprofiel3 2 14" xfId="697"/>
    <cellStyle name="Labels - Opmaakprofiel3 2 14 10" xfId="4909"/>
    <cellStyle name="Labels - Opmaakprofiel3 2 14 10 2" xfId="9016"/>
    <cellStyle name="Labels - Opmaakprofiel3 2 14 10 2 2" xfId="21314"/>
    <cellStyle name="Labels - Opmaakprofiel3 2 14 10 2 3" xfId="33366"/>
    <cellStyle name="Labels - Opmaakprofiel3 2 14 10 2 4" xfId="27576"/>
    <cellStyle name="Labels - Opmaakprofiel3 2 14 10 2 5" xfId="53981"/>
    <cellStyle name="Labels - Opmaakprofiel3 2 14 10 3" xfId="14283"/>
    <cellStyle name="Labels - Opmaakprofiel3 2 14 10 4" xfId="26335"/>
    <cellStyle name="Labels - Opmaakprofiel3 2 14 10 5" xfId="40059"/>
    <cellStyle name="Labels - Opmaakprofiel3 2 14 10 6" xfId="47936"/>
    <cellStyle name="Labels - Opmaakprofiel3 2 14 11" xfId="4910"/>
    <cellStyle name="Labels - Opmaakprofiel3 2 14 11 2" xfId="9017"/>
    <cellStyle name="Labels - Opmaakprofiel3 2 14 11 2 2" xfId="21315"/>
    <cellStyle name="Labels - Opmaakprofiel3 2 14 11 2 3" xfId="33367"/>
    <cellStyle name="Labels - Opmaakprofiel3 2 14 11 2 4" xfId="42868"/>
    <cellStyle name="Labels - Opmaakprofiel3 2 14 11 2 5" xfId="53982"/>
    <cellStyle name="Labels - Opmaakprofiel3 2 14 11 3" xfId="14284"/>
    <cellStyle name="Labels - Opmaakprofiel3 2 14 11 4" xfId="26336"/>
    <cellStyle name="Labels - Opmaakprofiel3 2 14 11 5" xfId="45748"/>
    <cellStyle name="Labels - Opmaakprofiel3 2 14 11 6" xfId="47937"/>
    <cellStyle name="Labels - Opmaakprofiel3 2 14 12" xfId="4911"/>
    <cellStyle name="Labels - Opmaakprofiel3 2 14 12 2" xfId="14285"/>
    <cellStyle name="Labels - Opmaakprofiel3 2 14 12 3" xfId="26337"/>
    <cellStyle name="Labels - Opmaakprofiel3 2 14 12 4" xfId="40058"/>
    <cellStyle name="Labels - Opmaakprofiel3 2 14 12 5" xfId="47938"/>
    <cellStyle name="Labels - Opmaakprofiel3 2 14 13" xfId="7515"/>
    <cellStyle name="Labels - Opmaakprofiel3 2 14 13 2" xfId="19813"/>
    <cellStyle name="Labels - Opmaakprofiel3 2 14 13 3" xfId="41616"/>
    <cellStyle name="Labels - Opmaakprofiel3 2 14 13 4" xfId="14080"/>
    <cellStyle name="Labels - Opmaakprofiel3 2 14 13 5" xfId="52485"/>
    <cellStyle name="Labels - Opmaakprofiel3 2 14 14" xfId="14282"/>
    <cellStyle name="Labels - Opmaakprofiel3 2 14 2" xfId="870"/>
    <cellStyle name="Labels - Opmaakprofiel3 2 14 2 2" xfId="1514"/>
    <cellStyle name="Labels - Opmaakprofiel3 2 14 2 2 2" xfId="9018"/>
    <cellStyle name="Labels - Opmaakprofiel3 2 14 2 2 2 2" xfId="21316"/>
    <cellStyle name="Labels - Opmaakprofiel3 2 14 2 2 2 3" xfId="33368"/>
    <cellStyle name="Labels - Opmaakprofiel3 2 14 2 2 2 4" xfId="27577"/>
    <cellStyle name="Labels - Opmaakprofiel3 2 14 2 2 2 5" xfId="53983"/>
    <cellStyle name="Labels - Opmaakprofiel3 2 14 2 2 3" xfId="14287"/>
    <cellStyle name="Labels - Opmaakprofiel3 2 14 2 2 4" xfId="26339"/>
    <cellStyle name="Labels - Opmaakprofiel3 2 14 2 2 5" xfId="40057"/>
    <cellStyle name="Labels - Opmaakprofiel3 2 14 2 2 6" xfId="47939"/>
    <cellStyle name="Labels - Opmaakprofiel3 2 14 2 3" xfId="2881"/>
    <cellStyle name="Labels - Opmaakprofiel3 2 14 2 3 2" xfId="9019"/>
    <cellStyle name="Labels - Opmaakprofiel3 2 14 2 3 2 2" xfId="21317"/>
    <cellStyle name="Labels - Opmaakprofiel3 2 14 2 3 2 3" xfId="33369"/>
    <cellStyle name="Labels - Opmaakprofiel3 2 14 2 3 2 4" xfId="42867"/>
    <cellStyle name="Labels - Opmaakprofiel3 2 14 2 3 2 5" xfId="53984"/>
    <cellStyle name="Labels - Opmaakprofiel3 2 14 2 3 3" xfId="14288"/>
    <cellStyle name="Labels - Opmaakprofiel3 2 14 2 3 4" xfId="26340"/>
    <cellStyle name="Labels - Opmaakprofiel3 2 14 2 3 5" xfId="45746"/>
    <cellStyle name="Labels - Opmaakprofiel3 2 14 2 3 6" xfId="47940"/>
    <cellStyle name="Labels - Opmaakprofiel3 2 14 2 4" xfId="3734"/>
    <cellStyle name="Labels - Opmaakprofiel3 2 14 2 4 2" xfId="9020"/>
    <cellStyle name="Labels - Opmaakprofiel3 2 14 2 4 2 2" xfId="21318"/>
    <cellStyle name="Labels - Opmaakprofiel3 2 14 2 4 2 3" xfId="33370"/>
    <cellStyle name="Labels - Opmaakprofiel3 2 14 2 4 2 4" xfId="27578"/>
    <cellStyle name="Labels - Opmaakprofiel3 2 14 2 4 2 5" xfId="53985"/>
    <cellStyle name="Labels - Opmaakprofiel3 2 14 2 4 3" xfId="14289"/>
    <cellStyle name="Labels - Opmaakprofiel3 2 14 2 4 4" xfId="26341"/>
    <cellStyle name="Labels - Opmaakprofiel3 2 14 2 4 5" xfId="40056"/>
    <cellStyle name="Labels - Opmaakprofiel3 2 14 2 4 6" xfId="47941"/>
    <cellStyle name="Labels - Opmaakprofiel3 2 14 2 5" xfId="4912"/>
    <cellStyle name="Labels - Opmaakprofiel3 2 14 2 5 2" xfId="9021"/>
    <cellStyle name="Labels - Opmaakprofiel3 2 14 2 5 2 2" xfId="21319"/>
    <cellStyle name="Labels - Opmaakprofiel3 2 14 2 5 2 3" xfId="33371"/>
    <cellStyle name="Labels - Opmaakprofiel3 2 14 2 5 2 4" xfId="42866"/>
    <cellStyle name="Labels - Opmaakprofiel3 2 14 2 5 2 5" xfId="53986"/>
    <cellStyle name="Labels - Opmaakprofiel3 2 14 2 5 3" xfId="14290"/>
    <cellStyle name="Labels - Opmaakprofiel3 2 14 2 5 4" xfId="26342"/>
    <cellStyle name="Labels - Opmaakprofiel3 2 14 2 5 5" xfId="45745"/>
    <cellStyle name="Labels - Opmaakprofiel3 2 14 2 5 6" xfId="47942"/>
    <cellStyle name="Labels - Opmaakprofiel3 2 14 2 6" xfId="4913"/>
    <cellStyle name="Labels - Opmaakprofiel3 2 14 2 6 2" xfId="9022"/>
    <cellStyle name="Labels - Opmaakprofiel3 2 14 2 6 2 2" xfId="21320"/>
    <cellStyle name="Labels - Opmaakprofiel3 2 14 2 6 2 3" xfId="33372"/>
    <cellStyle name="Labels - Opmaakprofiel3 2 14 2 6 2 4" xfId="27579"/>
    <cellStyle name="Labels - Opmaakprofiel3 2 14 2 6 2 5" xfId="53987"/>
    <cellStyle name="Labels - Opmaakprofiel3 2 14 2 6 3" xfId="14291"/>
    <cellStyle name="Labels - Opmaakprofiel3 2 14 2 6 4" xfId="26343"/>
    <cellStyle name="Labels - Opmaakprofiel3 2 14 2 6 5" xfId="40055"/>
    <cellStyle name="Labels - Opmaakprofiel3 2 14 2 6 6" xfId="47943"/>
    <cellStyle name="Labels - Opmaakprofiel3 2 14 2 7" xfId="4914"/>
    <cellStyle name="Labels - Opmaakprofiel3 2 14 2 7 2" xfId="14292"/>
    <cellStyle name="Labels - Opmaakprofiel3 2 14 2 7 3" xfId="26344"/>
    <cellStyle name="Labels - Opmaakprofiel3 2 14 2 7 4" xfId="40054"/>
    <cellStyle name="Labels - Opmaakprofiel3 2 14 2 7 5" xfId="47944"/>
    <cellStyle name="Labels - Opmaakprofiel3 2 14 2 8" xfId="10089"/>
    <cellStyle name="Labels - Opmaakprofiel3 2 14 2 8 2" xfId="22387"/>
    <cellStyle name="Labels - Opmaakprofiel3 2 14 2 8 3" xfId="44151"/>
    <cellStyle name="Labels - Opmaakprofiel3 2 14 2 8 4" xfId="31512"/>
    <cellStyle name="Labels - Opmaakprofiel3 2 14 2 8 5" xfId="55054"/>
    <cellStyle name="Labels - Opmaakprofiel3 2 14 2 9" xfId="14286"/>
    <cellStyle name="Labels - Opmaakprofiel3 2 14 3" xfId="608"/>
    <cellStyle name="Labels - Opmaakprofiel3 2 14 3 2" xfId="1816"/>
    <cellStyle name="Labels - Opmaakprofiel3 2 14 3 2 2" xfId="9023"/>
    <cellStyle name="Labels - Opmaakprofiel3 2 14 3 2 2 2" xfId="21321"/>
    <cellStyle name="Labels - Opmaakprofiel3 2 14 3 2 2 3" xfId="33373"/>
    <cellStyle name="Labels - Opmaakprofiel3 2 14 3 2 2 4" xfId="42865"/>
    <cellStyle name="Labels - Opmaakprofiel3 2 14 3 2 2 5" xfId="53988"/>
    <cellStyle name="Labels - Opmaakprofiel3 2 14 3 2 3" xfId="14294"/>
    <cellStyle name="Labels - Opmaakprofiel3 2 14 3 2 4" xfId="26346"/>
    <cellStyle name="Labels - Opmaakprofiel3 2 14 3 2 5" xfId="45744"/>
    <cellStyle name="Labels - Opmaakprofiel3 2 14 3 2 6" xfId="47945"/>
    <cellStyle name="Labels - Opmaakprofiel3 2 14 3 3" xfId="2679"/>
    <cellStyle name="Labels - Opmaakprofiel3 2 14 3 3 2" xfId="9024"/>
    <cellStyle name="Labels - Opmaakprofiel3 2 14 3 3 2 2" xfId="21322"/>
    <cellStyle name="Labels - Opmaakprofiel3 2 14 3 3 2 3" xfId="33374"/>
    <cellStyle name="Labels - Opmaakprofiel3 2 14 3 3 2 4" xfId="27580"/>
    <cellStyle name="Labels - Opmaakprofiel3 2 14 3 3 2 5" xfId="53989"/>
    <cellStyle name="Labels - Opmaakprofiel3 2 14 3 3 3" xfId="14295"/>
    <cellStyle name="Labels - Opmaakprofiel3 2 14 3 3 4" xfId="26347"/>
    <cellStyle name="Labels - Opmaakprofiel3 2 14 3 3 5" xfId="40053"/>
    <cellStyle name="Labels - Opmaakprofiel3 2 14 3 3 6" xfId="47946"/>
    <cellStyle name="Labels - Opmaakprofiel3 2 14 3 4" xfId="3551"/>
    <cellStyle name="Labels - Opmaakprofiel3 2 14 3 4 2" xfId="9025"/>
    <cellStyle name="Labels - Opmaakprofiel3 2 14 3 4 2 2" xfId="21323"/>
    <cellStyle name="Labels - Opmaakprofiel3 2 14 3 4 2 3" xfId="33375"/>
    <cellStyle name="Labels - Opmaakprofiel3 2 14 3 4 2 4" xfId="42864"/>
    <cellStyle name="Labels - Opmaakprofiel3 2 14 3 4 2 5" xfId="53990"/>
    <cellStyle name="Labels - Opmaakprofiel3 2 14 3 4 3" xfId="14296"/>
    <cellStyle name="Labels - Opmaakprofiel3 2 14 3 4 4" xfId="26348"/>
    <cellStyle name="Labels - Opmaakprofiel3 2 14 3 4 5" xfId="45743"/>
    <cellStyle name="Labels - Opmaakprofiel3 2 14 3 4 6" xfId="47947"/>
    <cellStyle name="Labels - Opmaakprofiel3 2 14 3 5" xfId="4915"/>
    <cellStyle name="Labels - Opmaakprofiel3 2 14 3 5 2" xfId="9026"/>
    <cellStyle name="Labels - Opmaakprofiel3 2 14 3 5 2 2" xfId="21324"/>
    <cellStyle name="Labels - Opmaakprofiel3 2 14 3 5 2 3" xfId="33376"/>
    <cellStyle name="Labels - Opmaakprofiel3 2 14 3 5 2 4" xfId="19289"/>
    <cellStyle name="Labels - Opmaakprofiel3 2 14 3 5 2 5" xfId="53991"/>
    <cellStyle name="Labels - Opmaakprofiel3 2 14 3 5 3" xfId="14297"/>
    <cellStyle name="Labels - Opmaakprofiel3 2 14 3 5 4" xfId="26349"/>
    <cellStyle name="Labels - Opmaakprofiel3 2 14 3 5 5" xfId="40052"/>
    <cellStyle name="Labels - Opmaakprofiel3 2 14 3 5 6" xfId="47948"/>
    <cellStyle name="Labels - Opmaakprofiel3 2 14 3 6" xfId="4916"/>
    <cellStyle name="Labels - Opmaakprofiel3 2 14 3 6 2" xfId="9027"/>
    <cellStyle name="Labels - Opmaakprofiel3 2 14 3 6 2 2" xfId="21325"/>
    <cellStyle name="Labels - Opmaakprofiel3 2 14 3 6 2 3" xfId="33377"/>
    <cellStyle name="Labels - Opmaakprofiel3 2 14 3 6 2 4" xfId="27581"/>
    <cellStyle name="Labels - Opmaakprofiel3 2 14 3 6 2 5" xfId="53992"/>
    <cellStyle name="Labels - Opmaakprofiel3 2 14 3 6 3" xfId="14298"/>
    <cellStyle name="Labels - Opmaakprofiel3 2 14 3 6 4" xfId="26350"/>
    <cellStyle name="Labels - Opmaakprofiel3 2 14 3 6 5" xfId="40051"/>
    <cellStyle name="Labels - Opmaakprofiel3 2 14 3 6 6" xfId="47949"/>
    <cellStyle name="Labels - Opmaakprofiel3 2 14 3 7" xfId="4917"/>
    <cellStyle name="Labels - Opmaakprofiel3 2 14 3 7 2" xfId="14299"/>
    <cellStyle name="Labels - Opmaakprofiel3 2 14 3 7 3" xfId="26351"/>
    <cellStyle name="Labels - Opmaakprofiel3 2 14 3 7 4" xfId="45742"/>
    <cellStyle name="Labels - Opmaakprofiel3 2 14 3 7 5" xfId="47950"/>
    <cellStyle name="Labels - Opmaakprofiel3 2 14 3 8" xfId="10267"/>
    <cellStyle name="Labels - Opmaakprofiel3 2 14 3 8 2" xfId="22565"/>
    <cellStyle name="Labels - Opmaakprofiel3 2 14 3 8 3" xfId="44326"/>
    <cellStyle name="Labels - Opmaakprofiel3 2 14 3 8 4" xfId="42346"/>
    <cellStyle name="Labels - Opmaakprofiel3 2 14 3 8 5" xfId="55232"/>
    <cellStyle name="Labels - Opmaakprofiel3 2 14 3 9" xfId="14293"/>
    <cellStyle name="Labels - Opmaakprofiel3 2 14 4" xfId="453"/>
    <cellStyle name="Labels - Opmaakprofiel3 2 14 4 2" xfId="2127"/>
    <cellStyle name="Labels - Opmaakprofiel3 2 14 4 2 2" xfId="9028"/>
    <cellStyle name="Labels - Opmaakprofiel3 2 14 4 2 2 2" xfId="21326"/>
    <cellStyle name="Labels - Opmaakprofiel3 2 14 4 2 2 3" xfId="33378"/>
    <cellStyle name="Labels - Opmaakprofiel3 2 14 4 2 2 4" xfId="27582"/>
    <cellStyle name="Labels - Opmaakprofiel3 2 14 4 2 2 5" xfId="53993"/>
    <cellStyle name="Labels - Opmaakprofiel3 2 14 4 2 3" xfId="14301"/>
    <cellStyle name="Labels - Opmaakprofiel3 2 14 4 2 4" xfId="26353"/>
    <cellStyle name="Labels - Opmaakprofiel3 2 14 4 2 5" xfId="45741"/>
    <cellStyle name="Labels - Opmaakprofiel3 2 14 4 2 6" xfId="47951"/>
    <cellStyle name="Labels - Opmaakprofiel3 2 14 4 3" xfId="2524"/>
    <cellStyle name="Labels - Opmaakprofiel3 2 14 4 3 2" xfId="9029"/>
    <cellStyle name="Labels - Opmaakprofiel3 2 14 4 3 2 2" xfId="21327"/>
    <cellStyle name="Labels - Opmaakprofiel3 2 14 4 3 2 3" xfId="33379"/>
    <cellStyle name="Labels - Opmaakprofiel3 2 14 4 3 2 4" xfId="42863"/>
    <cellStyle name="Labels - Opmaakprofiel3 2 14 4 3 2 5" xfId="53994"/>
    <cellStyle name="Labels - Opmaakprofiel3 2 14 4 3 3" xfId="14302"/>
    <cellStyle name="Labels - Opmaakprofiel3 2 14 4 3 4" xfId="26354"/>
    <cellStyle name="Labels - Opmaakprofiel3 2 14 4 3 5" xfId="40049"/>
    <cellStyle name="Labels - Opmaakprofiel3 2 14 4 3 6" xfId="47952"/>
    <cellStyle name="Labels - Opmaakprofiel3 2 14 4 4" xfId="3412"/>
    <cellStyle name="Labels - Opmaakprofiel3 2 14 4 4 2" xfId="9030"/>
    <cellStyle name="Labels - Opmaakprofiel3 2 14 4 4 2 2" xfId="21328"/>
    <cellStyle name="Labels - Opmaakprofiel3 2 14 4 4 2 3" xfId="33380"/>
    <cellStyle name="Labels - Opmaakprofiel3 2 14 4 4 2 4" xfId="27583"/>
    <cellStyle name="Labels - Opmaakprofiel3 2 14 4 4 2 5" xfId="53995"/>
    <cellStyle name="Labels - Opmaakprofiel3 2 14 4 4 3" xfId="14303"/>
    <cellStyle name="Labels - Opmaakprofiel3 2 14 4 4 4" xfId="26355"/>
    <cellStyle name="Labels - Opmaakprofiel3 2 14 4 4 5" xfId="45740"/>
    <cellStyle name="Labels - Opmaakprofiel3 2 14 4 4 6" xfId="47953"/>
    <cellStyle name="Labels - Opmaakprofiel3 2 14 4 5" xfId="4918"/>
    <cellStyle name="Labels - Opmaakprofiel3 2 14 4 5 2" xfId="9031"/>
    <cellStyle name="Labels - Opmaakprofiel3 2 14 4 5 2 2" xfId="21329"/>
    <cellStyle name="Labels - Opmaakprofiel3 2 14 4 5 2 3" xfId="33381"/>
    <cellStyle name="Labels - Opmaakprofiel3 2 14 4 5 2 4" xfId="42862"/>
    <cellStyle name="Labels - Opmaakprofiel3 2 14 4 5 2 5" xfId="53996"/>
    <cellStyle name="Labels - Opmaakprofiel3 2 14 4 5 3" xfId="14304"/>
    <cellStyle name="Labels - Opmaakprofiel3 2 14 4 5 4" xfId="26356"/>
    <cellStyle name="Labels - Opmaakprofiel3 2 14 4 5 5" xfId="40048"/>
    <cellStyle name="Labels - Opmaakprofiel3 2 14 4 5 6" xfId="47954"/>
    <cellStyle name="Labels - Opmaakprofiel3 2 14 4 6" xfId="4919"/>
    <cellStyle name="Labels - Opmaakprofiel3 2 14 4 6 2" xfId="9032"/>
    <cellStyle name="Labels - Opmaakprofiel3 2 14 4 6 2 2" xfId="21330"/>
    <cellStyle name="Labels - Opmaakprofiel3 2 14 4 6 2 3" xfId="33382"/>
    <cellStyle name="Labels - Opmaakprofiel3 2 14 4 6 2 4" xfId="27584"/>
    <cellStyle name="Labels - Opmaakprofiel3 2 14 4 6 2 5" xfId="53997"/>
    <cellStyle name="Labels - Opmaakprofiel3 2 14 4 6 3" xfId="14305"/>
    <cellStyle name="Labels - Opmaakprofiel3 2 14 4 6 4" xfId="26357"/>
    <cellStyle name="Labels - Opmaakprofiel3 2 14 4 6 5" xfId="40047"/>
    <cellStyle name="Labels - Opmaakprofiel3 2 14 4 6 6" xfId="47955"/>
    <cellStyle name="Labels - Opmaakprofiel3 2 14 4 7" xfId="4920"/>
    <cellStyle name="Labels - Opmaakprofiel3 2 14 4 7 2" xfId="14306"/>
    <cellStyle name="Labels - Opmaakprofiel3 2 14 4 7 3" xfId="26358"/>
    <cellStyle name="Labels - Opmaakprofiel3 2 14 4 7 4" xfId="45739"/>
    <cellStyle name="Labels - Opmaakprofiel3 2 14 4 7 5" xfId="47956"/>
    <cellStyle name="Labels - Opmaakprofiel3 2 14 4 8" xfId="7680"/>
    <cellStyle name="Labels - Opmaakprofiel3 2 14 4 8 2" xfId="19978"/>
    <cellStyle name="Labels - Opmaakprofiel3 2 14 4 8 3" xfId="41781"/>
    <cellStyle name="Labels - Opmaakprofiel3 2 14 4 8 4" xfId="43408"/>
    <cellStyle name="Labels - Opmaakprofiel3 2 14 4 8 5" xfId="52650"/>
    <cellStyle name="Labels - Opmaakprofiel3 2 14 4 9" xfId="14300"/>
    <cellStyle name="Labels - Opmaakprofiel3 2 14 5" xfId="895"/>
    <cellStyle name="Labels - Opmaakprofiel3 2 14 5 2" xfId="1614"/>
    <cellStyle name="Labels - Opmaakprofiel3 2 14 5 2 2" xfId="9033"/>
    <cellStyle name="Labels - Opmaakprofiel3 2 14 5 2 2 2" xfId="21331"/>
    <cellStyle name="Labels - Opmaakprofiel3 2 14 5 2 2 3" xfId="33383"/>
    <cellStyle name="Labels - Opmaakprofiel3 2 14 5 2 2 4" xfId="42861"/>
    <cellStyle name="Labels - Opmaakprofiel3 2 14 5 2 2 5" xfId="53998"/>
    <cellStyle name="Labels - Opmaakprofiel3 2 14 5 2 3" xfId="14308"/>
    <cellStyle name="Labels - Opmaakprofiel3 2 14 5 2 4" xfId="26360"/>
    <cellStyle name="Labels - Opmaakprofiel3 2 14 5 2 5" xfId="45738"/>
    <cellStyle name="Labels - Opmaakprofiel3 2 14 5 2 6" xfId="47957"/>
    <cellStyle name="Labels - Opmaakprofiel3 2 14 5 3" xfId="2906"/>
    <cellStyle name="Labels - Opmaakprofiel3 2 14 5 3 2" xfId="9034"/>
    <cellStyle name="Labels - Opmaakprofiel3 2 14 5 3 2 2" xfId="21332"/>
    <cellStyle name="Labels - Opmaakprofiel3 2 14 5 3 2 3" xfId="33384"/>
    <cellStyle name="Labels - Opmaakprofiel3 2 14 5 3 2 4" xfId="27585"/>
    <cellStyle name="Labels - Opmaakprofiel3 2 14 5 3 2 5" xfId="53999"/>
    <cellStyle name="Labels - Opmaakprofiel3 2 14 5 3 3" xfId="14309"/>
    <cellStyle name="Labels - Opmaakprofiel3 2 14 5 3 4" xfId="26361"/>
    <cellStyle name="Labels - Opmaakprofiel3 2 14 5 3 5" xfId="40045"/>
    <cellStyle name="Labels - Opmaakprofiel3 2 14 5 3 6" xfId="47958"/>
    <cellStyle name="Labels - Opmaakprofiel3 2 14 5 4" xfId="3759"/>
    <cellStyle name="Labels - Opmaakprofiel3 2 14 5 4 2" xfId="9035"/>
    <cellStyle name="Labels - Opmaakprofiel3 2 14 5 4 2 2" xfId="21333"/>
    <cellStyle name="Labels - Opmaakprofiel3 2 14 5 4 2 3" xfId="33385"/>
    <cellStyle name="Labels - Opmaakprofiel3 2 14 5 4 2 4" xfId="42860"/>
    <cellStyle name="Labels - Opmaakprofiel3 2 14 5 4 2 5" xfId="54000"/>
    <cellStyle name="Labels - Opmaakprofiel3 2 14 5 4 3" xfId="14310"/>
    <cellStyle name="Labels - Opmaakprofiel3 2 14 5 4 4" xfId="26362"/>
    <cellStyle name="Labels - Opmaakprofiel3 2 14 5 4 5" xfId="45737"/>
    <cellStyle name="Labels - Opmaakprofiel3 2 14 5 4 6" xfId="47959"/>
    <cellStyle name="Labels - Opmaakprofiel3 2 14 5 5" xfId="4921"/>
    <cellStyle name="Labels - Opmaakprofiel3 2 14 5 5 2" xfId="9036"/>
    <cellStyle name="Labels - Opmaakprofiel3 2 14 5 5 2 2" xfId="21334"/>
    <cellStyle name="Labels - Opmaakprofiel3 2 14 5 5 2 3" xfId="33386"/>
    <cellStyle name="Labels - Opmaakprofiel3 2 14 5 5 2 4" xfId="27586"/>
    <cellStyle name="Labels - Opmaakprofiel3 2 14 5 5 2 5" xfId="54001"/>
    <cellStyle name="Labels - Opmaakprofiel3 2 14 5 5 3" xfId="14311"/>
    <cellStyle name="Labels - Opmaakprofiel3 2 14 5 5 4" xfId="26363"/>
    <cellStyle name="Labels - Opmaakprofiel3 2 14 5 5 5" xfId="40044"/>
    <cellStyle name="Labels - Opmaakprofiel3 2 14 5 5 6" xfId="47960"/>
    <cellStyle name="Labels - Opmaakprofiel3 2 14 5 6" xfId="4922"/>
    <cellStyle name="Labels - Opmaakprofiel3 2 14 5 6 2" xfId="9037"/>
    <cellStyle name="Labels - Opmaakprofiel3 2 14 5 6 2 2" xfId="21335"/>
    <cellStyle name="Labels - Opmaakprofiel3 2 14 5 6 2 3" xfId="33387"/>
    <cellStyle name="Labels - Opmaakprofiel3 2 14 5 6 2 4" xfId="42859"/>
    <cellStyle name="Labels - Opmaakprofiel3 2 14 5 6 2 5" xfId="54002"/>
    <cellStyle name="Labels - Opmaakprofiel3 2 14 5 6 3" xfId="14312"/>
    <cellStyle name="Labels - Opmaakprofiel3 2 14 5 6 4" xfId="26364"/>
    <cellStyle name="Labels - Opmaakprofiel3 2 14 5 6 5" xfId="45736"/>
    <cellStyle name="Labels - Opmaakprofiel3 2 14 5 6 6" xfId="47961"/>
    <cellStyle name="Labels - Opmaakprofiel3 2 14 5 7" xfId="4923"/>
    <cellStyle name="Labels - Opmaakprofiel3 2 14 5 7 2" xfId="14313"/>
    <cellStyle name="Labels - Opmaakprofiel3 2 14 5 7 3" xfId="26365"/>
    <cellStyle name="Labels - Opmaakprofiel3 2 14 5 7 4" xfId="40043"/>
    <cellStyle name="Labels - Opmaakprofiel3 2 14 5 7 5" xfId="47962"/>
    <cellStyle name="Labels - Opmaakprofiel3 2 14 5 8" xfId="7382"/>
    <cellStyle name="Labels - Opmaakprofiel3 2 14 5 8 2" xfId="19680"/>
    <cellStyle name="Labels - Opmaakprofiel3 2 14 5 8 3" xfId="41483"/>
    <cellStyle name="Labels - Opmaakprofiel3 2 14 5 8 4" xfId="43532"/>
    <cellStyle name="Labels - Opmaakprofiel3 2 14 5 8 5" xfId="52352"/>
    <cellStyle name="Labels - Opmaakprofiel3 2 14 5 9" xfId="14307"/>
    <cellStyle name="Labels - Opmaakprofiel3 2 14 6" xfId="994"/>
    <cellStyle name="Labels - Opmaakprofiel3 2 14 6 2" xfId="1875"/>
    <cellStyle name="Labels - Opmaakprofiel3 2 14 6 2 2" xfId="9038"/>
    <cellStyle name="Labels - Opmaakprofiel3 2 14 6 2 2 2" xfId="21336"/>
    <cellStyle name="Labels - Opmaakprofiel3 2 14 6 2 2 3" xfId="33388"/>
    <cellStyle name="Labels - Opmaakprofiel3 2 14 6 2 2 4" xfId="27587"/>
    <cellStyle name="Labels - Opmaakprofiel3 2 14 6 2 2 5" xfId="54003"/>
    <cellStyle name="Labels - Opmaakprofiel3 2 14 6 2 3" xfId="14315"/>
    <cellStyle name="Labels - Opmaakprofiel3 2 14 6 2 4" xfId="26367"/>
    <cellStyle name="Labels - Opmaakprofiel3 2 14 6 2 5" xfId="40042"/>
    <cellStyle name="Labels - Opmaakprofiel3 2 14 6 2 6" xfId="47963"/>
    <cellStyle name="Labels - Opmaakprofiel3 2 14 6 3" xfId="3005"/>
    <cellStyle name="Labels - Opmaakprofiel3 2 14 6 3 2" xfId="9039"/>
    <cellStyle name="Labels - Opmaakprofiel3 2 14 6 3 2 2" xfId="21337"/>
    <cellStyle name="Labels - Opmaakprofiel3 2 14 6 3 2 3" xfId="33389"/>
    <cellStyle name="Labels - Opmaakprofiel3 2 14 6 3 2 4" xfId="27588"/>
    <cellStyle name="Labels - Opmaakprofiel3 2 14 6 3 2 5" xfId="54004"/>
    <cellStyle name="Labels - Opmaakprofiel3 2 14 6 3 3" xfId="14316"/>
    <cellStyle name="Labels - Opmaakprofiel3 2 14 6 3 4" xfId="26368"/>
    <cellStyle name="Labels - Opmaakprofiel3 2 14 6 3 5" xfId="40041"/>
    <cellStyle name="Labels - Opmaakprofiel3 2 14 6 3 6" xfId="47964"/>
    <cellStyle name="Labels - Opmaakprofiel3 2 14 6 4" xfId="3851"/>
    <cellStyle name="Labels - Opmaakprofiel3 2 14 6 4 2" xfId="9040"/>
    <cellStyle name="Labels - Opmaakprofiel3 2 14 6 4 2 2" xfId="21338"/>
    <cellStyle name="Labels - Opmaakprofiel3 2 14 6 4 2 3" xfId="33390"/>
    <cellStyle name="Labels - Opmaakprofiel3 2 14 6 4 2 4" xfId="27589"/>
    <cellStyle name="Labels - Opmaakprofiel3 2 14 6 4 2 5" xfId="54005"/>
    <cellStyle name="Labels - Opmaakprofiel3 2 14 6 4 3" xfId="14317"/>
    <cellStyle name="Labels - Opmaakprofiel3 2 14 6 4 4" xfId="26369"/>
    <cellStyle name="Labels - Opmaakprofiel3 2 14 6 4 5" xfId="40040"/>
    <cellStyle name="Labels - Opmaakprofiel3 2 14 6 4 6" xfId="47965"/>
    <cellStyle name="Labels - Opmaakprofiel3 2 14 6 5" xfId="4924"/>
    <cellStyle name="Labels - Opmaakprofiel3 2 14 6 5 2" xfId="9041"/>
    <cellStyle name="Labels - Opmaakprofiel3 2 14 6 5 2 2" xfId="21339"/>
    <cellStyle name="Labels - Opmaakprofiel3 2 14 6 5 2 3" xfId="33391"/>
    <cellStyle name="Labels - Opmaakprofiel3 2 14 6 5 2 4" xfId="42858"/>
    <cellStyle name="Labels - Opmaakprofiel3 2 14 6 5 2 5" xfId="54006"/>
    <cellStyle name="Labels - Opmaakprofiel3 2 14 6 5 3" xfId="14318"/>
    <cellStyle name="Labels - Opmaakprofiel3 2 14 6 5 4" xfId="26370"/>
    <cellStyle name="Labels - Opmaakprofiel3 2 14 6 5 5" xfId="45734"/>
    <cellStyle name="Labels - Opmaakprofiel3 2 14 6 5 6" xfId="47966"/>
    <cellStyle name="Labels - Opmaakprofiel3 2 14 6 6" xfId="4925"/>
    <cellStyle name="Labels - Opmaakprofiel3 2 14 6 6 2" xfId="9042"/>
    <cellStyle name="Labels - Opmaakprofiel3 2 14 6 6 2 2" xfId="21340"/>
    <cellStyle name="Labels - Opmaakprofiel3 2 14 6 6 2 3" xfId="33392"/>
    <cellStyle name="Labels - Opmaakprofiel3 2 14 6 6 2 4" xfId="27590"/>
    <cellStyle name="Labels - Opmaakprofiel3 2 14 6 6 2 5" xfId="54007"/>
    <cellStyle name="Labels - Opmaakprofiel3 2 14 6 6 3" xfId="14319"/>
    <cellStyle name="Labels - Opmaakprofiel3 2 14 6 6 4" xfId="26371"/>
    <cellStyle name="Labels - Opmaakprofiel3 2 14 6 6 5" xfId="40039"/>
    <cellStyle name="Labels - Opmaakprofiel3 2 14 6 6 6" xfId="47967"/>
    <cellStyle name="Labels - Opmaakprofiel3 2 14 6 7" xfId="4926"/>
    <cellStyle name="Labels - Opmaakprofiel3 2 14 6 7 2" xfId="14320"/>
    <cellStyle name="Labels - Opmaakprofiel3 2 14 6 7 3" xfId="26372"/>
    <cellStyle name="Labels - Opmaakprofiel3 2 14 6 7 4" xfId="45733"/>
    <cellStyle name="Labels - Opmaakprofiel3 2 14 6 7 5" xfId="47968"/>
    <cellStyle name="Labels - Opmaakprofiel3 2 14 6 8" xfId="7316"/>
    <cellStyle name="Labels - Opmaakprofiel3 2 14 6 8 2" xfId="19614"/>
    <cellStyle name="Labels - Opmaakprofiel3 2 14 6 8 3" xfId="41417"/>
    <cellStyle name="Labels - Opmaakprofiel3 2 14 6 8 4" xfId="43560"/>
    <cellStyle name="Labels - Opmaakprofiel3 2 14 6 8 5" xfId="52286"/>
    <cellStyle name="Labels - Opmaakprofiel3 2 14 6 9" xfId="14314"/>
    <cellStyle name="Labels - Opmaakprofiel3 2 14 7" xfId="1693"/>
    <cellStyle name="Labels - Opmaakprofiel3 2 14 7 2" xfId="9043"/>
    <cellStyle name="Labels - Opmaakprofiel3 2 14 7 2 2" xfId="21341"/>
    <cellStyle name="Labels - Opmaakprofiel3 2 14 7 2 3" xfId="33393"/>
    <cellStyle name="Labels - Opmaakprofiel3 2 14 7 2 4" xfId="42857"/>
    <cellStyle name="Labels - Opmaakprofiel3 2 14 7 2 5" xfId="54008"/>
    <cellStyle name="Labels - Opmaakprofiel3 2 14 7 3" xfId="14321"/>
    <cellStyle name="Labels - Opmaakprofiel3 2 14 7 4" xfId="26373"/>
    <cellStyle name="Labels - Opmaakprofiel3 2 14 7 5" xfId="40038"/>
    <cellStyle name="Labels - Opmaakprofiel3 2 14 7 6" xfId="47969"/>
    <cellStyle name="Labels - Opmaakprofiel3 2 14 8" xfId="2761"/>
    <cellStyle name="Labels - Opmaakprofiel3 2 14 8 2" xfId="9044"/>
    <cellStyle name="Labels - Opmaakprofiel3 2 14 8 2 2" xfId="21342"/>
    <cellStyle name="Labels - Opmaakprofiel3 2 14 8 2 3" xfId="33394"/>
    <cellStyle name="Labels - Opmaakprofiel3 2 14 8 2 4" xfId="27591"/>
    <cellStyle name="Labels - Opmaakprofiel3 2 14 8 2 5" xfId="54009"/>
    <cellStyle name="Labels - Opmaakprofiel3 2 14 8 3" xfId="14322"/>
    <cellStyle name="Labels - Opmaakprofiel3 2 14 8 4" xfId="26374"/>
    <cellStyle name="Labels - Opmaakprofiel3 2 14 8 5" xfId="45732"/>
    <cellStyle name="Labels - Opmaakprofiel3 2 14 8 6" xfId="47970"/>
    <cellStyle name="Labels - Opmaakprofiel3 2 14 9" xfId="3623"/>
    <cellStyle name="Labels - Opmaakprofiel3 2 14 9 2" xfId="9045"/>
    <cellStyle name="Labels - Opmaakprofiel3 2 14 9 2 2" xfId="21343"/>
    <cellStyle name="Labels - Opmaakprofiel3 2 14 9 2 3" xfId="33395"/>
    <cellStyle name="Labels - Opmaakprofiel3 2 14 9 2 4" xfId="42856"/>
    <cellStyle name="Labels - Opmaakprofiel3 2 14 9 2 5" xfId="54010"/>
    <cellStyle name="Labels - Opmaakprofiel3 2 14 9 3" xfId="14323"/>
    <cellStyle name="Labels - Opmaakprofiel3 2 14 9 4" xfId="26375"/>
    <cellStyle name="Labels - Opmaakprofiel3 2 14 9 5" xfId="40037"/>
    <cellStyle name="Labels - Opmaakprofiel3 2 14 9 6" xfId="47971"/>
    <cellStyle name="Labels - Opmaakprofiel3 2 15" xfId="689"/>
    <cellStyle name="Labels - Opmaakprofiel3 2 15 10" xfId="4927"/>
    <cellStyle name="Labels - Opmaakprofiel3 2 15 10 2" xfId="9046"/>
    <cellStyle name="Labels - Opmaakprofiel3 2 15 10 2 2" xfId="21344"/>
    <cellStyle name="Labels - Opmaakprofiel3 2 15 10 2 3" xfId="33396"/>
    <cellStyle name="Labels - Opmaakprofiel3 2 15 10 2 4" xfId="27592"/>
    <cellStyle name="Labels - Opmaakprofiel3 2 15 10 2 5" xfId="54011"/>
    <cellStyle name="Labels - Opmaakprofiel3 2 15 10 3" xfId="14325"/>
    <cellStyle name="Labels - Opmaakprofiel3 2 15 10 4" xfId="26377"/>
    <cellStyle name="Labels - Opmaakprofiel3 2 15 10 5" xfId="40036"/>
    <cellStyle name="Labels - Opmaakprofiel3 2 15 10 6" xfId="47972"/>
    <cellStyle name="Labels - Opmaakprofiel3 2 15 11" xfId="4928"/>
    <cellStyle name="Labels - Opmaakprofiel3 2 15 11 2" xfId="9047"/>
    <cellStyle name="Labels - Opmaakprofiel3 2 15 11 2 2" xfId="21345"/>
    <cellStyle name="Labels - Opmaakprofiel3 2 15 11 2 3" xfId="33397"/>
    <cellStyle name="Labels - Opmaakprofiel3 2 15 11 2 4" xfId="42855"/>
    <cellStyle name="Labels - Opmaakprofiel3 2 15 11 2 5" xfId="54012"/>
    <cellStyle name="Labels - Opmaakprofiel3 2 15 11 3" xfId="14326"/>
    <cellStyle name="Labels - Opmaakprofiel3 2 15 11 4" xfId="26378"/>
    <cellStyle name="Labels - Opmaakprofiel3 2 15 11 5" xfId="45730"/>
    <cellStyle name="Labels - Opmaakprofiel3 2 15 11 6" xfId="47973"/>
    <cellStyle name="Labels - Opmaakprofiel3 2 15 12" xfId="4929"/>
    <cellStyle name="Labels - Opmaakprofiel3 2 15 12 2" xfId="14327"/>
    <cellStyle name="Labels - Opmaakprofiel3 2 15 12 3" xfId="26379"/>
    <cellStyle name="Labels - Opmaakprofiel3 2 15 12 4" xfId="40035"/>
    <cellStyle name="Labels - Opmaakprofiel3 2 15 12 5" xfId="47974"/>
    <cellStyle name="Labels - Opmaakprofiel3 2 15 13" xfId="7522"/>
    <cellStyle name="Labels - Opmaakprofiel3 2 15 13 2" xfId="19820"/>
    <cellStyle name="Labels - Opmaakprofiel3 2 15 13 3" xfId="41623"/>
    <cellStyle name="Labels - Opmaakprofiel3 2 15 13 4" xfId="12529"/>
    <cellStyle name="Labels - Opmaakprofiel3 2 15 13 5" xfId="52492"/>
    <cellStyle name="Labels - Opmaakprofiel3 2 15 14" xfId="14324"/>
    <cellStyle name="Labels - Opmaakprofiel3 2 15 2" xfId="862"/>
    <cellStyle name="Labels - Opmaakprofiel3 2 15 2 2" xfId="1437"/>
    <cellStyle name="Labels - Opmaakprofiel3 2 15 2 2 2" xfId="9048"/>
    <cellStyle name="Labels - Opmaakprofiel3 2 15 2 2 2 2" xfId="21346"/>
    <cellStyle name="Labels - Opmaakprofiel3 2 15 2 2 2 3" xfId="33398"/>
    <cellStyle name="Labels - Opmaakprofiel3 2 15 2 2 2 4" xfId="27593"/>
    <cellStyle name="Labels - Opmaakprofiel3 2 15 2 2 2 5" xfId="54013"/>
    <cellStyle name="Labels - Opmaakprofiel3 2 15 2 2 3" xfId="14329"/>
    <cellStyle name="Labels - Opmaakprofiel3 2 15 2 2 4" xfId="26381"/>
    <cellStyle name="Labels - Opmaakprofiel3 2 15 2 2 5" xfId="40033"/>
    <cellStyle name="Labels - Opmaakprofiel3 2 15 2 2 6" xfId="47975"/>
    <cellStyle name="Labels - Opmaakprofiel3 2 15 2 3" xfId="2873"/>
    <cellStyle name="Labels - Opmaakprofiel3 2 15 2 3 2" xfId="9049"/>
    <cellStyle name="Labels - Opmaakprofiel3 2 15 2 3 2 2" xfId="21347"/>
    <cellStyle name="Labels - Opmaakprofiel3 2 15 2 3 2 3" xfId="33399"/>
    <cellStyle name="Labels - Opmaakprofiel3 2 15 2 3 2 4" xfId="42854"/>
    <cellStyle name="Labels - Opmaakprofiel3 2 15 2 3 2 5" xfId="54014"/>
    <cellStyle name="Labels - Opmaakprofiel3 2 15 2 3 3" xfId="14330"/>
    <cellStyle name="Labels - Opmaakprofiel3 2 15 2 3 4" xfId="26382"/>
    <cellStyle name="Labels - Opmaakprofiel3 2 15 2 3 5" xfId="45729"/>
    <cellStyle name="Labels - Opmaakprofiel3 2 15 2 3 6" xfId="47976"/>
    <cellStyle name="Labels - Opmaakprofiel3 2 15 2 4" xfId="3726"/>
    <cellStyle name="Labels - Opmaakprofiel3 2 15 2 4 2" xfId="9050"/>
    <cellStyle name="Labels - Opmaakprofiel3 2 15 2 4 2 2" xfId="21348"/>
    <cellStyle name="Labels - Opmaakprofiel3 2 15 2 4 2 3" xfId="33400"/>
    <cellStyle name="Labels - Opmaakprofiel3 2 15 2 4 2 4" xfId="27594"/>
    <cellStyle name="Labels - Opmaakprofiel3 2 15 2 4 2 5" xfId="54015"/>
    <cellStyle name="Labels - Opmaakprofiel3 2 15 2 4 3" xfId="14331"/>
    <cellStyle name="Labels - Opmaakprofiel3 2 15 2 4 4" xfId="26383"/>
    <cellStyle name="Labels - Opmaakprofiel3 2 15 2 4 5" xfId="40032"/>
    <cellStyle name="Labels - Opmaakprofiel3 2 15 2 4 6" xfId="47977"/>
    <cellStyle name="Labels - Opmaakprofiel3 2 15 2 5" xfId="4930"/>
    <cellStyle name="Labels - Opmaakprofiel3 2 15 2 5 2" xfId="9051"/>
    <cellStyle name="Labels - Opmaakprofiel3 2 15 2 5 2 2" xfId="21349"/>
    <cellStyle name="Labels - Opmaakprofiel3 2 15 2 5 2 3" xfId="33401"/>
    <cellStyle name="Labels - Opmaakprofiel3 2 15 2 5 2 4" xfId="27595"/>
    <cellStyle name="Labels - Opmaakprofiel3 2 15 2 5 2 5" xfId="54016"/>
    <cellStyle name="Labels - Opmaakprofiel3 2 15 2 5 3" xfId="14332"/>
    <cellStyle name="Labels - Opmaakprofiel3 2 15 2 5 4" xfId="26384"/>
    <cellStyle name="Labels - Opmaakprofiel3 2 15 2 5 5" xfId="45728"/>
    <cellStyle name="Labels - Opmaakprofiel3 2 15 2 5 6" xfId="47978"/>
    <cellStyle name="Labels - Opmaakprofiel3 2 15 2 6" xfId="4931"/>
    <cellStyle name="Labels - Opmaakprofiel3 2 15 2 6 2" xfId="9052"/>
    <cellStyle name="Labels - Opmaakprofiel3 2 15 2 6 2 2" xfId="21350"/>
    <cellStyle name="Labels - Opmaakprofiel3 2 15 2 6 2 3" xfId="33402"/>
    <cellStyle name="Labels - Opmaakprofiel3 2 15 2 6 2 4" xfId="27596"/>
    <cellStyle name="Labels - Opmaakprofiel3 2 15 2 6 2 5" xfId="54017"/>
    <cellStyle name="Labels - Opmaakprofiel3 2 15 2 6 3" xfId="14333"/>
    <cellStyle name="Labels - Opmaakprofiel3 2 15 2 6 4" xfId="26385"/>
    <cellStyle name="Labels - Opmaakprofiel3 2 15 2 6 5" xfId="40031"/>
    <cellStyle name="Labels - Opmaakprofiel3 2 15 2 6 6" xfId="47979"/>
    <cellStyle name="Labels - Opmaakprofiel3 2 15 2 7" xfId="4932"/>
    <cellStyle name="Labels - Opmaakprofiel3 2 15 2 7 2" xfId="14334"/>
    <cellStyle name="Labels - Opmaakprofiel3 2 15 2 7 3" xfId="26386"/>
    <cellStyle name="Labels - Opmaakprofiel3 2 15 2 7 4" xfId="45727"/>
    <cellStyle name="Labels - Opmaakprofiel3 2 15 2 7 5" xfId="47980"/>
    <cellStyle name="Labels - Opmaakprofiel3 2 15 2 8" xfId="10092"/>
    <cellStyle name="Labels - Opmaakprofiel3 2 15 2 8 2" xfId="22390"/>
    <cellStyle name="Labels - Opmaakprofiel3 2 15 2 8 3" xfId="44154"/>
    <cellStyle name="Labels - Opmaakprofiel3 2 15 2 8 4" xfId="42419"/>
    <cellStyle name="Labels - Opmaakprofiel3 2 15 2 8 5" xfId="55057"/>
    <cellStyle name="Labels - Opmaakprofiel3 2 15 2 9" xfId="14328"/>
    <cellStyle name="Labels - Opmaakprofiel3 2 15 3" xfId="603"/>
    <cellStyle name="Labels - Opmaakprofiel3 2 15 3 2" xfId="2156"/>
    <cellStyle name="Labels - Opmaakprofiel3 2 15 3 2 2" xfId="9053"/>
    <cellStyle name="Labels - Opmaakprofiel3 2 15 3 2 2 2" xfId="21351"/>
    <cellStyle name="Labels - Opmaakprofiel3 2 15 3 2 2 3" xfId="33403"/>
    <cellStyle name="Labels - Opmaakprofiel3 2 15 3 2 2 4" xfId="42853"/>
    <cellStyle name="Labels - Opmaakprofiel3 2 15 3 2 2 5" xfId="54018"/>
    <cellStyle name="Labels - Opmaakprofiel3 2 15 3 2 3" xfId="14336"/>
    <cellStyle name="Labels - Opmaakprofiel3 2 15 3 2 4" xfId="26388"/>
    <cellStyle name="Labels - Opmaakprofiel3 2 15 3 2 5" xfId="45726"/>
    <cellStyle name="Labels - Opmaakprofiel3 2 15 3 2 6" xfId="47981"/>
    <cellStyle name="Labels - Opmaakprofiel3 2 15 3 3" xfId="2674"/>
    <cellStyle name="Labels - Opmaakprofiel3 2 15 3 3 2" xfId="9054"/>
    <cellStyle name="Labels - Opmaakprofiel3 2 15 3 3 2 2" xfId="21352"/>
    <cellStyle name="Labels - Opmaakprofiel3 2 15 3 3 2 3" xfId="33404"/>
    <cellStyle name="Labels - Opmaakprofiel3 2 15 3 3 2 4" xfId="27597"/>
    <cellStyle name="Labels - Opmaakprofiel3 2 15 3 3 2 5" xfId="54019"/>
    <cellStyle name="Labels - Opmaakprofiel3 2 15 3 3 3" xfId="14337"/>
    <cellStyle name="Labels - Opmaakprofiel3 2 15 3 3 4" xfId="26389"/>
    <cellStyle name="Labels - Opmaakprofiel3 2 15 3 3 5" xfId="40029"/>
    <cellStyle name="Labels - Opmaakprofiel3 2 15 3 3 6" xfId="47982"/>
    <cellStyle name="Labels - Opmaakprofiel3 2 15 3 4" xfId="3546"/>
    <cellStyle name="Labels - Opmaakprofiel3 2 15 3 4 2" xfId="9055"/>
    <cellStyle name="Labels - Opmaakprofiel3 2 15 3 4 2 2" xfId="21353"/>
    <cellStyle name="Labels - Opmaakprofiel3 2 15 3 4 2 3" xfId="33405"/>
    <cellStyle name="Labels - Opmaakprofiel3 2 15 3 4 2 4" xfId="42852"/>
    <cellStyle name="Labels - Opmaakprofiel3 2 15 3 4 2 5" xfId="54020"/>
    <cellStyle name="Labels - Opmaakprofiel3 2 15 3 4 3" xfId="14338"/>
    <cellStyle name="Labels - Opmaakprofiel3 2 15 3 4 4" xfId="26390"/>
    <cellStyle name="Labels - Opmaakprofiel3 2 15 3 4 5" xfId="45725"/>
    <cellStyle name="Labels - Opmaakprofiel3 2 15 3 4 6" xfId="47983"/>
    <cellStyle name="Labels - Opmaakprofiel3 2 15 3 5" xfId="4933"/>
    <cellStyle name="Labels - Opmaakprofiel3 2 15 3 5 2" xfId="9056"/>
    <cellStyle name="Labels - Opmaakprofiel3 2 15 3 5 2 2" xfId="21354"/>
    <cellStyle name="Labels - Opmaakprofiel3 2 15 3 5 2 3" xfId="33406"/>
    <cellStyle name="Labels - Opmaakprofiel3 2 15 3 5 2 4" xfId="27598"/>
    <cellStyle name="Labels - Opmaakprofiel3 2 15 3 5 2 5" xfId="54021"/>
    <cellStyle name="Labels - Opmaakprofiel3 2 15 3 5 3" xfId="14339"/>
    <cellStyle name="Labels - Opmaakprofiel3 2 15 3 5 4" xfId="26391"/>
    <cellStyle name="Labels - Opmaakprofiel3 2 15 3 5 5" xfId="40028"/>
    <cellStyle name="Labels - Opmaakprofiel3 2 15 3 5 6" xfId="47984"/>
    <cellStyle name="Labels - Opmaakprofiel3 2 15 3 6" xfId="4934"/>
    <cellStyle name="Labels - Opmaakprofiel3 2 15 3 6 2" xfId="9057"/>
    <cellStyle name="Labels - Opmaakprofiel3 2 15 3 6 2 2" xfId="21355"/>
    <cellStyle name="Labels - Opmaakprofiel3 2 15 3 6 2 3" xfId="33407"/>
    <cellStyle name="Labels - Opmaakprofiel3 2 15 3 6 2 4" xfId="42851"/>
    <cellStyle name="Labels - Opmaakprofiel3 2 15 3 6 2 5" xfId="54022"/>
    <cellStyle name="Labels - Opmaakprofiel3 2 15 3 6 3" xfId="14340"/>
    <cellStyle name="Labels - Opmaakprofiel3 2 15 3 6 4" xfId="26392"/>
    <cellStyle name="Labels - Opmaakprofiel3 2 15 3 6 5" xfId="40027"/>
    <cellStyle name="Labels - Opmaakprofiel3 2 15 3 6 6" xfId="47985"/>
    <cellStyle name="Labels - Opmaakprofiel3 2 15 3 7" xfId="4935"/>
    <cellStyle name="Labels - Opmaakprofiel3 2 15 3 7 2" xfId="14341"/>
    <cellStyle name="Labels - Opmaakprofiel3 2 15 3 7 3" xfId="26393"/>
    <cellStyle name="Labels - Opmaakprofiel3 2 15 3 7 4" xfId="40026"/>
    <cellStyle name="Labels - Opmaakprofiel3 2 15 3 7 5" xfId="47986"/>
    <cellStyle name="Labels - Opmaakprofiel3 2 15 3 8" xfId="7580"/>
    <cellStyle name="Labels - Opmaakprofiel3 2 15 3 8 2" xfId="19878"/>
    <cellStyle name="Labels - Opmaakprofiel3 2 15 3 8 3" xfId="41681"/>
    <cellStyle name="Labels - Opmaakprofiel3 2 15 3 8 4" xfId="43449"/>
    <cellStyle name="Labels - Opmaakprofiel3 2 15 3 8 5" xfId="52550"/>
    <cellStyle name="Labels - Opmaakprofiel3 2 15 3 9" xfId="14335"/>
    <cellStyle name="Labels - Opmaakprofiel3 2 15 4" xfId="475"/>
    <cellStyle name="Labels - Opmaakprofiel3 2 15 4 2" xfId="2246"/>
    <cellStyle name="Labels - Opmaakprofiel3 2 15 4 2 2" xfId="9058"/>
    <cellStyle name="Labels - Opmaakprofiel3 2 15 4 2 2 2" xfId="21356"/>
    <cellStyle name="Labels - Opmaakprofiel3 2 15 4 2 2 3" xfId="33408"/>
    <cellStyle name="Labels - Opmaakprofiel3 2 15 4 2 2 4" xfId="27599"/>
    <cellStyle name="Labels - Opmaakprofiel3 2 15 4 2 2 5" xfId="54023"/>
    <cellStyle name="Labels - Opmaakprofiel3 2 15 4 2 3" xfId="14343"/>
    <cellStyle name="Labels - Opmaakprofiel3 2 15 4 2 4" xfId="26395"/>
    <cellStyle name="Labels - Opmaakprofiel3 2 15 4 2 5" xfId="40025"/>
    <cellStyle name="Labels - Opmaakprofiel3 2 15 4 2 6" xfId="47987"/>
    <cellStyle name="Labels - Opmaakprofiel3 2 15 4 3" xfId="2546"/>
    <cellStyle name="Labels - Opmaakprofiel3 2 15 4 3 2" xfId="9059"/>
    <cellStyle name="Labels - Opmaakprofiel3 2 15 4 3 2 2" xfId="21357"/>
    <cellStyle name="Labels - Opmaakprofiel3 2 15 4 3 2 3" xfId="33409"/>
    <cellStyle name="Labels - Opmaakprofiel3 2 15 4 3 2 4" xfId="42850"/>
    <cellStyle name="Labels - Opmaakprofiel3 2 15 4 3 2 5" xfId="54024"/>
    <cellStyle name="Labels - Opmaakprofiel3 2 15 4 3 3" xfId="14344"/>
    <cellStyle name="Labels - Opmaakprofiel3 2 15 4 3 4" xfId="26396"/>
    <cellStyle name="Labels - Opmaakprofiel3 2 15 4 3 5" xfId="45724"/>
    <cellStyle name="Labels - Opmaakprofiel3 2 15 4 3 6" xfId="47988"/>
    <cellStyle name="Labels - Opmaakprofiel3 2 15 4 4" xfId="3432"/>
    <cellStyle name="Labels - Opmaakprofiel3 2 15 4 4 2" xfId="9060"/>
    <cellStyle name="Labels - Opmaakprofiel3 2 15 4 4 2 2" xfId="21358"/>
    <cellStyle name="Labels - Opmaakprofiel3 2 15 4 4 2 3" xfId="33410"/>
    <cellStyle name="Labels - Opmaakprofiel3 2 15 4 4 2 4" xfId="27600"/>
    <cellStyle name="Labels - Opmaakprofiel3 2 15 4 4 2 5" xfId="54025"/>
    <cellStyle name="Labels - Opmaakprofiel3 2 15 4 4 3" xfId="14345"/>
    <cellStyle name="Labels - Opmaakprofiel3 2 15 4 4 4" xfId="26397"/>
    <cellStyle name="Labels - Opmaakprofiel3 2 15 4 4 5" xfId="40024"/>
    <cellStyle name="Labels - Opmaakprofiel3 2 15 4 4 6" xfId="47989"/>
    <cellStyle name="Labels - Opmaakprofiel3 2 15 4 5" xfId="4936"/>
    <cellStyle name="Labels - Opmaakprofiel3 2 15 4 5 2" xfId="9061"/>
    <cellStyle name="Labels - Opmaakprofiel3 2 15 4 5 2 2" xfId="21359"/>
    <cellStyle name="Labels - Opmaakprofiel3 2 15 4 5 2 3" xfId="33411"/>
    <cellStyle name="Labels - Opmaakprofiel3 2 15 4 5 2 4" xfId="42849"/>
    <cellStyle name="Labels - Opmaakprofiel3 2 15 4 5 2 5" xfId="54026"/>
    <cellStyle name="Labels - Opmaakprofiel3 2 15 4 5 3" xfId="14346"/>
    <cellStyle name="Labels - Opmaakprofiel3 2 15 4 5 4" xfId="26398"/>
    <cellStyle name="Labels - Opmaakprofiel3 2 15 4 5 5" xfId="45723"/>
    <cellStyle name="Labels - Opmaakprofiel3 2 15 4 5 6" xfId="47990"/>
    <cellStyle name="Labels - Opmaakprofiel3 2 15 4 6" xfId="4937"/>
    <cellStyle name="Labels - Opmaakprofiel3 2 15 4 6 2" xfId="9062"/>
    <cellStyle name="Labels - Opmaakprofiel3 2 15 4 6 2 2" xfId="21360"/>
    <cellStyle name="Labels - Opmaakprofiel3 2 15 4 6 2 3" xfId="33412"/>
    <cellStyle name="Labels - Opmaakprofiel3 2 15 4 6 2 4" xfId="31479"/>
    <cellStyle name="Labels - Opmaakprofiel3 2 15 4 6 2 5" xfId="54027"/>
    <cellStyle name="Labels - Opmaakprofiel3 2 15 4 6 3" xfId="14347"/>
    <cellStyle name="Labels - Opmaakprofiel3 2 15 4 6 4" xfId="26399"/>
    <cellStyle name="Labels - Opmaakprofiel3 2 15 4 6 5" xfId="40023"/>
    <cellStyle name="Labels - Opmaakprofiel3 2 15 4 6 6" xfId="47991"/>
    <cellStyle name="Labels - Opmaakprofiel3 2 15 4 7" xfId="4938"/>
    <cellStyle name="Labels - Opmaakprofiel3 2 15 4 7 2" xfId="14348"/>
    <cellStyle name="Labels - Opmaakprofiel3 2 15 4 7 3" xfId="26400"/>
    <cellStyle name="Labels - Opmaakprofiel3 2 15 4 7 4" xfId="45722"/>
    <cellStyle name="Labels - Opmaakprofiel3 2 15 4 7 5" xfId="47992"/>
    <cellStyle name="Labels - Opmaakprofiel3 2 15 4 8" xfId="7666"/>
    <cellStyle name="Labels - Opmaakprofiel3 2 15 4 8 2" xfId="19964"/>
    <cellStyle name="Labels - Opmaakprofiel3 2 15 4 8 3" xfId="41767"/>
    <cellStyle name="Labels - Opmaakprofiel3 2 15 4 8 4" xfId="25027"/>
    <cellStyle name="Labels - Opmaakprofiel3 2 15 4 8 5" xfId="52636"/>
    <cellStyle name="Labels - Opmaakprofiel3 2 15 4 9" xfId="14342"/>
    <cellStyle name="Labels - Opmaakprofiel3 2 15 5" xfId="912"/>
    <cellStyle name="Labels - Opmaakprofiel3 2 15 5 2" xfId="2454"/>
    <cellStyle name="Labels - Opmaakprofiel3 2 15 5 2 2" xfId="9063"/>
    <cellStyle name="Labels - Opmaakprofiel3 2 15 5 2 2 2" xfId="21361"/>
    <cellStyle name="Labels - Opmaakprofiel3 2 15 5 2 2 3" xfId="33413"/>
    <cellStyle name="Labels - Opmaakprofiel3 2 15 5 2 2 4" xfId="31344"/>
    <cellStyle name="Labels - Opmaakprofiel3 2 15 5 2 2 5" xfId="54028"/>
    <cellStyle name="Labels - Opmaakprofiel3 2 15 5 2 3" xfId="14350"/>
    <cellStyle name="Labels - Opmaakprofiel3 2 15 5 2 4" xfId="26402"/>
    <cellStyle name="Labels - Opmaakprofiel3 2 15 5 2 5" xfId="45721"/>
    <cellStyle name="Labels - Opmaakprofiel3 2 15 5 2 6" xfId="47993"/>
    <cellStyle name="Labels - Opmaakprofiel3 2 15 5 3" xfId="2923"/>
    <cellStyle name="Labels - Opmaakprofiel3 2 15 5 3 2" xfId="9064"/>
    <cellStyle name="Labels - Opmaakprofiel3 2 15 5 3 2 2" xfId="21362"/>
    <cellStyle name="Labels - Opmaakprofiel3 2 15 5 3 2 3" xfId="33414"/>
    <cellStyle name="Labels - Opmaakprofiel3 2 15 5 3 2 4" xfId="27601"/>
    <cellStyle name="Labels - Opmaakprofiel3 2 15 5 3 2 5" xfId="54029"/>
    <cellStyle name="Labels - Opmaakprofiel3 2 15 5 3 3" xfId="14351"/>
    <cellStyle name="Labels - Opmaakprofiel3 2 15 5 3 4" xfId="26403"/>
    <cellStyle name="Labels - Opmaakprofiel3 2 15 5 3 5" xfId="40021"/>
    <cellStyle name="Labels - Opmaakprofiel3 2 15 5 3 6" xfId="47994"/>
    <cellStyle name="Labels - Opmaakprofiel3 2 15 5 4" xfId="3775"/>
    <cellStyle name="Labels - Opmaakprofiel3 2 15 5 4 2" xfId="9065"/>
    <cellStyle name="Labels - Opmaakprofiel3 2 15 5 4 2 2" xfId="21363"/>
    <cellStyle name="Labels - Opmaakprofiel3 2 15 5 4 2 3" xfId="33415"/>
    <cellStyle name="Labels - Opmaakprofiel3 2 15 5 4 2 4" xfId="42848"/>
    <cellStyle name="Labels - Opmaakprofiel3 2 15 5 4 2 5" xfId="54030"/>
    <cellStyle name="Labels - Opmaakprofiel3 2 15 5 4 3" xfId="14352"/>
    <cellStyle name="Labels - Opmaakprofiel3 2 15 5 4 4" xfId="26404"/>
    <cellStyle name="Labels - Opmaakprofiel3 2 15 5 4 5" xfId="40020"/>
    <cellStyle name="Labels - Opmaakprofiel3 2 15 5 4 6" xfId="47995"/>
    <cellStyle name="Labels - Opmaakprofiel3 2 15 5 5" xfId="4939"/>
    <cellStyle name="Labels - Opmaakprofiel3 2 15 5 5 2" xfId="9066"/>
    <cellStyle name="Labels - Opmaakprofiel3 2 15 5 5 2 2" xfId="21364"/>
    <cellStyle name="Labels - Opmaakprofiel3 2 15 5 5 2 3" xfId="33416"/>
    <cellStyle name="Labels - Opmaakprofiel3 2 15 5 5 2 4" xfId="27602"/>
    <cellStyle name="Labels - Opmaakprofiel3 2 15 5 5 2 5" xfId="54031"/>
    <cellStyle name="Labels - Opmaakprofiel3 2 15 5 5 3" xfId="14353"/>
    <cellStyle name="Labels - Opmaakprofiel3 2 15 5 5 4" xfId="26405"/>
    <cellStyle name="Labels - Opmaakprofiel3 2 15 5 5 5" xfId="40019"/>
    <cellStyle name="Labels - Opmaakprofiel3 2 15 5 5 6" xfId="47996"/>
    <cellStyle name="Labels - Opmaakprofiel3 2 15 5 6" xfId="4940"/>
    <cellStyle name="Labels - Opmaakprofiel3 2 15 5 6 2" xfId="9067"/>
    <cellStyle name="Labels - Opmaakprofiel3 2 15 5 6 2 2" xfId="21365"/>
    <cellStyle name="Labels - Opmaakprofiel3 2 15 5 6 2 3" xfId="33417"/>
    <cellStyle name="Labels - Opmaakprofiel3 2 15 5 6 2 4" xfId="42847"/>
    <cellStyle name="Labels - Opmaakprofiel3 2 15 5 6 2 5" xfId="54032"/>
    <cellStyle name="Labels - Opmaakprofiel3 2 15 5 6 3" xfId="14354"/>
    <cellStyle name="Labels - Opmaakprofiel3 2 15 5 6 4" xfId="26406"/>
    <cellStyle name="Labels - Opmaakprofiel3 2 15 5 6 5" xfId="45720"/>
    <cellStyle name="Labels - Opmaakprofiel3 2 15 5 6 6" xfId="47997"/>
    <cellStyle name="Labels - Opmaakprofiel3 2 15 5 7" xfId="4941"/>
    <cellStyle name="Labels - Opmaakprofiel3 2 15 5 7 2" xfId="14355"/>
    <cellStyle name="Labels - Opmaakprofiel3 2 15 5 7 3" xfId="26407"/>
    <cellStyle name="Labels - Opmaakprofiel3 2 15 5 7 4" xfId="40018"/>
    <cellStyle name="Labels - Opmaakprofiel3 2 15 5 7 5" xfId="47998"/>
    <cellStyle name="Labels - Opmaakprofiel3 2 15 5 8" xfId="7371"/>
    <cellStyle name="Labels - Opmaakprofiel3 2 15 5 8 2" xfId="19669"/>
    <cellStyle name="Labels - Opmaakprofiel3 2 15 5 8 3" xfId="41472"/>
    <cellStyle name="Labels - Opmaakprofiel3 2 15 5 8 4" xfId="17919"/>
    <cellStyle name="Labels - Opmaakprofiel3 2 15 5 8 5" xfId="52341"/>
    <cellStyle name="Labels - Opmaakprofiel3 2 15 5 9" xfId="14349"/>
    <cellStyle name="Labels - Opmaakprofiel3 2 15 6" xfId="1282"/>
    <cellStyle name="Labels - Opmaakprofiel3 2 15 6 2" xfId="2090"/>
    <cellStyle name="Labels - Opmaakprofiel3 2 15 6 2 2" xfId="9068"/>
    <cellStyle name="Labels - Opmaakprofiel3 2 15 6 2 2 2" xfId="21366"/>
    <cellStyle name="Labels - Opmaakprofiel3 2 15 6 2 2 3" xfId="33418"/>
    <cellStyle name="Labels - Opmaakprofiel3 2 15 6 2 2 4" xfId="27603"/>
    <cellStyle name="Labels - Opmaakprofiel3 2 15 6 2 2 5" xfId="54033"/>
    <cellStyle name="Labels - Opmaakprofiel3 2 15 6 2 3" xfId="14357"/>
    <cellStyle name="Labels - Opmaakprofiel3 2 15 6 2 4" xfId="26409"/>
    <cellStyle name="Labels - Opmaakprofiel3 2 15 6 2 5" xfId="40017"/>
    <cellStyle name="Labels - Opmaakprofiel3 2 15 6 2 6" xfId="47999"/>
    <cellStyle name="Labels - Opmaakprofiel3 2 15 6 3" xfId="3293"/>
    <cellStyle name="Labels - Opmaakprofiel3 2 15 6 3 2" xfId="9069"/>
    <cellStyle name="Labels - Opmaakprofiel3 2 15 6 3 2 2" xfId="21367"/>
    <cellStyle name="Labels - Opmaakprofiel3 2 15 6 3 2 3" xfId="33419"/>
    <cellStyle name="Labels - Opmaakprofiel3 2 15 6 3 2 4" xfId="42846"/>
    <cellStyle name="Labels - Opmaakprofiel3 2 15 6 3 2 5" xfId="54034"/>
    <cellStyle name="Labels - Opmaakprofiel3 2 15 6 3 3" xfId="14358"/>
    <cellStyle name="Labels - Opmaakprofiel3 2 15 6 3 4" xfId="26410"/>
    <cellStyle name="Labels - Opmaakprofiel3 2 15 6 3 5" xfId="45718"/>
    <cellStyle name="Labels - Opmaakprofiel3 2 15 6 3 6" xfId="48000"/>
    <cellStyle name="Labels - Opmaakprofiel3 2 15 6 4" xfId="4089"/>
    <cellStyle name="Labels - Opmaakprofiel3 2 15 6 4 2" xfId="9070"/>
    <cellStyle name="Labels - Opmaakprofiel3 2 15 6 4 2 2" xfId="21368"/>
    <cellStyle name="Labels - Opmaakprofiel3 2 15 6 4 2 3" xfId="33420"/>
    <cellStyle name="Labels - Opmaakprofiel3 2 15 6 4 2 4" xfId="27604"/>
    <cellStyle name="Labels - Opmaakprofiel3 2 15 6 4 2 5" xfId="54035"/>
    <cellStyle name="Labels - Opmaakprofiel3 2 15 6 4 3" xfId="14359"/>
    <cellStyle name="Labels - Opmaakprofiel3 2 15 6 4 4" xfId="26411"/>
    <cellStyle name="Labels - Opmaakprofiel3 2 15 6 4 5" xfId="40016"/>
    <cellStyle name="Labels - Opmaakprofiel3 2 15 6 4 6" xfId="48001"/>
    <cellStyle name="Labels - Opmaakprofiel3 2 15 6 5" xfId="4942"/>
    <cellStyle name="Labels - Opmaakprofiel3 2 15 6 5 2" xfId="9071"/>
    <cellStyle name="Labels - Opmaakprofiel3 2 15 6 5 2 2" xfId="21369"/>
    <cellStyle name="Labels - Opmaakprofiel3 2 15 6 5 2 3" xfId="33421"/>
    <cellStyle name="Labels - Opmaakprofiel3 2 15 6 5 2 4" xfId="42845"/>
    <cellStyle name="Labels - Opmaakprofiel3 2 15 6 5 2 5" xfId="54036"/>
    <cellStyle name="Labels - Opmaakprofiel3 2 15 6 5 3" xfId="14360"/>
    <cellStyle name="Labels - Opmaakprofiel3 2 15 6 5 4" xfId="26412"/>
    <cellStyle name="Labels - Opmaakprofiel3 2 15 6 5 5" xfId="45717"/>
    <cellStyle name="Labels - Opmaakprofiel3 2 15 6 5 6" xfId="48002"/>
    <cellStyle name="Labels - Opmaakprofiel3 2 15 6 6" xfId="4943"/>
    <cellStyle name="Labels - Opmaakprofiel3 2 15 6 6 2" xfId="9072"/>
    <cellStyle name="Labels - Opmaakprofiel3 2 15 6 6 2 2" xfId="21370"/>
    <cellStyle name="Labels - Opmaakprofiel3 2 15 6 6 2 3" xfId="33422"/>
    <cellStyle name="Labels - Opmaakprofiel3 2 15 6 6 2 4" xfId="27605"/>
    <cellStyle name="Labels - Opmaakprofiel3 2 15 6 6 2 5" xfId="54037"/>
    <cellStyle name="Labels - Opmaakprofiel3 2 15 6 6 3" xfId="14361"/>
    <cellStyle name="Labels - Opmaakprofiel3 2 15 6 6 4" xfId="26413"/>
    <cellStyle name="Labels - Opmaakprofiel3 2 15 6 6 5" xfId="40015"/>
    <cellStyle name="Labels - Opmaakprofiel3 2 15 6 6 6" xfId="48003"/>
    <cellStyle name="Labels - Opmaakprofiel3 2 15 6 7" xfId="4944"/>
    <cellStyle name="Labels - Opmaakprofiel3 2 15 6 7 2" xfId="14362"/>
    <cellStyle name="Labels - Opmaakprofiel3 2 15 6 7 3" xfId="26414"/>
    <cellStyle name="Labels - Opmaakprofiel3 2 15 6 7 4" xfId="45716"/>
    <cellStyle name="Labels - Opmaakprofiel3 2 15 6 7 5" xfId="48004"/>
    <cellStyle name="Labels - Opmaakprofiel3 2 15 6 8" xfId="7094"/>
    <cellStyle name="Labels - Opmaakprofiel3 2 15 6 8 2" xfId="19392"/>
    <cellStyle name="Labels - Opmaakprofiel3 2 15 6 8 3" xfId="41195"/>
    <cellStyle name="Labels - Opmaakprofiel3 2 15 6 8 4" xfId="36979"/>
    <cellStyle name="Labels - Opmaakprofiel3 2 15 6 8 5" xfId="52065"/>
    <cellStyle name="Labels - Opmaakprofiel3 2 15 6 9" xfId="14356"/>
    <cellStyle name="Labels - Opmaakprofiel3 2 15 7" xfId="1688"/>
    <cellStyle name="Labels - Opmaakprofiel3 2 15 7 2" xfId="9073"/>
    <cellStyle name="Labels - Opmaakprofiel3 2 15 7 2 2" xfId="21371"/>
    <cellStyle name="Labels - Opmaakprofiel3 2 15 7 2 3" xfId="33423"/>
    <cellStyle name="Labels - Opmaakprofiel3 2 15 7 2 4" xfId="42844"/>
    <cellStyle name="Labels - Opmaakprofiel3 2 15 7 2 5" xfId="54038"/>
    <cellStyle name="Labels - Opmaakprofiel3 2 15 7 3" xfId="14363"/>
    <cellStyle name="Labels - Opmaakprofiel3 2 15 7 4" xfId="26415"/>
    <cellStyle name="Labels - Opmaakprofiel3 2 15 7 5" xfId="40014"/>
    <cellStyle name="Labels - Opmaakprofiel3 2 15 7 6" xfId="48005"/>
    <cellStyle name="Labels - Opmaakprofiel3 2 15 8" xfId="2754"/>
    <cellStyle name="Labels - Opmaakprofiel3 2 15 8 2" xfId="9074"/>
    <cellStyle name="Labels - Opmaakprofiel3 2 15 8 2 2" xfId="21372"/>
    <cellStyle name="Labels - Opmaakprofiel3 2 15 8 2 3" xfId="33424"/>
    <cellStyle name="Labels - Opmaakprofiel3 2 15 8 2 4" xfId="27606"/>
    <cellStyle name="Labels - Opmaakprofiel3 2 15 8 2 5" xfId="54039"/>
    <cellStyle name="Labels - Opmaakprofiel3 2 15 8 3" xfId="14364"/>
    <cellStyle name="Labels - Opmaakprofiel3 2 15 8 4" xfId="26416"/>
    <cellStyle name="Labels - Opmaakprofiel3 2 15 8 5" xfId="40013"/>
    <cellStyle name="Labels - Opmaakprofiel3 2 15 8 6" xfId="48006"/>
    <cellStyle name="Labels - Opmaakprofiel3 2 15 9" xfId="3616"/>
    <cellStyle name="Labels - Opmaakprofiel3 2 15 9 2" xfId="9075"/>
    <cellStyle name="Labels - Opmaakprofiel3 2 15 9 2 2" xfId="21373"/>
    <cellStyle name="Labels - Opmaakprofiel3 2 15 9 2 3" xfId="33425"/>
    <cellStyle name="Labels - Opmaakprofiel3 2 15 9 2 4" xfId="27607"/>
    <cellStyle name="Labels - Opmaakprofiel3 2 15 9 2 5" xfId="54040"/>
    <cellStyle name="Labels - Opmaakprofiel3 2 15 9 3" xfId="14365"/>
    <cellStyle name="Labels - Opmaakprofiel3 2 15 9 4" xfId="26417"/>
    <cellStyle name="Labels - Opmaakprofiel3 2 15 9 5" xfId="40012"/>
    <cellStyle name="Labels - Opmaakprofiel3 2 15 9 6" xfId="48007"/>
    <cellStyle name="Labels - Opmaakprofiel3 2 16" xfId="717"/>
    <cellStyle name="Labels - Opmaakprofiel3 2 16 10" xfId="4945"/>
    <cellStyle name="Labels - Opmaakprofiel3 2 16 10 2" xfId="9076"/>
    <cellStyle name="Labels - Opmaakprofiel3 2 16 10 2 2" xfId="21374"/>
    <cellStyle name="Labels - Opmaakprofiel3 2 16 10 2 3" xfId="33426"/>
    <cellStyle name="Labels - Opmaakprofiel3 2 16 10 2 4" xfId="27608"/>
    <cellStyle name="Labels - Opmaakprofiel3 2 16 10 2 5" xfId="54041"/>
    <cellStyle name="Labels - Opmaakprofiel3 2 16 10 3" xfId="14367"/>
    <cellStyle name="Labels - Opmaakprofiel3 2 16 10 4" xfId="26419"/>
    <cellStyle name="Labels - Opmaakprofiel3 2 16 10 5" xfId="40011"/>
    <cellStyle name="Labels - Opmaakprofiel3 2 16 10 6" xfId="48008"/>
    <cellStyle name="Labels - Opmaakprofiel3 2 16 11" xfId="4946"/>
    <cellStyle name="Labels - Opmaakprofiel3 2 16 11 2" xfId="9077"/>
    <cellStyle name="Labels - Opmaakprofiel3 2 16 11 2 2" xfId="21375"/>
    <cellStyle name="Labels - Opmaakprofiel3 2 16 11 2 3" xfId="33427"/>
    <cellStyle name="Labels - Opmaakprofiel3 2 16 11 2 4" xfId="42843"/>
    <cellStyle name="Labels - Opmaakprofiel3 2 16 11 2 5" xfId="54042"/>
    <cellStyle name="Labels - Opmaakprofiel3 2 16 11 3" xfId="14368"/>
    <cellStyle name="Labels - Opmaakprofiel3 2 16 11 4" xfId="26420"/>
    <cellStyle name="Labels - Opmaakprofiel3 2 16 11 5" xfId="45714"/>
    <cellStyle name="Labels - Opmaakprofiel3 2 16 11 6" xfId="48009"/>
    <cellStyle name="Labels - Opmaakprofiel3 2 16 12" xfId="4947"/>
    <cellStyle name="Labels - Opmaakprofiel3 2 16 12 2" xfId="14369"/>
    <cellStyle name="Labels - Opmaakprofiel3 2 16 12 3" xfId="26421"/>
    <cellStyle name="Labels - Opmaakprofiel3 2 16 12 4" xfId="40010"/>
    <cellStyle name="Labels - Opmaakprofiel3 2 16 12 5" xfId="48010"/>
    <cellStyle name="Labels - Opmaakprofiel3 2 16 13" xfId="7502"/>
    <cellStyle name="Labels - Opmaakprofiel3 2 16 13 2" xfId="19800"/>
    <cellStyle name="Labels - Opmaakprofiel3 2 16 13 3" xfId="41603"/>
    <cellStyle name="Labels - Opmaakprofiel3 2 16 13 4" xfId="43482"/>
    <cellStyle name="Labels - Opmaakprofiel3 2 16 13 5" xfId="52472"/>
    <cellStyle name="Labels - Opmaakprofiel3 2 16 14" xfId="14366"/>
    <cellStyle name="Labels - Opmaakprofiel3 2 16 2" xfId="890"/>
    <cellStyle name="Labels - Opmaakprofiel3 2 16 2 2" xfId="2201"/>
    <cellStyle name="Labels - Opmaakprofiel3 2 16 2 2 2" xfId="9078"/>
    <cellStyle name="Labels - Opmaakprofiel3 2 16 2 2 2 2" xfId="21376"/>
    <cellStyle name="Labels - Opmaakprofiel3 2 16 2 2 2 3" xfId="33428"/>
    <cellStyle name="Labels - Opmaakprofiel3 2 16 2 2 2 4" xfId="27609"/>
    <cellStyle name="Labels - Opmaakprofiel3 2 16 2 2 2 5" xfId="54043"/>
    <cellStyle name="Labels - Opmaakprofiel3 2 16 2 2 3" xfId="14371"/>
    <cellStyle name="Labels - Opmaakprofiel3 2 16 2 2 4" xfId="26423"/>
    <cellStyle name="Labels - Opmaakprofiel3 2 16 2 2 5" xfId="45713"/>
    <cellStyle name="Labels - Opmaakprofiel3 2 16 2 2 6" xfId="48011"/>
    <cellStyle name="Labels - Opmaakprofiel3 2 16 2 3" xfId="2901"/>
    <cellStyle name="Labels - Opmaakprofiel3 2 16 2 3 2" xfId="9079"/>
    <cellStyle name="Labels - Opmaakprofiel3 2 16 2 3 2 2" xfId="21377"/>
    <cellStyle name="Labels - Opmaakprofiel3 2 16 2 3 2 3" xfId="33429"/>
    <cellStyle name="Labels - Opmaakprofiel3 2 16 2 3 2 4" xfId="42842"/>
    <cellStyle name="Labels - Opmaakprofiel3 2 16 2 3 2 5" xfId="54044"/>
    <cellStyle name="Labels - Opmaakprofiel3 2 16 2 3 3" xfId="14372"/>
    <cellStyle name="Labels - Opmaakprofiel3 2 16 2 3 4" xfId="26424"/>
    <cellStyle name="Labels - Opmaakprofiel3 2 16 2 3 5" xfId="40008"/>
    <cellStyle name="Labels - Opmaakprofiel3 2 16 2 3 6" xfId="48012"/>
    <cellStyle name="Labels - Opmaakprofiel3 2 16 2 4" xfId="3754"/>
    <cellStyle name="Labels - Opmaakprofiel3 2 16 2 4 2" xfId="9080"/>
    <cellStyle name="Labels - Opmaakprofiel3 2 16 2 4 2 2" xfId="21378"/>
    <cellStyle name="Labels - Opmaakprofiel3 2 16 2 4 2 3" xfId="33430"/>
    <cellStyle name="Labels - Opmaakprofiel3 2 16 2 4 2 4" xfId="27610"/>
    <cellStyle name="Labels - Opmaakprofiel3 2 16 2 4 2 5" xfId="54045"/>
    <cellStyle name="Labels - Opmaakprofiel3 2 16 2 4 3" xfId="14373"/>
    <cellStyle name="Labels - Opmaakprofiel3 2 16 2 4 4" xfId="26425"/>
    <cellStyle name="Labels - Opmaakprofiel3 2 16 2 4 5" xfId="45712"/>
    <cellStyle name="Labels - Opmaakprofiel3 2 16 2 4 6" xfId="48013"/>
    <cellStyle name="Labels - Opmaakprofiel3 2 16 2 5" xfId="4948"/>
    <cellStyle name="Labels - Opmaakprofiel3 2 16 2 5 2" xfId="9081"/>
    <cellStyle name="Labels - Opmaakprofiel3 2 16 2 5 2 2" xfId="21379"/>
    <cellStyle name="Labels - Opmaakprofiel3 2 16 2 5 2 3" xfId="33431"/>
    <cellStyle name="Labels - Opmaakprofiel3 2 16 2 5 2 4" xfId="42841"/>
    <cellStyle name="Labels - Opmaakprofiel3 2 16 2 5 2 5" xfId="54046"/>
    <cellStyle name="Labels - Opmaakprofiel3 2 16 2 5 3" xfId="14374"/>
    <cellStyle name="Labels - Opmaakprofiel3 2 16 2 5 4" xfId="26426"/>
    <cellStyle name="Labels - Opmaakprofiel3 2 16 2 5 5" xfId="40007"/>
    <cellStyle name="Labels - Opmaakprofiel3 2 16 2 5 6" xfId="48014"/>
    <cellStyle name="Labels - Opmaakprofiel3 2 16 2 6" xfId="4949"/>
    <cellStyle name="Labels - Opmaakprofiel3 2 16 2 6 2" xfId="9082"/>
    <cellStyle name="Labels - Opmaakprofiel3 2 16 2 6 2 2" xfId="21380"/>
    <cellStyle name="Labels - Opmaakprofiel3 2 16 2 6 2 3" xfId="33432"/>
    <cellStyle name="Labels - Opmaakprofiel3 2 16 2 6 2 4" xfId="27611"/>
    <cellStyle name="Labels - Opmaakprofiel3 2 16 2 6 2 5" xfId="54047"/>
    <cellStyle name="Labels - Opmaakprofiel3 2 16 2 6 3" xfId="14375"/>
    <cellStyle name="Labels - Opmaakprofiel3 2 16 2 6 4" xfId="26427"/>
    <cellStyle name="Labels - Opmaakprofiel3 2 16 2 6 5" xfId="45711"/>
    <cellStyle name="Labels - Opmaakprofiel3 2 16 2 6 6" xfId="48015"/>
    <cellStyle name="Labels - Opmaakprofiel3 2 16 2 7" xfId="4950"/>
    <cellStyle name="Labels - Opmaakprofiel3 2 16 2 7 2" xfId="14376"/>
    <cellStyle name="Labels - Opmaakprofiel3 2 16 2 7 3" xfId="26428"/>
    <cellStyle name="Labels - Opmaakprofiel3 2 16 2 7 4" xfId="40006"/>
    <cellStyle name="Labels - Opmaakprofiel3 2 16 2 7 5" xfId="48016"/>
    <cellStyle name="Labels - Opmaakprofiel3 2 16 2 8" xfId="7385"/>
    <cellStyle name="Labels - Opmaakprofiel3 2 16 2 8 2" xfId="19683"/>
    <cellStyle name="Labels - Opmaakprofiel3 2 16 2 8 3" xfId="41486"/>
    <cellStyle name="Labels - Opmaakprofiel3 2 16 2 8 4" xfId="20091"/>
    <cellStyle name="Labels - Opmaakprofiel3 2 16 2 8 5" xfId="52355"/>
    <cellStyle name="Labels - Opmaakprofiel3 2 16 2 9" xfId="14370"/>
    <cellStyle name="Labels - Opmaakprofiel3 2 16 3" xfId="989"/>
    <cellStyle name="Labels - Opmaakprofiel3 2 16 3 2" xfId="2281"/>
    <cellStyle name="Labels - Opmaakprofiel3 2 16 3 2 2" xfId="9083"/>
    <cellStyle name="Labels - Opmaakprofiel3 2 16 3 2 2 2" xfId="21381"/>
    <cellStyle name="Labels - Opmaakprofiel3 2 16 3 2 2 3" xfId="33433"/>
    <cellStyle name="Labels - Opmaakprofiel3 2 16 3 2 2 4" xfId="42840"/>
    <cellStyle name="Labels - Opmaakprofiel3 2 16 3 2 2 5" xfId="54048"/>
    <cellStyle name="Labels - Opmaakprofiel3 2 16 3 2 3" xfId="14378"/>
    <cellStyle name="Labels - Opmaakprofiel3 2 16 3 2 4" xfId="26430"/>
    <cellStyle name="Labels - Opmaakprofiel3 2 16 3 2 5" xfId="45710"/>
    <cellStyle name="Labels - Opmaakprofiel3 2 16 3 2 6" xfId="48017"/>
    <cellStyle name="Labels - Opmaakprofiel3 2 16 3 3" xfId="3000"/>
    <cellStyle name="Labels - Opmaakprofiel3 2 16 3 3 2" xfId="9084"/>
    <cellStyle name="Labels - Opmaakprofiel3 2 16 3 3 2 2" xfId="21382"/>
    <cellStyle name="Labels - Opmaakprofiel3 2 16 3 3 2 3" xfId="33434"/>
    <cellStyle name="Labels - Opmaakprofiel3 2 16 3 3 2 4" xfId="27612"/>
    <cellStyle name="Labels - Opmaakprofiel3 2 16 3 3 2 5" xfId="54049"/>
    <cellStyle name="Labels - Opmaakprofiel3 2 16 3 3 3" xfId="14379"/>
    <cellStyle name="Labels - Opmaakprofiel3 2 16 3 3 4" xfId="26431"/>
    <cellStyle name="Labels - Opmaakprofiel3 2 16 3 3 5" xfId="40004"/>
    <cellStyle name="Labels - Opmaakprofiel3 2 16 3 3 6" xfId="48018"/>
    <cellStyle name="Labels - Opmaakprofiel3 2 16 3 4" xfId="3846"/>
    <cellStyle name="Labels - Opmaakprofiel3 2 16 3 4 2" xfId="9085"/>
    <cellStyle name="Labels - Opmaakprofiel3 2 16 3 4 2 2" xfId="21383"/>
    <cellStyle name="Labels - Opmaakprofiel3 2 16 3 4 2 3" xfId="33435"/>
    <cellStyle name="Labels - Opmaakprofiel3 2 16 3 4 2 4" xfId="42839"/>
    <cellStyle name="Labels - Opmaakprofiel3 2 16 3 4 2 5" xfId="54050"/>
    <cellStyle name="Labels - Opmaakprofiel3 2 16 3 4 3" xfId="14380"/>
    <cellStyle name="Labels - Opmaakprofiel3 2 16 3 4 4" xfId="26432"/>
    <cellStyle name="Labels - Opmaakprofiel3 2 16 3 4 5" xfId="45709"/>
    <cellStyle name="Labels - Opmaakprofiel3 2 16 3 4 6" xfId="48019"/>
    <cellStyle name="Labels - Opmaakprofiel3 2 16 3 5" xfId="4951"/>
    <cellStyle name="Labels - Opmaakprofiel3 2 16 3 5 2" xfId="9086"/>
    <cellStyle name="Labels - Opmaakprofiel3 2 16 3 5 2 2" xfId="21384"/>
    <cellStyle name="Labels - Opmaakprofiel3 2 16 3 5 2 3" xfId="33436"/>
    <cellStyle name="Labels - Opmaakprofiel3 2 16 3 5 2 4" xfId="27613"/>
    <cellStyle name="Labels - Opmaakprofiel3 2 16 3 5 2 5" xfId="54051"/>
    <cellStyle name="Labels - Opmaakprofiel3 2 16 3 5 3" xfId="14381"/>
    <cellStyle name="Labels - Opmaakprofiel3 2 16 3 5 4" xfId="26433"/>
    <cellStyle name="Labels - Opmaakprofiel3 2 16 3 5 5" xfId="40003"/>
    <cellStyle name="Labels - Opmaakprofiel3 2 16 3 5 6" xfId="48020"/>
    <cellStyle name="Labels - Opmaakprofiel3 2 16 3 6" xfId="4952"/>
    <cellStyle name="Labels - Opmaakprofiel3 2 16 3 6 2" xfId="9087"/>
    <cellStyle name="Labels - Opmaakprofiel3 2 16 3 6 2 2" xfId="21385"/>
    <cellStyle name="Labels - Opmaakprofiel3 2 16 3 6 2 3" xfId="33437"/>
    <cellStyle name="Labels - Opmaakprofiel3 2 16 3 6 2 4" xfId="27614"/>
    <cellStyle name="Labels - Opmaakprofiel3 2 16 3 6 2 5" xfId="54052"/>
    <cellStyle name="Labels - Opmaakprofiel3 2 16 3 6 3" xfId="14382"/>
    <cellStyle name="Labels - Opmaakprofiel3 2 16 3 6 4" xfId="26434"/>
    <cellStyle name="Labels - Opmaakprofiel3 2 16 3 6 5" xfId="45708"/>
    <cellStyle name="Labels - Opmaakprofiel3 2 16 3 6 6" xfId="48021"/>
    <cellStyle name="Labels - Opmaakprofiel3 2 16 3 7" xfId="4953"/>
    <cellStyle name="Labels - Opmaakprofiel3 2 16 3 7 2" xfId="14383"/>
    <cellStyle name="Labels - Opmaakprofiel3 2 16 3 7 3" xfId="26435"/>
    <cellStyle name="Labels - Opmaakprofiel3 2 16 3 7 4" xfId="40002"/>
    <cellStyle name="Labels - Opmaakprofiel3 2 16 3 7 5" xfId="48022"/>
    <cellStyle name="Labels - Opmaakprofiel3 2 16 3 8" xfId="10010"/>
    <cellStyle name="Labels - Opmaakprofiel3 2 16 3 8 2" xfId="22308"/>
    <cellStyle name="Labels - Opmaakprofiel3 2 16 3 8 3" xfId="44073"/>
    <cellStyle name="Labels - Opmaakprofiel3 2 16 3 8 4" xfId="42453"/>
    <cellStyle name="Labels - Opmaakprofiel3 2 16 3 8 5" xfId="54975"/>
    <cellStyle name="Labels - Opmaakprofiel3 2 16 3 9" xfId="14377"/>
    <cellStyle name="Labels - Opmaakprofiel3 2 16 4" xfId="1029"/>
    <cellStyle name="Labels - Opmaakprofiel3 2 16 4 2" xfId="1986"/>
    <cellStyle name="Labels - Opmaakprofiel3 2 16 4 2 2" xfId="9088"/>
    <cellStyle name="Labels - Opmaakprofiel3 2 16 4 2 2 2" xfId="21386"/>
    <cellStyle name="Labels - Opmaakprofiel3 2 16 4 2 2 3" xfId="33438"/>
    <cellStyle name="Labels - Opmaakprofiel3 2 16 4 2 2 4" xfId="27615"/>
    <cellStyle name="Labels - Opmaakprofiel3 2 16 4 2 2 5" xfId="54053"/>
    <cellStyle name="Labels - Opmaakprofiel3 2 16 4 2 3" xfId="14385"/>
    <cellStyle name="Labels - Opmaakprofiel3 2 16 4 2 4" xfId="26437"/>
    <cellStyle name="Labels - Opmaakprofiel3 2 16 4 2 5" xfId="40001"/>
    <cellStyle name="Labels - Opmaakprofiel3 2 16 4 2 6" xfId="48023"/>
    <cellStyle name="Labels - Opmaakprofiel3 2 16 4 3" xfId="3040"/>
    <cellStyle name="Labels - Opmaakprofiel3 2 16 4 3 2" xfId="9089"/>
    <cellStyle name="Labels - Opmaakprofiel3 2 16 4 3 2 2" xfId="21387"/>
    <cellStyle name="Labels - Opmaakprofiel3 2 16 4 3 2 3" xfId="33439"/>
    <cellStyle name="Labels - Opmaakprofiel3 2 16 4 3 2 4" xfId="42838"/>
    <cellStyle name="Labels - Opmaakprofiel3 2 16 4 3 2 5" xfId="54054"/>
    <cellStyle name="Labels - Opmaakprofiel3 2 16 4 3 3" xfId="14386"/>
    <cellStyle name="Labels - Opmaakprofiel3 2 16 4 3 4" xfId="26438"/>
    <cellStyle name="Labels - Opmaakprofiel3 2 16 4 3 5" xfId="45706"/>
    <cellStyle name="Labels - Opmaakprofiel3 2 16 4 3 6" xfId="48024"/>
    <cellStyle name="Labels - Opmaakprofiel3 2 16 4 4" xfId="3882"/>
    <cellStyle name="Labels - Opmaakprofiel3 2 16 4 4 2" xfId="9090"/>
    <cellStyle name="Labels - Opmaakprofiel3 2 16 4 4 2 2" xfId="21388"/>
    <cellStyle name="Labels - Opmaakprofiel3 2 16 4 4 2 3" xfId="33440"/>
    <cellStyle name="Labels - Opmaakprofiel3 2 16 4 4 2 4" xfId="27616"/>
    <cellStyle name="Labels - Opmaakprofiel3 2 16 4 4 2 5" xfId="54055"/>
    <cellStyle name="Labels - Opmaakprofiel3 2 16 4 4 3" xfId="14387"/>
    <cellStyle name="Labels - Opmaakprofiel3 2 16 4 4 4" xfId="26439"/>
    <cellStyle name="Labels - Opmaakprofiel3 2 16 4 4 5" xfId="40000"/>
    <cellStyle name="Labels - Opmaakprofiel3 2 16 4 4 6" xfId="48025"/>
    <cellStyle name="Labels - Opmaakprofiel3 2 16 4 5" xfId="4954"/>
    <cellStyle name="Labels - Opmaakprofiel3 2 16 4 5 2" xfId="9091"/>
    <cellStyle name="Labels - Opmaakprofiel3 2 16 4 5 2 2" xfId="21389"/>
    <cellStyle name="Labels - Opmaakprofiel3 2 16 4 5 2 3" xfId="33441"/>
    <cellStyle name="Labels - Opmaakprofiel3 2 16 4 5 2 4" xfId="42837"/>
    <cellStyle name="Labels - Opmaakprofiel3 2 16 4 5 2 5" xfId="54056"/>
    <cellStyle name="Labels - Opmaakprofiel3 2 16 4 5 3" xfId="14388"/>
    <cellStyle name="Labels - Opmaakprofiel3 2 16 4 5 4" xfId="26440"/>
    <cellStyle name="Labels - Opmaakprofiel3 2 16 4 5 5" xfId="39999"/>
    <cellStyle name="Labels - Opmaakprofiel3 2 16 4 5 6" xfId="48026"/>
    <cellStyle name="Labels - Opmaakprofiel3 2 16 4 6" xfId="4955"/>
    <cellStyle name="Labels - Opmaakprofiel3 2 16 4 6 2" xfId="9092"/>
    <cellStyle name="Labels - Opmaakprofiel3 2 16 4 6 2 2" xfId="21390"/>
    <cellStyle name="Labels - Opmaakprofiel3 2 16 4 6 2 3" xfId="33442"/>
    <cellStyle name="Labels - Opmaakprofiel3 2 16 4 6 2 4" xfId="27617"/>
    <cellStyle name="Labels - Opmaakprofiel3 2 16 4 6 2 5" xfId="54057"/>
    <cellStyle name="Labels - Opmaakprofiel3 2 16 4 6 3" xfId="14389"/>
    <cellStyle name="Labels - Opmaakprofiel3 2 16 4 6 4" xfId="26441"/>
    <cellStyle name="Labels - Opmaakprofiel3 2 16 4 6 5" xfId="39998"/>
    <cellStyle name="Labels - Opmaakprofiel3 2 16 4 6 6" xfId="48027"/>
    <cellStyle name="Labels - Opmaakprofiel3 2 16 4 7" xfId="4956"/>
    <cellStyle name="Labels - Opmaakprofiel3 2 16 4 7 2" xfId="14390"/>
    <cellStyle name="Labels - Opmaakprofiel3 2 16 4 7 3" xfId="26442"/>
    <cellStyle name="Labels - Opmaakprofiel3 2 16 4 7 4" xfId="45705"/>
    <cellStyle name="Labels - Opmaakprofiel3 2 16 4 7 5" xfId="48028"/>
    <cellStyle name="Labels - Opmaakprofiel3 2 16 4 8" xfId="7290"/>
    <cellStyle name="Labels - Opmaakprofiel3 2 16 4 8 2" xfId="19588"/>
    <cellStyle name="Labels - Opmaakprofiel3 2 16 4 8 3" xfId="41391"/>
    <cellStyle name="Labels - Opmaakprofiel3 2 16 4 8 4" xfId="43571"/>
    <cellStyle name="Labels - Opmaakprofiel3 2 16 4 8 5" xfId="52260"/>
    <cellStyle name="Labels - Opmaakprofiel3 2 16 4 9" xfId="14384"/>
    <cellStyle name="Labels - Opmaakprofiel3 2 16 5" xfId="1163"/>
    <cellStyle name="Labels - Opmaakprofiel3 2 16 5 2" xfId="2452"/>
    <cellStyle name="Labels - Opmaakprofiel3 2 16 5 2 2" xfId="9093"/>
    <cellStyle name="Labels - Opmaakprofiel3 2 16 5 2 2 2" xfId="21391"/>
    <cellStyle name="Labels - Opmaakprofiel3 2 16 5 2 2 3" xfId="33443"/>
    <cellStyle name="Labels - Opmaakprofiel3 2 16 5 2 2 4" xfId="42836"/>
    <cellStyle name="Labels - Opmaakprofiel3 2 16 5 2 2 5" xfId="54058"/>
    <cellStyle name="Labels - Opmaakprofiel3 2 16 5 2 3" xfId="14392"/>
    <cellStyle name="Labels - Opmaakprofiel3 2 16 5 2 4" xfId="26444"/>
    <cellStyle name="Labels - Opmaakprofiel3 2 16 5 2 5" xfId="45704"/>
    <cellStyle name="Labels - Opmaakprofiel3 2 16 5 2 6" xfId="48029"/>
    <cellStyle name="Labels - Opmaakprofiel3 2 16 5 3" xfId="3174"/>
    <cellStyle name="Labels - Opmaakprofiel3 2 16 5 3 2" xfId="9094"/>
    <cellStyle name="Labels - Opmaakprofiel3 2 16 5 3 2 2" xfId="21392"/>
    <cellStyle name="Labels - Opmaakprofiel3 2 16 5 3 2 3" xfId="33444"/>
    <cellStyle name="Labels - Opmaakprofiel3 2 16 5 3 2 4" xfId="27618"/>
    <cellStyle name="Labels - Opmaakprofiel3 2 16 5 3 2 5" xfId="54059"/>
    <cellStyle name="Labels - Opmaakprofiel3 2 16 5 3 3" xfId="14393"/>
    <cellStyle name="Labels - Opmaakprofiel3 2 16 5 3 4" xfId="26445"/>
    <cellStyle name="Labels - Opmaakprofiel3 2 16 5 3 5" xfId="39997"/>
    <cellStyle name="Labels - Opmaakprofiel3 2 16 5 3 6" xfId="48030"/>
    <cellStyle name="Labels - Opmaakprofiel3 2 16 5 4" xfId="3996"/>
    <cellStyle name="Labels - Opmaakprofiel3 2 16 5 4 2" xfId="9095"/>
    <cellStyle name="Labels - Opmaakprofiel3 2 16 5 4 2 2" xfId="21393"/>
    <cellStyle name="Labels - Opmaakprofiel3 2 16 5 4 2 3" xfId="33445"/>
    <cellStyle name="Labels - Opmaakprofiel3 2 16 5 4 2 4" xfId="42835"/>
    <cellStyle name="Labels - Opmaakprofiel3 2 16 5 4 2 5" xfId="54060"/>
    <cellStyle name="Labels - Opmaakprofiel3 2 16 5 4 3" xfId="14394"/>
    <cellStyle name="Labels - Opmaakprofiel3 2 16 5 4 4" xfId="26446"/>
    <cellStyle name="Labels - Opmaakprofiel3 2 16 5 4 5" xfId="45703"/>
    <cellStyle name="Labels - Opmaakprofiel3 2 16 5 4 6" xfId="48031"/>
    <cellStyle name="Labels - Opmaakprofiel3 2 16 5 5" xfId="4957"/>
    <cellStyle name="Labels - Opmaakprofiel3 2 16 5 5 2" xfId="9096"/>
    <cellStyle name="Labels - Opmaakprofiel3 2 16 5 5 2 2" xfId="21394"/>
    <cellStyle name="Labels - Opmaakprofiel3 2 16 5 5 2 3" xfId="33446"/>
    <cellStyle name="Labels - Opmaakprofiel3 2 16 5 5 2 4" xfId="27619"/>
    <cellStyle name="Labels - Opmaakprofiel3 2 16 5 5 2 5" xfId="54061"/>
    <cellStyle name="Labels - Opmaakprofiel3 2 16 5 5 3" xfId="14395"/>
    <cellStyle name="Labels - Opmaakprofiel3 2 16 5 5 4" xfId="26447"/>
    <cellStyle name="Labels - Opmaakprofiel3 2 16 5 5 5" xfId="39996"/>
    <cellStyle name="Labels - Opmaakprofiel3 2 16 5 5 6" xfId="48032"/>
    <cellStyle name="Labels - Opmaakprofiel3 2 16 5 6" xfId="4958"/>
    <cellStyle name="Labels - Opmaakprofiel3 2 16 5 6 2" xfId="9097"/>
    <cellStyle name="Labels - Opmaakprofiel3 2 16 5 6 2 2" xfId="21395"/>
    <cellStyle name="Labels - Opmaakprofiel3 2 16 5 6 2 3" xfId="33447"/>
    <cellStyle name="Labels - Opmaakprofiel3 2 16 5 6 2 4" xfId="42834"/>
    <cellStyle name="Labels - Opmaakprofiel3 2 16 5 6 2 5" xfId="54062"/>
    <cellStyle name="Labels - Opmaakprofiel3 2 16 5 6 3" xfId="14396"/>
    <cellStyle name="Labels - Opmaakprofiel3 2 16 5 6 4" xfId="26448"/>
    <cellStyle name="Labels - Opmaakprofiel3 2 16 5 6 5" xfId="45702"/>
    <cellStyle name="Labels - Opmaakprofiel3 2 16 5 6 6" xfId="48033"/>
    <cellStyle name="Labels - Opmaakprofiel3 2 16 5 7" xfId="4959"/>
    <cellStyle name="Labels - Opmaakprofiel3 2 16 5 7 2" xfId="14397"/>
    <cellStyle name="Labels - Opmaakprofiel3 2 16 5 7 3" xfId="26449"/>
    <cellStyle name="Labels - Opmaakprofiel3 2 16 5 7 4" xfId="39995"/>
    <cellStyle name="Labels - Opmaakprofiel3 2 16 5 7 5" xfId="48034"/>
    <cellStyle name="Labels - Opmaakprofiel3 2 16 5 8" xfId="7201"/>
    <cellStyle name="Labels - Opmaakprofiel3 2 16 5 8 2" xfId="19499"/>
    <cellStyle name="Labels - Opmaakprofiel3 2 16 5 8 3" xfId="41302"/>
    <cellStyle name="Labels - Opmaakprofiel3 2 16 5 8 4" xfId="36917"/>
    <cellStyle name="Labels - Opmaakprofiel3 2 16 5 8 5" xfId="52171"/>
    <cellStyle name="Labels - Opmaakprofiel3 2 16 5 9" xfId="14391"/>
    <cellStyle name="Labels - Opmaakprofiel3 2 16 6" xfId="539"/>
    <cellStyle name="Labels - Opmaakprofiel3 2 16 6 2" xfId="2352"/>
    <cellStyle name="Labels - Opmaakprofiel3 2 16 6 2 2" xfId="9098"/>
    <cellStyle name="Labels - Opmaakprofiel3 2 16 6 2 2 2" xfId="21396"/>
    <cellStyle name="Labels - Opmaakprofiel3 2 16 6 2 2 3" xfId="33448"/>
    <cellStyle name="Labels - Opmaakprofiel3 2 16 6 2 2 4" xfId="27620"/>
    <cellStyle name="Labels - Opmaakprofiel3 2 16 6 2 2 5" xfId="54063"/>
    <cellStyle name="Labels - Opmaakprofiel3 2 16 6 2 3" xfId="14399"/>
    <cellStyle name="Labels - Opmaakprofiel3 2 16 6 2 4" xfId="26451"/>
    <cellStyle name="Labels - Opmaakprofiel3 2 16 6 2 5" xfId="39994"/>
    <cellStyle name="Labels - Opmaakprofiel3 2 16 6 2 6" xfId="48035"/>
    <cellStyle name="Labels - Opmaakprofiel3 2 16 6 3" xfId="2610"/>
    <cellStyle name="Labels - Opmaakprofiel3 2 16 6 3 2" xfId="9099"/>
    <cellStyle name="Labels - Opmaakprofiel3 2 16 6 3 2 2" xfId="21397"/>
    <cellStyle name="Labels - Opmaakprofiel3 2 16 6 3 2 3" xfId="33449"/>
    <cellStyle name="Labels - Opmaakprofiel3 2 16 6 3 2 4" xfId="27621"/>
    <cellStyle name="Labels - Opmaakprofiel3 2 16 6 3 2 5" xfId="54064"/>
    <cellStyle name="Labels - Opmaakprofiel3 2 16 6 3 3" xfId="14400"/>
    <cellStyle name="Labels - Opmaakprofiel3 2 16 6 3 4" xfId="26452"/>
    <cellStyle name="Labels - Opmaakprofiel3 2 16 6 3 5" xfId="39993"/>
    <cellStyle name="Labels - Opmaakprofiel3 2 16 6 3 6" xfId="48036"/>
    <cellStyle name="Labels - Opmaakprofiel3 2 16 6 4" xfId="3489"/>
    <cellStyle name="Labels - Opmaakprofiel3 2 16 6 4 2" xfId="9100"/>
    <cellStyle name="Labels - Opmaakprofiel3 2 16 6 4 2 2" xfId="21398"/>
    <cellStyle name="Labels - Opmaakprofiel3 2 16 6 4 2 3" xfId="33450"/>
    <cellStyle name="Labels - Opmaakprofiel3 2 16 6 4 2 4" xfId="27622"/>
    <cellStyle name="Labels - Opmaakprofiel3 2 16 6 4 2 5" xfId="54065"/>
    <cellStyle name="Labels - Opmaakprofiel3 2 16 6 4 3" xfId="14401"/>
    <cellStyle name="Labels - Opmaakprofiel3 2 16 6 4 4" xfId="26453"/>
    <cellStyle name="Labels - Opmaakprofiel3 2 16 6 4 5" xfId="39992"/>
    <cellStyle name="Labels - Opmaakprofiel3 2 16 6 4 6" xfId="48037"/>
    <cellStyle name="Labels - Opmaakprofiel3 2 16 6 5" xfId="4960"/>
    <cellStyle name="Labels - Opmaakprofiel3 2 16 6 5 2" xfId="9101"/>
    <cellStyle name="Labels - Opmaakprofiel3 2 16 6 5 2 2" xfId="21399"/>
    <cellStyle name="Labels - Opmaakprofiel3 2 16 6 5 2 3" xfId="33451"/>
    <cellStyle name="Labels - Opmaakprofiel3 2 16 6 5 2 4" xfId="42833"/>
    <cellStyle name="Labels - Opmaakprofiel3 2 16 6 5 2 5" xfId="54066"/>
    <cellStyle name="Labels - Opmaakprofiel3 2 16 6 5 3" xfId="14402"/>
    <cellStyle name="Labels - Opmaakprofiel3 2 16 6 5 4" xfId="26454"/>
    <cellStyle name="Labels - Opmaakprofiel3 2 16 6 5 5" xfId="45700"/>
    <cellStyle name="Labels - Opmaakprofiel3 2 16 6 5 6" xfId="48038"/>
    <cellStyle name="Labels - Opmaakprofiel3 2 16 6 6" xfId="4961"/>
    <cellStyle name="Labels - Opmaakprofiel3 2 16 6 6 2" xfId="9102"/>
    <cellStyle name="Labels - Opmaakprofiel3 2 16 6 6 2 2" xfId="21400"/>
    <cellStyle name="Labels - Opmaakprofiel3 2 16 6 6 2 3" xfId="33452"/>
    <cellStyle name="Labels - Opmaakprofiel3 2 16 6 6 2 4" xfId="27623"/>
    <cellStyle name="Labels - Opmaakprofiel3 2 16 6 6 2 5" xfId="54067"/>
    <cellStyle name="Labels - Opmaakprofiel3 2 16 6 6 3" xfId="14403"/>
    <cellStyle name="Labels - Opmaakprofiel3 2 16 6 6 4" xfId="26455"/>
    <cellStyle name="Labels - Opmaakprofiel3 2 16 6 6 5" xfId="39991"/>
    <cellStyle name="Labels - Opmaakprofiel3 2 16 6 6 6" xfId="48039"/>
    <cellStyle name="Labels - Opmaakprofiel3 2 16 6 7" xfId="4962"/>
    <cellStyle name="Labels - Opmaakprofiel3 2 16 6 7 2" xfId="14404"/>
    <cellStyle name="Labels - Opmaakprofiel3 2 16 6 7 3" xfId="26456"/>
    <cellStyle name="Labels - Opmaakprofiel3 2 16 6 7 4" xfId="45699"/>
    <cellStyle name="Labels - Opmaakprofiel3 2 16 6 7 5" xfId="48040"/>
    <cellStyle name="Labels - Opmaakprofiel3 2 16 6 8" xfId="7622"/>
    <cellStyle name="Labels - Opmaakprofiel3 2 16 6 8 2" xfId="19920"/>
    <cellStyle name="Labels - Opmaakprofiel3 2 16 6 8 3" xfId="41723"/>
    <cellStyle name="Labels - Opmaakprofiel3 2 16 6 8 4" xfId="43432"/>
    <cellStyle name="Labels - Opmaakprofiel3 2 16 6 8 5" xfId="52592"/>
    <cellStyle name="Labels - Opmaakprofiel3 2 16 6 9" xfId="14398"/>
    <cellStyle name="Labels - Opmaakprofiel3 2 16 7" xfId="1750"/>
    <cellStyle name="Labels - Opmaakprofiel3 2 16 7 2" xfId="9103"/>
    <cellStyle name="Labels - Opmaakprofiel3 2 16 7 2 2" xfId="21401"/>
    <cellStyle name="Labels - Opmaakprofiel3 2 16 7 2 3" xfId="33453"/>
    <cellStyle name="Labels - Opmaakprofiel3 2 16 7 2 4" xfId="42832"/>
    <cellStyle name="Labels - Opmaakprofiel3 2 16 7 2 5" xfId="54068"/>
    <cellStyle name="Labels - Opmaakprofiel3 2 16 7 3" xfId="14405"/>
    <cellStyle name="Labels - Opmaakprofiel3 2 16 7 4" xfId="26457"/>
    <cellStyle name="Labels - Opmaakprofiel3 2 16 7 5" xfId="39990"/>
    <cellStyle name="Labels - Opmaakprofiel3 2 16 7 6" xfId="48041"/>
    <cellStyle name="Labels - Opmaakprofiel3 2 16 8" xfId="2775"/>
    <cellStyle name="Labels - Opmaakprofiel3 2 16 8 2" xfId="9104"/>
    <cellStyle name="Labels - Opmaakprofiel3 2 16 8 2 2" xfId="21402"/>
    <cellStyle name="Labels - Opmaakprofiel3 2 16 8 2 3" xfId="33454"/>
    <cellStyle name="Labels - Opmaakprofiel3 2 16 8 2 4" xfId="27624"/>
    <cellStyle name="Labels - Opmaakprofiel3 2 16 8 2 5" xfId="54069"/>
    <cellStyle name="Labels - Opmaakprofiel3 2 16 8 3" xfId="14406"/>
    <cellStyle name="Labels - Opmaakprofiel3 2 16 8 4" xfId="26458"/>
    <cellStyle name="Labels - Opmaakprofiel3 2 16 8 5" xfId="45698"/>
    <cellStyle name="Labels - Opmaakprofiel3 2 16 8 6" xfId="48042"/>
    <cellStyle name="Labels - Opmaakprofiel3 2 16 9" xfId="3637"/>
    <cellStyle name="Labels - Opmaakprofiel3 2 16 9 2" xfId="9105"/>
    <cellStyle name="Labels - Opmaakprofiel3 2 16 9 2 2" xfId="21403"/>
    <cellStyle name="Labels - Opmaakprofiel3 2 16 9 2 3" xfId="33455"/>
    <cellStyle name="Labels - Opmaakprofiel3 2 16 9 2 4" xfId="42831"/>
    <cellStyle name="Labels - Opmaakprofiel3 2 16 9 2 5" xfId="54070"/>
    <cellStyle name="Labels - Opmaakprofiel3 2 16 9 3" xfId="14407"/>
    <cellStyle name="Labels - Opmaakprofiel3 2 16 9 4" xfId="26459"/>
    <cellStyle name="Labels - Opmaakprofiel3 2 16 9 5" xfId="39989"/>
    <cellStyle name="Labels - Opmaakprofiel3 2 16 9 6" xfId="48043"/>
    <cellStyle name="Labels - Opmaakprofiel3 2 17" xfId="790"/>
    <cellStyle name="Labels - Opmaakprofiel3 2 17 10" xfId="4963"/>
    <cellStyle name="Labels - Opmaakprofiel3 2 17 10 2" xfId="9106"/>
    <cellStyle name="Labels - Opmaakprofiel3 2 17 10 2 2" xfId="21404"/>
    <cellStyle name="Labels - Opmaakprofiel3 2 17 10 2 3" xfId="33456"/>
    <cellStyle name="Labels - Opmaakprofiel3 2 17 10 2 4" xfId="27625"/>
    <cellStyle name="Labels - Opmaakprofiel3 2 17 10 2 5" xfId="54071"/>
    <cellStyle name="Labels - Opmaakprofiel3 2 17 10 3" xfId="14409"/>
    <cellStyle name="Labels - Opmaakprofiel3 2 17 10 4" xfId="26461"/>
    <cellStyle name="Labels - Opmaakprofiel3 2 17 10 5" xfId="39988"/>
    <cellStyle name="Labels - Opmaakprofiel3 2 17 10 6" xfId="48044"/>
    <cellStyle name="Labels - Opmaakprofiel3 2 17 11" xfId="4964"/>
    <cellStyle name="Labels - Opmaakprofiel3 2 17 11 2" xfId="9107"/>
    <cellStyle name="Labels - Opmaakprofiel3 2 17 11 2 2" xfId="21405"/>
    <cellStyle name="Labels - Opmaakprofiel3 2 17 11 2 3" xfId="33457"/>
    <cellStyle name="Labels - Opmaakprofiel3 2 17 11 2 4" xfId="42830"/>
    <cellStyle name="Labels - Opmaakprofiel3 2 17 11 2 5" xfId="54072"/>
    <cellStyle name="Labels - Opmaakprofiel3 2 17 11 3" xfId="14410"/>
    <cellStyle name="Labels - Opmaakprofiel3 2 17 11 4" xfId="26462"/>
    <cellStyle name="Labels - Opmaakprofiel3 2 17 11 5" xfId="45696"/>
    <cellStyle name="Labels - Opmaakprofiel3 2 17 11 6" xfId="48045"/>
    <cellStyle name="Labels - Opmaakprofiel3 2 17 12" xfId="4965"/>
    <cellStyle name="Labels - Opmaakprofiel3 2 17 12 2" xfId="14411"/>
    <cellStyle name="Labels - Opmaakprofiel3 2 17 12 3" xfId="26463"/>
    <cellStyle name="Labels - Opmaakprofiel3 2 17 12 4" xfId="39987"/>
    <cellStyle name="Labels - Opmaakprofiel3 2 17 12 5" xfId="48046"/>
    <cellStyle name="Labels - Opmaakprofiel3 2 17 13" xfId="10144"/>
    <cellStyle name="Labels - Opmaakprofiel3 2 17 13 2" xfId="22442"/>
    <cellStyle name="Labels - Opmaakprofiel3 2 17 13 3" xfId="44206"/>
    <cellStyle name="Labels - Opmaakprofiel3 2 17 13 4" xfId="42397"/>
    <cellStyle name="Labels - Opmaakprofiel3 2 17 13 5" xfId="55109"/>
    <cellStyle name="Labels - Opmaakprofiel3 2 17 14" xfId="14408"/>
    <cellStyle name="Labels - Opmaakprofiel3 2 17 2" xfId="953"/>
    <cellStyle name="Labels - Opmaakprofiel3 2 17 2 2" xfId="2220"/>
    <cellStyle name="Labels - Opmaakprofiel3 2 17 2 2 2" xfId="9108"/>
    <cellStyle name="Labels - Opmaakprofiel3 2 17 2 2 2 2" xfId="21406"/>
    <cellStyle name="Labels - Opmaakprofiel3 2 17 2 2 2 3" xfId="33458"/>
    <cellStyle name="Labels - Opmaakprofiel3 2 17 2 2 2 4" xfId="27626"/>
    <cellStyle name="Labels - Opmaakprofiel3 2 17 2 2 2 5" xfId="54073"/>
    <cellStyle name="Labels - Opmaakprofiel3 2 17 2 2 3" xfId="14413"/>
    <cellStyle name="Labels - Opmaakprofiel3 2 17 2 2 4" xfId="26465"/>
    <cellStyle name="Labels - Opmaakprofiel3 2 17 2 2 5" xfId="39985"/>
    <cellStyle name="Labels - Opmaakprofiel3 2 17 2 2 6" xfId="48047"/>
    <cellStyle name="Labels - Opmaakprofiel3 2 17 2 3" xfId="2964"/>
    <cellStyle name="Labels - Opmaakprofiel3 2 17 2 3 2" xfId="9109"/>
    <cellStyle name="Labels - Opmaakprofiel3 2 17 2 3 2 2" xfId="21407"/>
    <cellStyle name="Labels - Opmaakprofiel3 2 17 2 3 2 3" xfId="33459"/>
    <cellStyle name="Labels - Opmaakprofiel3 2 17 2 3 2 4" xfId="42829"/>
    <cellStyle name="Labels - Opmaakprofiel3 2 17 2 3 2 5" xfId="54074"/>
    <cellStyle name="Labels - Opmaakprofiel3 2 17 2 3 3" xfId="14414"/>
    <cellStyle name="Labels - Opmaakprofiel3 2 17 2 3 4" xfId="26466"/>
    <cellStyle name="Labels - Opmaakprofiel3 2 17 2 3 5" xfId="45695"/>
    <cellStyle name="Labels - Opmaakprofiel3 2 17 2 3 6" xfId="48048"/>
    <cellStyle name="Labels - Opmaakprofiel3 2 17 2 4" xfId="3810"/>
    <cellStyle name="Labels - Opmaakprofiel3 2 17 2 4 2" xfId="9110"/>
    <cellStyle name="Labels - Opmaakprofiel3 2 17 2 4 2 2" xfId="21408"/>
    <cellStyle name="Labels - Opmaakprofiel3 2 17 2 4 2 3" xfId="33460"/>
    <cellStyle name="Labels - Opmaakprofiel3 2 17 2 4 2 4" xfId="27627"/>
    <cellStyle name="Labels - Opmaakprofiel3 2 17 2 4 2 5" xfId="54075"/>
    <cellStyle name="Labels - Opmaakprofiel3 2 17 2 4 3" xfId="14415"/>
    <cellStyle name="Labels - Opmaakprofiel3 2 17 2 4 4" xfId="26467"/>
    <cellStyle name="Labels - Opmaakprofiel3 2 17 2 4 5" xfId="39984"/>
    <cellStyle name="Labels - Opmaakprofiel3 2 17 2 4 6" xfId="48049"/>
    <cellStyle name="Labels - Opmaakprofiel3 2 17 2 5" xfId="4966"/>
    <cellStyle name="Labels - Opmaakprofiel3 2 17 2 5 2" xfId="9111"/>
    <cellStyle name="Labels - Opmaakprofiel3 2 17 2 5 2 2" xfId="21409"/>
    <cellStyle name="Labels - Opmaakprofiel3 2 17 2 5 2 3" xfId="33461"/>
    <cellStyle name="Labels - Opmaakprofiel3 2 17 2 5 2 4" xfId="27628"/>
    <cellStyle name="Labels - Opmaakprofiel3 2 17 2 5 2 5" xfId="54076"/>
    <cellStyle name="Labels - Opmaakprofiel3 2 17 2 5 3" xfId="14416"/>
    <cellStyle name="Labels - Opmaakprofiel3 2 17 2 5 4" xfId="26468"/>
    <cellStyle name="Labels - Opmaakprofiel3 2 17 2 5 5" xfId="45694"/>
    <cellStyle name="Labels - Opmaakprofiel3 2 17 2 5 6" xfId="48050"/>
    <cellStyle name="Labels - Opmaakprofiel3 2 17 2 6" xfId="4967"/>
    <cellStyle name="Labels - Opmaakprofiel3 2 17 2 6 2" xfId="9112"/>
    <cellStyle name="Labels - Opmaakprofiel3 2 17 2 6 2 2" xfId="21410"/>
    <cellStyle name="Labels - Opmaakprofiel3 2 17 2 6 2 3" xfId="33462"/>
    <cellStyle name="Labels - Opmaakprofiel3 2 17 2 6 2 4" xfId="19281"/>
    <cellStyle name="Labels - Opmaakprofiel3 2 17 2 6 2 5" xfId="54077"/>
    <cellStyle name="Labels - Opmaakprofiel3 2 17 2 6 3" xfId="14417"/>
    <cellStyle name="Labels - Opmaakprofiel3 2 17 2 6 4" xfId="26469"/>
    <cellStyle name="Labels - Opmaakprofiel3 2 17 2 6 5" xfId="39983"/>
    <cellStyle name="Labels - Opmaakprofiel3 2 17 2 6 6" xfId="48051"/>
    <cellStyle name="Labels - Opmaakprofiel3 2 17 2 7" xfId="4968"/>
    <cellStyle name="Labels - Opmaakprofiel3 2 17 2 7 2" xfId="14418"/>
    <cellStyle name="Labels - Opmaakprofiel3 2 17 2 7 3" xfId="26470"/>
    <cellStyle name="Labels - Opmaakprofiel3 2 17 2 7 4" xfId="45693"/>
    <cellStyle name="Labels - Opmaakprofiel3 2 17 2 7 5" xfId="48052"/>
    <cellStyle name="Labels - Opmaakprofiel3 2 17 2 8" xfId="7343"/>
    <cellStyle name="Labels - Opmaakprofiel3 2 17 2 8 2" xfId="19641"/>
    <cellStyle name="Labels - Opmaakprofiel3 2 17 2 8 3" xfId="41444"/>
    <cellStyle name="Labels - Opmaakprofiel3 2 17 2 8 4" xfId="36834"/>
    <cellStyle name="Labels - Opmaakprofiel3 2 17 2 8 5" xfId="52313"/>
    <cellStyle name="Labels - Opmaakprofiel3 2 17 2 9" xfId="14412"/>
    <cellStyle name="Labels - Opmaakprofiel3 2 17 3" xfId="1049"/>
    <cellStyle name="Labels - Opmaakprofiel3 2 17 3 2" xfId="2065"/>
    <cellStyle name="Labels - Opmaakprofiel3 2 17 3 2 2" xfId="9113"/>
    <cellStyle name="Labels - Opmaakprofiel3 2 17 3 2 2 2" xfId="21411"/>
    <cellStyle name="Labels - Opmaakprofiel3 2 17 3 2 2 3" xfId="33463"/>
    <cellStyle name="Labels - Opmaakprofiel3 2 17 3 2 2 4" xfId="42828"/>
    <cellStyle name="Labels - Opmaakprofiel3 2 17 3 2 2 5" xfId="54078"/>
    <cellStyle name="Labels - Opmaakprofiel3 2 17 3 2 3" xfId="14420"/>
    <cellStyle name="Labels - Opmaakprofiel3 2 17 3 2 4" xfId="26472"/>
    <cellStyle name="Labels - Opmaakprofiel3 2 17 3 2 5" xfId="45692"/>
    <cellStyle name="Labels - Opmaakprofiel3 2 17 3 2 6" xfId="48053"/>
    <cellStyle name="Labels - Opmaakprofiel3 2 17 3 3" xfId="3060"/>
    <cellStyle name="Labels - Opmaakprofiel3 2 17 3 3 2" xfId="9114"/>
    <cellStyle name="Labels - Opmaakprofiel3 2 17 3 3 2 2" xfId="21412"/>
    <cellStyle name="Labels - Opmaakprofiel3 2 17 3 3 2 3" xfId="33464"/>
    <cellStyle name="Labels - Opmaakprofiel3 2 17 3 3 2 4" xfId="27629"/>
    <cellStyle name="Labels - Opmaakprofiel3 2 17 3 3 2 5" xfId="54079"/>
    <cellStyle name="Labels - Opmaakprofiel3 2 17 3 3 3" xfId="14421"/>
    <cellStyle name="Labels - Opmaakprofiel3 2 17 3 3 4" xfId="26473"/>
    <cellStyle name="Labels - Opmaakprofiel3 2 17 3 3 5" xfId="39982"/>
    <cellStyle name="Labels - Opmaakprofiel3 2 17 3 3 6" xfId="48054"/>
    <cellStyle name="Labels - Opmaakprofiel3 2 17 3 4" xfId="3901"/>
    <cellStyle name="Labels - Opmaakprofiel3 2 17 3 4 2" xfId="9115"/>
    <cellStyle name="Labels - Opmaakprofiel3 2 17 3 4 2 2" xfId="21413"/>
    <cellStyle name="Labels - Opmaakprofiel3 2 17 3 4 2 3" xfId="33465"/>
    <cellStyle name="Labels - Opmaakprofiel3 2 17 3 4 2 4" xfId="42827"/>
    <cellStyle name="Labels - Opmaakprofiel3 2 17 3 4 2 5" xfId="54080"/>
    <cellStyle name="Labels - Opmaakprofiel3 2 17 3 4 3" xfId="14422"/>
    <cellStyle name="Labels - Opmaakprofiel3 2 17 3 4 4" xfId="26474"/>
    <cellStyle name="Labels - Opmaakprofiel3 2 17 3 4 5" xfId="45691"/>
    <cellStyle name="Labels - Opmaakprofiel3 2 17 3 4 6" xfId="48055"/>
    <cellStyle name="Labels - Opmaakprofiel3 2 17 3 5" xfId="4969"/>
    <cellStyle name="Labels - Opmaakprofiel3 2 17 3 5 2" xfId="9116"/>
    <cellStyle name="Labels - Opmaakprofiel3 2 17 3 5 2 2" xfId="21414"/>
    <cellStyle name="Labels - Opmaakprofiel3 2 17 3 5 2 3" xfId="33466"/>
    <cellStyle name="Labels - Opmaakprofiel3 2 17 3 5 2 4" xfId="27630"/>
    <cellStyle name="Labels - Opmaakprofiel3 2 17 3 5 2 5" xfId="54081"/>
    <cellStyle name="Labels - Opmaakprofiel3 2 17 3 5 3" xfId="14423"/>
    <cellStyle name="Labels - Opmaakprofiel3 2 17 3 5 4" xfId="26475"/>
    <cellStyle name="Labels - Opmaakprofiel3 2 17 3 5 5" xfId="39981"/>
    <cellStyle name="Labels - Opmaakprofiel3 2 17 3 5 6" xfId="48056"/>
    <cellStyle name="Labels - Opmaakprofiel3 2 17 3 6" xfId="4970"/>
    <cellStyle name="Labels - Opmaakprofiel3 2 17 3 6 2" xfId="9117"/>
    <cellStyle name="Labels - Opmaakprofiel3 2 17 3 6 2 2" xfId="21415"/>
    <cellStyle name="Labels - Opmaakprofiel3 2 17 3 6 2 3" xfId="33467"/>
    <cellStyle name="Labels - Opmaakprofiel3 2 17 3 6 2 4" xfId="42826"/>
    <cellStyle name="Labels - Opmaakprofiel3 2 17 3 6 2 5" xfId="54082"/>
    <cellStyle name="Labels - Opmaakprofiel3 2 17 3 6 3" xfId="14424"/>
    <cellStyle name="Labels - Opmaakprofiel3 2 17 3 6 4" xfId="26476"/>
    <cellStyle name="Labels - Opmaakprofiel3 2 17 3 6 5" xfId="39980"/>
    <cellStyle name="Labels - Opmaakprofiel3 2 17 3 6 6" xfId="48057"/>
    <cellStyle name="Labels - Opmaakprofiel3 2 17 3 7" xfId="4971"/>
    <cellStyle name="Labels - Opmaakprofiel3 2 17 3 7 2" xfId="14425"/>
    <cellStyle name="Labels - Opmaakprofiel3 2 17 3 7 3" xfId="26477"/>
    <cellStyle name="Labels - Opmaakprofiel3 2 17 3 7 4" xfId="39979"/>
    <cellStyle name="Labels - Opmaakprofiel3 2 17 3 7 5" xfId="48058"/>
    <cellStyle name="Labels - Opmaakprofiel3 2 17 3 8" xfId="7276"/>
    <cellStyle name="Labels - Opmaakprofiel3 2 17 3 8 2" xfId="19574"/>
    <cellStyle name="Labels - Opmaakprofiel3 2 17 3 8 3" xfId="41377"/>
    <cellStyle name="Labels - Opmaakprofiel3 2 17 3 8 4" xfId="36873"/>
    <cellStyle name="Labels - Opmaakprofiel3 2 17 3 8 5" xfId="52246"/>
    <cellStyle name="Labels - Opmaakprofiel3 2 17 3 9" xfId="14419"/>
    <cellStyle name="Labels - Opmaakprofiel3 2 17 4" xfId="1137"/>
    <cellStyle name="Labels - Opmaakprofiel3 2 17 4 2" xfId="2424"/>
    <cellStyle name="Labels - Opmaakprofiel3 2 17 4 2 2" xfId="9118"/>
    <cellStyle name="Labels - Opmaakprofiel3 2 17 4 2 2 2" xfId="21416"/>
    <cellStyle name="Labels - Opmaakprofiel3 2 17 4 2 2 3" xfId="33468"/>
    <cellStyle name="Labels - Opmaakprofiel3 2 17 4 2 2 4" xfId="27631"/>
    <cellStyle name="Labels - Opmaakprofiel3 2 17 4 2 2 5" xfId="54083"/>
    <cellStyle name="Labels - Opmaakprofiel3 2 17 4 2 3" xfId="14427"/>
    <cellStyle name="Labels - Opmaakprofiel3 2 17 4 2 4" xfId="26479"/>
    <cellStyle name="Labels - Opmaakprofiel3 2 17 4 2 5" xfId="39978"/>
    <cellStyle name="Labels - Opmaakprofiel3 2 17 4 2 6" xfId="48059"/>
    <cellStyle name="Labels - Opmaakprofiel3 2 17 4 3" xfId="3148"/>
    <cellStyle name="Labels - Opmaakprofiel3 2 17 4 3 2" xfId="9119"/>
    <cellStyle name="Labels - Opmaakprofiel3 2 17 4 3 2 2" xfId="21417"/>
    <cellStyle name="Labels - Opmaakprofiel3 2 17 4 3 2 3" xfId="33469"/>
    <cellStyle name="Labels - Opmaakprofiel3 2 17 4 3 2 4" xfId="42825"/>
    <cellStyle name="Labels - Opmaakprofiel3 2 17 4 3 2 5" xfId="54084"/>
    <cellStyle name="Labels - Opmaakprofiel3 2 17 4 3 3" xfId="14428"/>
    <cellStyle name="Labels - Opmaakprofiel3 2 17 4 3 4" xfId="26480"/>
    <cellStyle name="Labels - Opmaakprofiel3 2 17 4 3 5" xfId="45689"/>
    <cellStyle name="Labels - Opmaakprofiel3 2 17 4 3 6" xfId="48060"/>
    <cellStyle name="Labels - Opmaakprofiel3 2 17 4 4" xfId="3976"/>
    <cellStyle name="Labels - Opmaakprofiel3 2 17 4 4 2" xfId="9120"/>
    <cellStyle name="Labels - Opmaakprofiel3 2 17 4 4 2 2" xfId="21418"/>
    <cellStyle name="Labels - Opmaakprofiel3 2 17 4 4 2 3" xfId="33470"/>
    <cellStyle name="Labels - Opmaakprofiel3 2 17 4 4 2 4" xfId="27632"/>
    <cellStyle name="Labels - Opmaakprofiel3 2 17 4 4 2 5" xfId="54085"/>
    <cellStyle name="Labels - Opmaakprofiel3 2 17 4 4 3" xfId="14429"/>
    <cellStyle name="Labels - Opmaakprofiel3 2 17 4 4 4" xfId="26481"/>
    <cellStyle name="Labels - Opmaakprofiel3 2 17 4 4 5" xfId="39977"/>
    <cellStyle name="Labels - Opmaakprofiel3 2 17 4 4 6" xfId="48061"/>
    <cellStyle name="Labels - Opmaakprofiel3 2 17 4 5" xfId="4972"/>
    <cellStyle name="Labels - Opmaakprofiel3 2 17 4 5 2" xfId="9121"/>
    <cellStyle name="Labels - Opmaakprofiel3 2 17 4 5 2 2" xfId="21419"/>
    <cellStyle name="Labels - Opmaakprofiel3 2 17 4 5 2 3" xfId="33471"/>
    <cellStyle name="Labels - Opmaakprofiel3 2 17 4 5 2 4" xfId="42824"/>
    <cellStyle name="Labels - Opmaakprofiel3 2 17 4 5 2 5" xfId="54086"/>
    <cellStyle name="Labels - Opmaakprofiel3 2 17 4 5 3" xfId="14430"/>
    <cellStyle name="Labels - Opmaakprofiel3 2 17 4 5 4" xfId="26482"/>
    <cellStyle name="Labels - Opmaakprofiel3 2 17 4 5 5" xfId="45688"/>
    <cellStyle name="Labels - Opmaakprofiel3 2 17 4 5 6" xfId="48062"/>
    <cellStyle name="Labels - Opmaakprofiel3 2 17 4 6" xfId="4973"/>
    <cellStyle name="Labels - Opmaakprofiel3 2 17 4 6 2" xfId="9122"/>
    <cellStyle name="Labels - Opmaakprofiel3 2 17 4 6 2 2" xfId="21420"/>
    <cellStyle name="Labels - Opmaakprofiel3 2 17 4 6 2 3" xfId="33472"/>
    <cellStyle name="Labels - Opmaakprofiel3 2 17 4 6 2 4" xfId="35864"/>
    <cellStyle name="Labels - Opmaakprofiel3 2 17 4 6 2 5" xfId="54087"/>
    <cellStyle name="Labels - Opmaakprofiel3 2 17 4 6 3" xfId="14431"/>
    <cellStyle name="Labels - Opmaakprofiel3 2 17 4 6 4" xfId="26483"/>
    <cellStyle name="Labels - Opmaakprofiel3 2 17 4 6 5" xfId="39976"/>
    <cellStyle name="Labels - Opmaakprofiel3 2 17 4 6 6" xfId="48063"/>
    <cellStyle name="Labels - Opmaakprofiel3 2 17 4 7" xfId="4974"/>
    <cellStyle name="Labels - Opmaakprofiel3 2 17 4 7 2" xfId="14432"/>
    <cellStyle name="Labels - Opmaakprofiel3 2 17 4 7 3" xfId="26484"/>
    <cellStyle name="Labels - Opmaakprofiel3 2 17 4 7 4" xfId="45687"/>
    <cellStyle name="Labels - Opmaakprofiel3 2 17 4 7 5" xfId="48064"/>
    <cellStyle name="Labels - Opmaakprofiel3 2 17 4 8" xfId="7218"/>
    <cellStyle name="Labels - Opmaakprofiel3 2 17 4 8 2" xfId="19516"/>
    <cellStyle name="Labels - Opmaakprofiel3 2 17 4 8 3" xfId="41319"/>
    <cellStyle name="Labels - Opmaakprofiel3 2 17 4 8 4" xfId="43601"/>
    <cellStyle name="Labels - Opmaakprofiel3 2 17 4 8 5" xfId="52188"/>
    <cellStyle name="Labels - Opmaakprofiel3 2 17 4 9" xfId="14426"/>
    <cellStyle name="Labels - Opmaakprofiel3 2 17 5" xfId="1220"/>
    <cellStyle name="Labels - Opmaakprofiel3 2 17 5 2" xfId="1616"/>
    <cellStyle name="Labels - Opmaakprofiel3 2 17 5 2 2" xfId="9123"/>
    <cellStyle name="Labels - Opmaakprofiel3 2 17 5 2 2 2" xfId="21421"/>
    <cellStyle name="Labels - Opmaakprofiel3 2 17 5 2 2 3" xfId="33473"/>
    <cellStyle name="Labels - Opmaakprofiel3 2 17 5 2 2 4" xfId="27633"/>
    <cellStyle name="Labels - Opmaakprofiel3 2 17 5 2 2 5" xfId="54088"/>
    <cellStyle name="Labels - Opmaakprofiel3 2 17 5 2 3" xfId="14434"/>
    <cellStyle name="Labels - Opmaakprofiel3 2 17 5 2 4" xfId="26486"/>
    <cellStyle name="Labels - Opmaakprofiel3 2 17 5 2 5" xfId="45686"/>
    <cellStyle name="Labels - Opmaakprofiel3 2 17 5 2 6" xfId="48065"/>
    <cellStyle name="Labels - Opmaakprofiel3 2 17 5 3" xfId="3231"/>
    <cellStyle name="Labels - Opmaakprofiel3 2 17 5 3 2" xfId="9124"/>
    <cellStyle name="Labels - Opmaakprofiel3 2 17 5 3 2 2" xfId="21422"/>
    <cellStyle name="Labels - Opmaakprofiel3 2 17 5 3 2 3" xfId="33474"/>
    <cellStyle name="Labels - Opmaakprofiel3 2 17 5 3 2 4" xfId="27634"/>
    <cellStyle name="Labels - Opmaakprofiel3 2 17 5 3 2 5" xfId="54089"/>
    <cellStyle name="Labels - Opmaakprofiel3 2 17 5 3 3" xfId="14435"/>
    <cellStyle name="Labels - Opmaakprofiel3 2 17 5 3 4" xfId="26487"/>
    <cellStyle name="Labels - Opmaakprofiel3 2 17 5 3 5" xfId="39974"/>
    <cellStyle name="Labels - Opmaakprofiel3 2 17 5 3 6" xfId="48066"/>
    <cellStyle name="Labels - Opmaakprofiel3 2 17 5 4" xfId="4046"/>
    <cellStyle name="Labels - Opmaakprofiel3 2 17 5 4 2" xfId="9125"/>
    <cellStyle name="Labels - Opmaakprofiel3 2 17 5 4 2 2" xfId="21423"/>
    <cellStyle name="Labels - Opmaakprofiel3 2 17 5 4 2 3" xfId="33475"/>
    <cellStyle name="Labels - Opmaakprofiel3 2 17 5 4 2 4" xfId="42823"/>
    <cellStyle name="Labels - Opmaakprofiel3 2 17 5 4 2 5" xfId="54090"/>
    <cellStyle name="Labels - Opmaakprofiel3 2 17 5 4 3" xfId="14436"/>
    <cellStyle name="Labels - Opmaakprofiel3 2 17 5 4 4" xfId="26488"/>
    <cellStyle name="Labels - Opmaakprofiel3 2 17 5 4 5" xfId="39973"/>
    <cellStyle name="Labels - Opmaakprofiel3 2 17 5 4 6" xfId="48067"/>
    <cellStyle name="Labels - Opmaakprofiel3 2 17 5 5" xfId="4975"/>
    <cellStyle name="Labels - Opmaakprofiel3 2 17 5 5 2" xfId="9126"/>
    <cellStyle name="Labels - Opmaakprofiel3 2 17 5 5 2 2" xfId="21424"/>
    <cellStyle name="Labels - Opmaakprofiel3 2 17 5 5 2 3" xfId="33476"/>
    <cellStyle name="Labels - Opmaakprofiel3 2 17 5 5 2 4" xfId="27635"/>
    <cellStyle name="Labels - Opmaakprofiel3 2 17 5 5 2 5" xfId="54091"/>
    <cellStyle name="Labels - Opmaakprofiel3 2 17 5 5 3" xfId="14437"/>
    <cellStyle name="Labels - Opmaakprofiel3 2 17 5 5 4" xfId="26489"/>
    <cellStyle name="Labels - Opmaakprofiel3 2 17 5 5 5" xfId="39972"/>
    <cellStyle name="Labels - Opmaakprofiel3 2 17 5 5 6" xfId="48068"/>
    <cellStyle name="Labels - Opmaakprofiel3 2 17 5 6" xfId="4976"/>
    <cellStyle name="Labels - Opmaakprofiel3 2 17 5 6 2" xfId="9127"/>
    <cellStyle name="Labels - Opmaakprofiel3 2 17 5 6 2 2" xfId="21425"/>
    <cellStyle name="Labels - Opmaakprofiel3 2 17 5 6 2 3" xfId="33477"/>
    <cellStyle name="Labels - Opmaakprofiel3 2 17 5 6 2 4" xfId="42822"/>
    <cellStyle name="Labels - Opmaakprofiel3 2 17 5 6 2 5" xfId="54092"/>
    <cellStyle name="Labels - Opmaakprofiel3 2 17 5 6 3" xfId="14438"/>
    <cellStyle name="Labels - Opmaakprofiel3 2 17 5 6 4" xfId="26490"/>
    <cellStyle name="Labels - Opmaakprofiel3 2 17 5 6 5" xfId="45685"/>
    <cellStyle name="Labels - Opmaakprofiel3 2 17 5 6 6" xfId="48069"/>
    <cellStyle name="Labels - Opmaakprofiel3 2 17 5 7" xfId="4977"/>
    <cellStyle name="Labels - Opmaakprofiel3 2 17 5 7 2" xfId="14439"/>
    <cellStyle name="Labels - Opmaakprofiel3 2 17 5 7 3" xfId="26491"/>
    <cellStyle name="Labels - Opmaakprofiel3 2 17 5 7 4" xfId="39971"/>
    <cellStyle name="Labels - Opmaakprofiel3 2 17 5 7 5" xfId="48070"/>
    <cellStyle name="Labels - Opmaakprofiel3 2 17 5 8" xfId="7154"/>
    <cellStyle name="Labels - Opmaakprofiel3 2 17 5 8 2" xfId="19452"/>
    <cellStyle name="Labels - Opmaakprofiel3 2 17 5 8 3" xfId="41255"/>
    <cellStyle name="Labels - Opmaakprofiel3 2 17 5 8 4" xfId="43627"/>
    <cellStyle name="Labels - Opmaakprofiel3 2 17 5 8 5" xfId="52124"/>
    <cellStyle name="Labels - Opmaakprofiel3 2 17 5 9" xfId="14433"/>
    <cellStyle name="Labels - Opmaakprofiel3 2 17 6" xfId="1133"/>
    <cellStyle name="Labels - Opmaakprofiel3 2 17 6 2" xfId="1715"/>
    <cellStyle name="Labels - Opmaakprofiel3 2 17 6 2 2" xfId="9128"/>
    <cellStyle name="Labels - Opmaakprofiel3 2 17 6 2 2 2" xfId="21426"/>
    <cellStyle name="Labels - Opmaakprofiel3 2 17 6 2 2 3" xfId="33478"/>
    <cellStyle name="Labels - Opmaakprofiel3 2 17 6 2 2 4" xfId="27636"/>
    <cellStyle name="Labels - Opmaakprofiel3 2 17 6 2 2 5" xfId="54093"/>
    <cellStyle name="Labels - Opmaakprofiel3 2 17 6 2 3" xfId="14441"/>
    <cellStyle name="Labels - Opmaakprofiel3 2 17 6 2 4" xfId="26493"/>
    <cellStyle name="Labels - Opmaakprofiel3 2 17 6 2 5" xfId="39970"/>
    <cellStyle name="Labels - Opmaakprofiel3 2 17 6 2 6" xfId="48071"/>
    <cellStyle name="Labels - Opmaakprofiel3 2 17 6 3" xfId="3144"/>
    <cellStyle name="Labels - Opmaakprofiel3 2 17 6 3 2" xfId="9129"/>
    <cellStyle name="Labels - Opmaakprofiel3 2 17 6 3 2 2" xfId="21427"/>
    <cellStyle name="Labels - Opmaakprofiel3 2 17 6 3 2 3" xfId="33479"/>
    <cellStyle name="Labels - Opmaakprofiel3 2 17 6 3 2 4" xfId="42821"/>
    <cellStyle name="Labels - Opmaakprofiel3 2 17 6 3 2 5" xfId="54094"/>
    <cellStyle name="Labels - Opmaakprofiel3 2 17 6 3 3" xfId="14442"/>
    <cellStyle name="Labels - Opmaakprofiel3 2 17 6 3 4" xfId="26494"/>
    <cellStyle name="Labels - Opmaakprofiel3 2 17 6 3 5" xfId="39969"/>
    <cellStyle name="Labels - Opmaakprofiel3 2 17 6 3 6" xfId="48072"/>
    <cellStyle name="Labels - Opmaakprofiel3 2 17 6 4" xfId="3972"/>
    <cellStyle name="Labels - Opmaakprofiel3 2 17 6 4 2" xfId="9130"/>
    <cellStyle name="Labels - Opmaakprofiel3 2 17 6 4 2 2" xfId="21428"/>
    <cellStyle name="Labels - Opmaakprofiel3 2 17 6 4 2 3" xfId="33480"/>
    <cellStyle name="Labels - Opmaakprofiel3 2 17 6 4 2 4" xfId="32144"/>
    <cellStyle name="Labels - Opmaakprofiel3 2 17 6 4 2 5" xfId="54095"/>
    <cellStyle name="Labels - Opmaakprofiel3 2 17 6 4 3" xfId="14443"/>
    <cellStyle name="Labels - Opmaakprofiel3 2 17 6 4 4" xfId="26495"/>
    <cellStyle name="Labels - Opmaakprofiel3 2 17 6 4 5" xfId="45683"/>
    <cellStyle name="Labels - Opmaakprofiel3 2 17 6 4 6" xfId="48073"/>
    <cellStyle name="Labels - Opmaakprofiel3 2 17 6 5" xfId="4978"/>
    <cellStyle name="Labels - Opmaakprofiel3 2 17 6 5 2" xfId="9131"/>
    <cellStyle name="Labels - Opmaakprofiel3 2 17 6 5 2 2" xfId="21429"/>
    <cellStyle name="Labels - Opmaakprofiel3 2 17 6 5 2 3" xfId="33481"/>
    <cellStyle name="Labels - Opmaakprofiel3 2 17 6 5 2 4" xfId="42820"/>
    <cellStyle name="Labels - Opmaakprofiel3 2 17 6 5 2 5" xfId="54096"/>
    <cellStyle name="Labels - Opmaakprofiel3 2 17 6 5 3" xfId="14444"/>
    <cellStyle name="Labels - Opmaakprofiel3 2 17 6 5 4" xfId="26496"/>
    <cellStyle name="Labels - Opmaakprofiel3 2 17 6 5 5" xfId="39968"/>
    <cellStyle name="Labels - Opmaakprofiel3 2 17 6 5 6" xfId="48074"/>
    <cellStyle name="Labels - Opmaakprofiel3 2 17 6 6" xfId="4979"/>
    <cellStyle name="Labels - Opmaakprofiel3 2 17 6 6 2" xfId="9132"/>
    <cellStyle name="Labels - Opmaakprofiel3 2 17 6 6 2 2" xfId="21430"/>
    <cellStyle name="Labels - Opmaakprofiel3 2 17 6 6 2 3" xfId="33482"/>
    <cellStyle name="Labels - Opmaakprofiel3 2 17 6 6 2 4" xfId="27642"/>
    <cellStyle name="Labels - Opmaakprofiel3 2 17 6 6 2 5" xfId="54097"/>
    <cellStyle name="Labels - Opmaakprofiel3 2 17 6 6 3" xfId="14445"/>
    <cellStyle name="Labels - Opmaakprofiel3 2 17 6 6 4" xfId="26497"/>
    <cellStyle name="Labels - Opmaakprofiel3 2 17 6 6 5" xfId="45682"/>
    <cellStyle name="Labels - Opmaakprofiel3 2 17 6 6 6" xfId="48075"/>
    <cellStyle name="Labels - Opmaakprofiel3 2 17 6 7" xfId="4980"/>
    <cellStyle name="Labels - Opmaakprofiel3 2 17 6 7 2" xfId="14446"/>
    <cellStyle name="Labels - Opmaakprofiel3 2 17 6 7 3" xfId="26498"/>
    <cellStyle name="Labels - Opmaakprofiel3 2 17 6 7 4" xfId="39967"/>
    <cellStyle name="Labels - Opmaakprofiel3 2 17 6 7 5" xfId="48076"/>
    <cellStyle name="Labels - Opmaakprofiel3 2 17 6 8" xfId="7220"/>
    <cellStyle name="Labels - Opmaakprofiel3 2 17 6 8 2" xfId="19518"/>
    <cellStyle name="Labels - Opmaakprofiel3 2 17 6 8 3" xfId="41321"/>
    <cellStyle name="Labels - Opmaakprofiel3 2 17 6 8 4" xfId="43600"/>
    <cellStyle name="Labels - Opmaakprofiel3 2 17 6 8 5" xfId="52190"/>
    <cellStyle name="Labels - Opmaakprofiel3 2 17 6 9" xfId="14440"/>
    <cellStyle name="Labels - Opmaakprofiel3 2 17 7" xfId="222"/>
    <cellStyle name="Labels - Opmaakprofiel3 2 17 7 2" xfId="9133"/>
    <cellStyle name="Labels - Opmaakprofiel3 2 17 7 2 2" xfId="21431"/>
    <cellStyle name="Labels - Opmaakprofiel3 2 17 7 2 3" xfId="33483"/>
    <cellStyle name="Labels - Opmaakprofiel3 2 17 7 2 4" xfId="42819"/>
    <cellStyle name="Labels - Opmaakprofiel3 2 17 7 2 5" xfId="54098"/>
    <cellStyle name="Labels - Opmaakprofiel3 2 17 7 3" xfId="14447"/>
    <cellStyle name="Labels - Opmaakprofiel3 2 17 7 4" xfId="26499"/>
    <cellStyle name="Labels - Opmaakprofiel3 2 17 7 5" xfId="45681"/>
    <cellStyle name="Labels - Opmaakprofiel3 2 17 7 6" xfId="48077"/>
    <cellStyle name="Labels - Opmaakprofiel3 2 17 8" xfId="2818"/>
    <cellStyle name="Labels - Opmaakprofiel3 2 17 8 2" xfId="9134"/>
    <cellStyle name="Labels - Opmaakprofiel3 2 17 8 2 2" xfId="21432"/>
    <cellStyle name="Labels - Opmaakprofiel3 2 17 8 2 3" xfId="33484"/>
    <cellStyle name="Labels - Opmaakprofiel3 2 17 8 2 4" xfId="32136"/>
    <cellStyle name="Labels - Opmaakprofiel3 2 17 8 2 5" xfId="54099"/>
    <cellStyle name="Labels - Opmaakprofiel3 2 17 8 3" xfId="14448"/>
    <cellStyle name="Labels - Opmaakprofiel3 2 17 8 4" xfId="26500"/>
    <cellStyle name="Labels - Opmaakprofiel3 2 17 8 5" xfId="39966"/>
    <cellStyle name="Labels - Opmaakprofiel3 2 17 8 6" xfId="48078"/>
    <cellStyle name="Labels - Opmaakprofiel3 2 17 9" xfId="3677"/>
    <cellStyle name="Labels - Opmaakprofiel3 2 17 9 2" xfId="9135"/>
    <cellStyle name="Labels - Opmaakprofiel3 2 17 9 2 2" xfId="21433"/>
    <cellStyle name="Labels - Opmaakprofiel3 2 17 9 2 3" xfId="33485"/>
    <cellStyle name="Labels - Opmaakprofiel3 2 17 9 2 4" xfId="27647"/>
    <cellStyle name="Labels - Opmaakprofiel3 2 17 9 2 5" xfId="54100"/>
    <cellStyle name="Labels - Opmaakprofiel3 2 17 9 3" xfId="14449"/>
    <cellStyle name="Labels - Opmaakprofiel3 2 17 9 4" xfId="26501"/>
    <cellStyle name="Labels - Opmaakprofiel3 2 17 9 5" xfId="39965"/>
    <cellStyle name="Labels - Opmaakprofiel3 2 17 9 6" xfId="48079"/>
    <cellStyle name="Labels - Opmaakprofiel3 2 18" xfId="801"/>
    <cellStyle name="Labels - Opmaakprofiel3 2 18 10" xfId="4981"/>
    <cellStyle name="Labels - Opmaakprofiel3 2 18 10 2" xfId="9136"/>
    <cellStyle name="Labels - Opmaakprofiel3 2 18 10 2 2" xfId="21434"/>
    <cellStyle name="Labels - Opmaakprofiel3 2 18 10 2 3" xfId="33486"/>
    <cellStyle name="Labels - Opmaakprofiel3 2 18 10 2 4" xfId="27648"/>
    <cellStyle name="Labels - Opmaakprofiel3 2 18 10 2 5" xfId="54101"/>
    <cellStyle name="Labels - Opmaakprofiel3 2 18 10 3" xfId="14451"/>
    <cellStyle name="Labels - Opmaakprofiel3 2 18 10 4" xfId="26503"/>
    <cellStyle name="Labels - Opmaakprofiel3 2 18 10 5" xfId="39964"/>
    <cellStyle name="Labels - Opmaakprofiel3 2 18 10 6" xfId="48080"/>
    <cellStyle name="Labels - Opmaakprofiel3 2 18 11" xfId="4982"/>
    <cellStyle name="Labels - Opmaakprofiel3 2 18 11 2" xfId="9137"/>
    <cellStyle name="Labels - Opmaakprofiel3 2 18 11 2 2" xfId="21435"/>
    <cellStyle name="Labels - Opmaakprofiel3 2 18 11 2 3" xfId="33487"/>
    <cellStyle name="Labels - Opmaakprofiel3 2 18 11 2 4" xfId="42818"/>
    <cellStyle name="Labels - Opmaakprofiel3 2 18 11 2 5" xfId="54102"/>
    <cellStyle name="Labels - Opmaakprofiel3 2 18 11 3" xfId="14452"/>
    <cellStyle name="Labels - Opmaakprofiel3 2 18 11 4" xfId="26504"/>
    <cellStyle name="Labels - Opmaakprofiel3 2 18 11 5" xfId="45679"/>
    <cellStyle name="Labels - Opmaakprofiel3 2 18 11 6" xfId="48081"/>
    <cellStyle name="Labels - Opmaakprofiel3 2 18 12" xfId="4983"/>
    <cellStyle name="Labels - Opmaakprofiel3 2 18 12 2" xfId="14453"/>
    <cellStyle name="Labels - Opmaakprofiel3 2 18 12 3" xfId="26505"/>
    <cellStyle name="Labels - Opmaakprofiel3 2 18 12 4" xfId="39963"/>
    <cellStyle name="Labels - Opmaakprofiel3 2 18 12 5" xfId="48082"/>
    <cellStyle name="Labels - Opmaakprofiel3 2 18 13" xfId="7446"/>
    <cellStyle name="Labels - Opmaakprofiel3 2 18 13 2" xfId="19744"/>
    <cellStyle name="Labels - Opmaakprofiel3 2 18 13 3" xfId="41547"/>
    <cellStyle name="Labels - Opmaakprofiel3 2 18 13 4" xfId="15551"/>
    <cellStyle name="Labels - Opmaakprofiel3 2 18 13 5" xfId="52416"/>
    <cellStyle name="Labels - Opmaakprofiel3 2 18 14" xfId="14450"/>
    <cellStyle name="Labels - Opmaakprofiel3 2 18 2" xfId="963"/>
    <cellStyle name="Labels - Opmaakprofiel3 2 18 2 2" xfId="1839"/>
    <cellStyle name="Labels - Opmaakprofiel3 2 18 2 2 2" xfId="9138"/>
    <cellStyle name="Labels - Opmaakprofiel3 2 18 2 2 2 2" xfId="21436"/>
    <cellStyle name="Labels - Opmaakprofiel3 2 18 2 2 2 3" xfId="33488"/>
    <cellStyle name="Labels - Opmaakprofiel3 2 18 2 2 2 4" xfId="27649"/>
    <cellStyle name="Labels - Opmaakprofiel3 2 18 2 2 2 5" xfId="54103"/>
    <cellStyle name="Labels - Opmaakprofiel3 2 18 2 2 3" xfId="14455"/>
    <cellStyle name="Labels - Opmaakprofiel3 2 18 2 2 4" xfId="26507"/>
    <cellStyle name="Labels - Opmaakprofiel3 2 18 2 2 5" xfId="39962"/>
    <cellStyle name="Labels - Opmaakprofiel3 2 18 2 2 6" xfId="48083"/>
    <cellStyle name="Labels - Opmaakprofiel3 2 18 2 3" xfId="2974"/>
    <cellStyle name="Labels - Opmaakprofiel3 2 18 2 3 2" xfId="9139"/>
    <cellStyle name="Labels - Opmaakprofiel3 2 18 2 3 2 2" xfId="21437"/>
    <cellStyle name="Labels - Opmaakprofiel3 2 18 2 3 2 3" xfId="33489"/>
    <cellStyle name="Labels - Opmaakprofiel3 2 18 2 3 2 4" xfId="42817"/>
    <cellStyle name="Labels - Opmaakprofiel3 2 18 2 3 2 5" xfId="54104"/>
    <cellStyle name="Labels - Opmaakprofiel3 2 18 2 3 3" xfId="14456"/>
    <cellStyle name="Labels - Opmaakprofiel3 2 18 2 3 4" xfId="26508"/>
    <cellStyle name="Labels - Opmaakprofiel3 2 18 2 3 5" xfId="45677"/>
    <cellStyle name="Labels - Opmaakprofiel3 2 18 2 3 6" xfId="48084"/>
    <cellStyle name="Labels - Opmaakprofiel3 2 18 2 4" xfId="3820"/>
    <cellStyle name="Labels - Opmaakprofiel3 2 18 2 4 2" xfId="9140"/>
    <cellStyle name="Labels - Opmaakprofiel3 2 18 2 4 2 2" xfId="21438"/>
    <cellStyle name="Labels - Opmaakprofiel3 2 18 2 4 2 3" xfId="33490"/>
    <cellStyle name="Labels - Opmaakprofiel3 2 18 2 4 2 4" xfId="34466"/>
    <cellStyle name="Labels - Opmaakprofiel3 2 18 2 4 2 5" xfId="54105"/>
    <cellStyle name="Labels - Opmaakprofiel3 2 18 2 4 3" xfId="14457"/>
    <cellStyle name="Labels - Opmaakprofiel3 2 18 2 4 4" xfId="26509"/>
    <cellStyle name="Labels - Opmaakprofiel3 2 18 2 4 5" xfId="39961"/>
    <cellStyle name="Labels - Opmaakprofiel3 2 18 2 4 6" xfId="48085"/>
    <cellStyle name="Labels - Opmaakprofiel3 2 18 2 5" xfId="4984"/>
    <cellStyle name="Labels - Opmaakprofiel3 2 18 2 5 2" xfId="9141"/>
    <cellStyle name="Labels - Opmaakprofiel3 2 18 2 5 2 2" xfId="21439"/>
    <cellStyle name="Labels - Opmaakprofiel3 2 18 2 5 2 3" xfId="33491"/>
    <cellStyle name="Labels - Opmaakprofiel3 2 18 2 5 2 4" xfId="42816"/>
    <cellStyle name="Labels - Opmaakprofiel3 2 18 2 5 2 5" xfId="54106"/>
    <cellStyle name="Labels - Opmaakprofiel3 2 18 2 5 3" xfId="14458"/>
    <cellStyle name="Labels - Opmaakprofiel3 2 18 2 5 4" xfId="26510"/>
    <cellStyle name="Labels - Opmaakprofiel3 2 18 2 5 5" xfId="45676"/>
    <cellStyle name="Labels - Opmaakprofiel3 2 18 2 5 6" xfId="48086"/>
    <cellStyle name="Labels - Opmaakprofiel3 2 18 2 6" xfId="4985"/>
    <cellStyle name="Labels - Opmaakprofiel3 2 18 2 6 2" xfId="9142"/>
    <cellStyle name="Labels - Opmaakprofiel3 2 18 2 6 2 2" xfId="21440"/>
    <cellStyle name="Labels - Opmaakprofiel3 2 18 2 6 2 3" xfId="33492"/>
    <cellStyle name="Labels - Opmaakprofiel3 2 18 2 6 2 4" xfId="27652"/>
    <cellStyle name="Labels - Opmaakprofiel3 2 18 2 6 2 5" xfId="54107"/>
    <cellStyle name="Labels - Opmaakprofiel3 2 18 2 6 3" xfId="14459"/>
    <cellStyle name="Labels - Opmaakprofiel3 2 18 2 6 4" xfId="26511"/>
    <cellStyle name="Labels - Opmaakprofiel3 2 18 2 6 5" xfId="39960"/>
    <cellStyle name="Labels - Opmaakprofiel3 2 18 2 6 6" xfId="48087"/>
    <cellStyle name="Labels - Opmaakprofiel3 2 18 2 7" xfId="4986"/>
    <cellStyle name="Labels - Opmaakprofiel3 2 18 2 7 2" xfId="14460"/>
    <cellStyle name="Labels - Opmaakprofiel3 2 18 2 7 3" xfId="26512"/>
    <cellStyle name="Labels - Opmaakprofiel3 2 18 2 7 4" xfId="39959"/>
    <cellStyle name="Labels - Opmaakprofiel3 2 18 2 7 5" xfId="48088"/>
    <cellStyle name="Labels - Opmaakprofiel3 2 18 2 8" xfId="7337"/>
    <cellStyle name="Labels - Opmaakprofiel3 2 18 2 8 2" xfId="19635"/>
    <cellStyle name="Labels - Opmaakprofiel3 2 18 2 8 3" xfId="41438"/>
    <cellStyle name="Labels - Opmaakprofiel3 2 18 2 8 4" xfId="36837"/>
    <cellStyle name="Labels - Opmaakprofiel3 2 18 2 8 5" xfId="52307"/>
    <cellStyle name="Labels - Opmaakprofiel3 2 18 2 9" xfId="14454"/>
    <cellStyle name="Labels - Opmaakprofiel3 2 18 3" xfId="1057"/>
    <cellStyle name="Labels - Opmaakprofiel3 2 18 3 2" xfId="2159"/>
    <cellStyle name="Labels - Opmaakprofiel3 2 18 3 2 2" xfId="9143"/>
    <cellStyle name="Labels - Opmaakprofiel3 2 18 3 2 2 2" xfId="21441"/>
    <cellStyle name="Labels - Opmaakprofiel3 2 18 3 2 2 3" xfId="33493"/>
    <cellStyle name="Labels - Opmaakprofiel3 2 18 3 2 2 4" xfId="42815"/>
    <cellStyle name="Labels - Opmaakprofiel3 2 18 3 2 2 5" xfId="54108"/>
    <cellStyle name="Labels - Opmaakprofiel3 2 18 3 2 3" xfId="14462"/>
    <cellStyle name="Labels - Opmaakprofiel3 2 18 3 2 4" xfId="26514"/>
    <cellStyle name="Labels - Opmaakprofiel3 2 18 3 2 5" xfId="45675"/>
    <cellStyle name="Labels - Opmaakprofiel3 2 18 3 2 6" xfId="48089"/>
    <cellStyle name="Labels - Opmaakprofiel3 2 18 3 3" xfId="3068"/>
    <cellStyle name="Labels - Opmaakprofiel3 2 18 3 3 2" xfId="9144"/>
    <cellStyle name="Labels - Opmaakprofiel3 2 18 3 3 2 2" xfId="21442"/>
    <cellStyle name="Labels - Opmaakprofiel3 2 18 3 3 2 3" xfId="33494"/>
    <cellStyle name="Labels - Opmaakprofiel3 2 18 3 3 2 4" xfId="31395"/>
    <cellStyle name="Labels - Opmaakprofiel3 2 18 3 3 2 5" xfId="54109"/>
    <cellStyle name="Labels - Opmaakprofiel3 2 18 3 3 3" xfId="14463"/>
    <cellStyle name="Labels - Opmaakprofiel3 2 18 3 3 4" xfId="26515"/>
    <cellStyle name="Labels - Opmaakprofiel3 2 18 3 3 5" xfId="39957"/>
    <cellStyle name="Labels - Opmaakprofiel3 2 18 3 3 6" xfId="48090"/>
    <cellStyle name="Labels - Opmaakprofiel3 2 18 3 4" xfId="3908"/>
    <cellStyle name="Labels - Opmaakprofiel3 2 18 3 4 2" xfId="9145"/>
    <cellStyle name="Labels - Opmaakprofiel3 2 18 3 4 2 2" xfId="21443"/>
    <cellStyle name="Labels - Opmaakprofiel3 2 18 3 4 2 3" xfId="33495"/>
    <cellStyle name="Labels - Opmaakprofiel3 2 18 3 4 2 4" xfId="42814"/>
    <cellStyle name="Labels - Opmaakprofiel3 2 18 3 4 2 5" xfId="54110"/>
    <cellStyle name="Labels - Opmaakprofiel3 2 18 3 4 3" xfId="14464"/>
    <cellStyle name="Labels - Opmaakprofiel3 2 18 3 4 4" xfId="26516"/>
    <cellStyle name="Labels - Opmaakprofiel3 2 18 3 4 5" xfId="45674"/>
    <cellStyle name="Labels - Opmaakprofiel3 2 18 3 4 6" xfId="48091"/>
    <cellStyle name="Labels - Opmaakprofiel3 2 18 3 5" xfId="4987"/>
    <cellStyle name="Labels - Opmaakprofiel3 2 18 3 5 2" xfId="9146"/>
    <cellStyle name="Labels - Opmaakprofiel3 2 18 3 5 2 2" xfId="21444"/>
    <cellStyle name="Labels - Opmaakprofiel3 2 18 3 5 2 3" xfId="33496"/>
    <cellStyle name="Labels - Opmaakprofiel3 2 18 3 5 2 4" xfId="32070"/>
    <cellStyle name="Labels - Opmaakprofiel3 2 18 3 5 2 5" xfId="54111"/>
    <cellStyle name="Labels - Opmaakprofiel3 2 18 3 5 3" xfId="14465"/>
    <cellStyle name="Labels - Opmaakprofiel3 2 18 3 5 4" xfId="26517"/>
    <cellStyle name="Labels - Opmaakprofiel3 2 18 3 5 5" xfId="39956"/>
    <cellStyle name="Labels - Opmaakprofiel3 2 18 3 5 6" xfId="48092"/>
    <cellStyle name="Labels - Opmaakprofiel3 2 18 3 6" xfId="4988"/>
    <cellStyle name="Labels - Opmaakprofiel3 2 18 3 6 2" xfId="9147"/>
    <cellStyle name="Labels - Opmaakprofiel3 2 18 3 6 2 2" xfId="21445"/>
    <cellStyle name="Labels - Opmaakprofiel3 2 18 3 6 2 3" xfId="33497"/>
    <cellStyle name="Labels - Opmaakprofiel3 2 18 3 6 2 4" xfId="27657"/>
    <cellStyle name="Labels - Opmaakprofiel3 2 18 3 6 2 5" xfId="54112"/>
    <cellStyle name="Labels - Opmaakprofiel3 2 18 3 6 3" xfId="14466"/>
    <cellStyle name="Labels - Opmaakprofiel3 2 18 3 6 4" xfId="26518"/>
    <cellStyle name="Labels - Opmaakprofiel3 2 18 3 6 5" xfId="45673"/>
    <cellStyle name="Labels - Opmaakprofiel3 2 18 3 6 6" xfId="48093"/>
    <cellStyle name="Labels - Opmaakprofiel3 2 18 3 7" xfId="4989"/>
    <cellStyle name="Labels - Opmaakprofiel3 2 18 3 7 2" xfId="14467"/>
    <cellStyle name="Labels - Opmaakprofiel3 2 18 3 7 3" xfId="26519"/>
    <cellStyle name="Labels - Opmaakprofiel3 2 18 3 7 4" xfId="39955"/>
    <cellStyle name="Labels - Opmaakprofiel3 2 18 3 7 5" xfId="48094"/>
    <cellStyle name="Labels - Opmaakprofiel3 2 18 3 8" xfId="7271"/>
    <cellStyle name="Labels - Opmaakprofiel3 2 18 3 8 2" xfId="19569"/>
    <cellStyle name="Labels - Opmaakprofiel3 2 18 3 8 3" xfId="41372"/>
    <cellStyle name="Labels - Opmaakprofiel3 2 18 3 8 4" xfId="36876"/>
    <cellStyle name="Labels - Opmaakprofiel3 2 18 3 8 5" xfId="52241"/>
    <cellStyle name="Labels - Opmaakprofiel3 2 18 3 9" xfId="14461"/>
    <cellStyle name="Labels - Opmaakprofiel3 2 18 4" xfId="1104"/>
    <cellStyle name="Labels - Opmaakprofiel3 2 18 4 2" xfId="1545"/>
    <cellStyle name="Labels - Opmaakprofiel3 2 18 4 2 2" xfId="9148"/>
    <cellStyle name="Labels - Opmaakprofiel3 2 18 4 2 2 2" xfId="21446"/>
    <cellStyle name="Labels - Opmaakprofiel3 2 18 4 2 2 3" xfId="33498"/>
    <cellStyle name="Labels - Opmaakprofiel3 2 18 4 2 2 4" xfId="27658"/>
    <cellStyle name="Labels - Opmaakprofiel3 2 18 4 2 2 5" xfId="54113"/>
    <cellStyle name="Labels - Opmaakprofiel3 2 18 4 2 3" xfId="14469"/>
    <cellStyle name="Labels - Opmaakprofiel3 2 18 4 2 4" xfId="26521"/>
    <cellStyle name="Labels - Opmaakprofiel3 2 18 4 2 5" xfId="39954"/>
    <cellStyle name="Labels - Opmaakprofiel3 2 18 4 2 6" xfId="48095"/>
    <cellStyle name="Labels - Opmaakprofiel3 2 18 4 3" xfId="3115"/>
    <cellStyle name="Labels - Opmaakprofiel3 2 18 4 3 2" xfId="9149"/>
    <cellStyle name="Labels - Opmaakprofiel3 2 18 4 3 2 2" xfId="21447"/>
    <cellStyle name="Labels - Opmaakprofiel3 2 18 4 3 2 3" xfId="33499"/>
    <cellStyle name="Labels - Opmaakprofiel3 2 18 4 3 2 4" xfId="42813"/>
    <cellStyle name="Labels - Opmaakprofiel3 2 18 4 3 2 5" xfId="54114"/>
    <cellStyle name="Labels - Opmaakprofiel3 2 18 4 3 3" xfId="14470"/>
    <cellStyle name="Labels - Opmaakprofiel3 2 18 4 3 4" xfId="26522"/>
    <cellStyle name="Labels - Opmaakprofiel3 2 18 4 3 5" xfId="45671"/>
    <cellStyle name="Labels - Opmaakprofiel3 2 18 4 3 6" xfId="48096"/>
    <cellStyle name="Labels - Opmaakprofiel3 2 18 4 4" xfId="3950"/>
    <cellStyle name="Labels - Opmaakprofiel3 2 18 4 4 2" xfId="9150"/>
    <cellStyle name="Labels - Opmaakprofiel3 2 18 4 4 2 2" xfId="21448"/>
    <cellStyle name="Labels - Opmaakprofiel3 2 18 4 4 2 3" xfId="33500"/>
    <cellStyle name="Labels - Opmaakprofiel3 2 18 4 4 2 4" xfId="31712"/>
    <cellStyle name="Labels - Opmaakprofiel3 2 18 4 4 2 5" xfId="54115"/>
    <cellStyle name="Labels - Opmaakprofiel3 2 18 4 4 3" xfId="14471"/>
    <cellStyle name="Labels - Opmaakprofiel3 2 18 4 4 4" xfId="26523"/>
    <cellStyle name="Labels - Opmaakprofiel3 2 18 4 4 5" xfId="39953"/>
    <cellStyle name="Labels - Opmaakprofiel3 2 18 4 4 6" xfId="48097"/>
    <cellStyle name="Labels - Opmaakprofiel3 2 18 4 5" xfId="4990"/>
    <cellStyle name="Labels - Opmaakprofiel3 2 18 4 5 2" xfId="9151"/>
    <cellStyle name="Labels - Opmaakprofiel3 2 18 4 5 2 2" xfId="21449"/>
    <cellStyle name="Labels - Opmaakprofiel3 2 18 4 5 2 3" xfId="33501"/>
    <cellStyle name="Labels - Opmaakprofiel3 2 18 4 5 2 4" xfId="42812"/>
    <cellStyle name="Labels - Opmaakprofiel3 2 18 4 5 2 5" xfId="54116"/>
    <cellStyle name="Labels - Opmaakprofiel3 2 18 4 5 3" xfId="14472"/>
    <cellStyle name="Labels - Opmaakprofiel3 2 18 4 5 4" xfId="26524"/>
    <cellStyle name="Labels - Opmaakprofiel3 2 18 4 5 5" xfId="39952"/>
    <cellStyle name="Labels - Opmaakprofiel3 2 18 4 5 6" xfId="48098"/>
    <cellStyle name="Labels - Opmaakprofiel3 2 18 4 6" xfId="4991"/>
    <cellStyle name="Labels - Opmaakprofiel3 2 18 4 6 2" xfId="9152"/>
    <cellStyle name="Labels - Opmaakprofiel3 2 18 4 6 2 2" xfId="21450"/>
    <cellStyle name="Labels - Opmaakprofiel3 2 18 4 6 2 3" xfId="33502"/>
    <cellStyle name="Labels - Opmaakprofiel3 2 18 4 6 2 4" xfId="27661"/>
    <cellStyle name="Labels - Opmaakprofiel3 2 18 4 6 2 5" xfId="54117"/>
    <cellStyle name="Labels - Opmaakprofiel3 2 18 4 6 3" xfId="14473"/>
    <cellStyle name="Labels - Opmaakprofiel3 2 18 4 6 4" xfId="26525"/>
    <cellStyle name="Labels - Opmaakprofiel3 2 18 4 6 5" xfId="39951"/>
    <cellStyle name="Labels - Opmaakprofiel3 2 18 4 6 6" xfId="48099"/>
    <cellStyle name="Labels - Opmaakprofiel3 2 18 4 7" xfId="4992"/>
    <cellStyle name="Labels - Opmaakprofiel3 2 18 4 7 2" xfId="14474"/>
    <cellStyle name="Labels - Opmaakprofiel3 2 18 4 7 3" xfId="26526"/>
    <cellStyle name="Labels - Opmaakprofiel3 2 18 4 7 4" xfId="45670"/>
    <cellStyle name="Labels - Opmaakprofiel3 2 18 4 7 5" xfId="48100"/>
    <cellStyle name="Labels - Opmaakprofiel3 2 18 4 8" xfId="9928"/>
    <cellStyle name="Labels - Opmaakprofiel3 2 18 4 8 2" xfId="22226"/>
    <cellStyle name="Labels - Opmaakprofiel3 2 18 4 8 3" xfId="43992"/>
    <cellStyle name="Labels - Opmaakprofiel3 2 18 4 8 4" xfId="28360"/>
    <cellStyle name="Labels - Opmaakprofiel3 2 18 4 8 5" xfId="54893"/>
    <cellStyle name="Labels - Opmaakprofiel3 2 18 4 9" xfId="14468"/>
    <cellStyle name="Labels - Opmaakprofiel3 2 18 5" xfId="1228"/>
    <cellStyle name="Labels - Opmaakprofiel3 2 18 5 2" xfId="2170"/>
    <cellStyle name="Labels - Opmaakprofiel3 2 18 5 2 2" xfId="9153"/>
    <cellStyle name="Labels - Opmaakprofiel3 2 18 5 2 2 2" xfId="21451"/>
    <cellStyle name="Labels - Opmaakprofiel3 2 18 5 2 2 3" xfId="33503"/>
    <cellStyle name="Labels - Opmaakprofiel3 2 18 5 2 2 4" xfId="42811"/>
    <cellStyle name="Labels - Opmaakprofiel3 2 18 5 2 2 5" xfId="54118"/>
    <cellStyle name="Labels - Opmaakprofiel3 2 18 5 2 3" xfId="14476"/>
    <cellStyle name="Labels - Opmaakprofiel3 2 18 5 2 4" xfId="26528"/>
    <cellStyle name="Labels - Opmaakprofiel3 2 18 5 2 5" xfId="45669"/>
    <cellStyle name="Labels - Opmaakprofiel3 2 18 5 2 6" xfId="48101"/>
    <cellStyle name="Labels - Opmaakprofiel3 2 18 5 3" xfId="3239"/>
    <cellStyle name="Labels - Opmaakprofiel3 2 18 5 3 2" xfId="9154"/>
    <cellStyle name="Labels - Opmaakprofiel3 2 18 5 3 2 2" xfId="21452"/>
    <cellStyle name="Labels - Opmaakprofiel3 2 18 5 3 2 3" xfId="33504"/>
    <cellStyle name="Labels - Opmaakprofiel3 2 18 5 3 2 4" xfId="31425"/>
    <cellStyle name="Labels - Opmaakprofiel3 2 18 5 3 2 5" xfId="54119"/>
    <cellStyle name="Labels - Opmaakprofiel3 2 18 5 3 3" xfId="14477"/>
    <cellStyle name="Labels - Opmaakprofiel3 2 18 5 3 4" xfId="26529"/>
    <cellStyle name="Labels - Opmaakprofiel3 2 18 5 3 5" xfId="39949"/>
    <cellStyle name="Labels - Opmaakprofiel3 2 18 5 3 6" xfId="48102"/>
    <cellStyle name="Labels - Opmaakprofiel3 2 18 5 4" xfId="4054"/>
    <cellStyle name="Labels - Opmaakprofiel3 2 18 5 4 2" xfId="9155"/>
    <cellStyle name="Labels - Opmaakprofiel3 2 18 5 4 2 2" xfId="21453"/>
    <cellStyle name="Labels - Opmaakprofiel3 2 18 5 4 2 3" xfId="33505"/>
    <cellStyle name="Labels - Opmaakprofiel3 2 18 5 4 2 4" xfId="42810"/>
    <cellStyle name="Labels - Opmaakprofiel3 2 18 5 4 2 5" xfId="54120"/>
    <cellStyle name="Labels - Opmaakprofiel3 2 18 5 4 3" xfId="14478"/>
    <cellStyle name="Labels - Opmaakprofiel3 2 18 5 4 4" xfId="26530"/>
    <cellStyle name="Labels - Opmaakprofiel3 2 18 5 4 5" xfId="45668"/>
    <cellStyle name="Labels - Opmaakprofiel3 2 18 5 4 6" xfId="48103"/>
    <cellStyle name="Labels - Opmaakprofiel3 2 18 5 5" xfId="4993"/>
    <cellStyle name="Labels - Opmaakprofiel3 2 18 5 5 2" xfId="9156"/>
    <cellStyle name="Labels - Opmaakprofiel3 2 18 5 5 2 2" xfId="21454"/>
    <cellStyle name="Labels - Opmaakprofiel3 2 18 5 5 2 3" xfId="33506"/>
    <cellStyle name="Labels - Opmaakprofiel3 2 18 5 5 2 4" xfId="32081"/>
    <cellStyle name="Labels - Opmaakprofiel3 2 18 5 5 2 5" xfId="54121"/>
    <cellStyle name="Labels - Opmaakprofiel3 2 18 5 5 3" xfId="14479"/>
    <cellStyle name="Labels - Opmaakprofiel3 2 18 5 5 4" xfId="26531"/>
    <cellStyle name="Labels - Opmaakprofiel3 2 18 5 5 5" xfId="39948"/>
    <cellStyle name="Labels - Opmaakprofiel3 2 18 5 5 6" xfId="48104"/>
    <cellStyle name="Labels - Opmaakprofiel3 2 18 5 6" xfId="4994"/>
    <cellStyle name="Labels - Opmaakprofiel3 2 18 5 6 2" xfId="9157"/>
    <cellStyle name="Labels - Opmaakprofiel3 2 18 5 6 2 2" xfId="21455"/>
    <cellStyle name="Labels - Opmaakprofiel3 2 18 5 6 2 3" xfId="33507"/>
    <cellStyle name="Labels - Opmaakprofiel3 2 18 5 6 2 4" xfId="42809"/>
    <cellStyle name="Labels - Opmaakprofiel3 2 18 5 6 2 5" xfId="54122"/>
    <cellStyle name="Labels - Opmaakprofiel3 2 18 5 6 3" xfId="14480"/>
    <cellStyle name="Labels - Opmaakprofiel3 2 18 5 6 4" xfId="26532"/>
    <cellStyle name="Labels - Opmaakprofiel3 2 18 5 6 5" xfId="45667"/>
    <cellStyle name="Labels - Opmaakprofiel3 2 18 5 6 6" xfId="48105"/>
    <cellStyle name="Labels - Opmaakprofiel3 2 18 5 7" xfId="4995"/>
    <cellStyle name="Labels - Opmaakprofiel3 2 18 5 7 2" xfId="14481"/>
    <cellStyle name="Labels - Opmaakprofiel3 2 18 5 7 3" xfId="26533"/>
    <cellStyle name="Labels - Opmaakprofiel3 2 18 5 7 4" xfId="39947"/>
    <cellStyle name="Labels - Opmaakprofiel3 2 18 5 7 5" xfId="48106"/>
    <cellStyle name="Labels - Opmaakprofiel3 2 18 5 8" xfId="7146"/>
    <cellStyle name="Labels - Opmaakprofiel3 2 18 5 8 2" xfId="19444"/>
    <cellStyle name="Labels - Opmaakprofiel3 2 18 5 8 3" xfId="41247"/>
    <cellStyle name="Labels - Opmaakprofiel3 2 18 5 8 4" xfId="43631"/>
    <cellStyle name="Labels - Opmaakprofiel3 2 18 5 8 5" xfId="52116"/>
    <cellStyle name="Labels - Opmaakprofiel3 2 18 5 9" xfId="14475"/>
    <cellStyle name="Labels - Opmaakprofiel3 2 18 6" xfId="490"/>
    <cellStyle name="Labels - Opmaakprofiel3 2 18 6 2" xfId="1967"/>
    <cellStyle name="Labels - Opmaakprofiel3 2 18 6 2 2" xfId="9158"/>
    <cellStyle name="Labels - Opmaakprofiel3 2 18 6 2 2 2" xfId="21456"/>
    <cellStyle name="Labels - Opmaakprofiel3 2 18 6 2 2 3" xfId="33508"/>
    <cellStyle name="Labels - Opmaakprofiel3 2 18 6 2 2 4" xfId="27666"/>
    <cellStyle name="Labels - Opmaakprofiel3 2 18 6 2 2 5" xfId="54123"/>
    <cellStyle name="Labels - Opmaakprofiel3 2 18 6 2 3" xfId="14483"/>
    <cellStyle name="Labels - Opmaakprofiel3 2 18 6 2 4" xfId="26535"/>
    <cellStyle name="Labels - Opmaakprofiel3 2 18 6 2 5" xfId="39946"/>
    <cellStyle name="Labels - Opmaakprofiel3 2 18 6 2 6" xfId="48107"/>
    <cellStyle name="Labels - Opmaakprofiel3 2 18 6 3" xfId="2561"/>
    <cellStyle name="Labels - Opmaakprofiel3 2 18 6 3 2" xfId="9159"/>
    <cellStyle name="Labels - Opmaakprofiel3 2 18 6 3 2 2" xfId="21457"/>
    <cellStyle name="Labels - Opmaakprofiel3 2 18 6 3 2 3" xfId="33509"/>
    <cellStyle name="Labels - Opmaakprofiel3 2 18 6 3 2 4" xfId="27667"/>
    <cellStyle name="Labels - Opmaakprofiel3 2 18 6 3 2 5" xfId="54124"/>
    <cellStyle name="Labels - Opmaakprofiel3 2 18 6 3 3" xfId="14484"/>
    <cellStyle name="Labels - Opmaakprofiel3 2 18 6 3 4" xfId="26536"/>
    <cellStyle name="Labels - Opmaakprofiel3 2 18 6 3 5" xfId="39945"/>
    <cellStyle name="Labels - Opmaakprofiel3 2 18 6 3 6" xfId="48108"/>
    <cellStyle name="Labels - Opmaakprofiel3 2 18 6 4" xfId="3446"/>
    <cellStyle name="Labels - Opmaakprofiel3 2 18 6 4 2" xfId="9160"/>
    <cellStyle name="Labels - Opmaakprofiel3 2 18 6 4 2 2" xfId="21458"/>
    <cellStyle name="Labels - Opmaakprofiel3 2 18 6 4 2 3" xfId="33510"/>
    <cellStyle name="Labels - Opmaakprofiel3 2 18 6 4 2 4" xfId="31913"/>
    <cellStyle name="Labels - Opmaakprofiel3 2 18 6 4 2 5" xfId="54125"/>
    <cellStyle name="Labels - Opmaakprofiel3 2 18 6 4 3" xfId="14485"/>
    <cellStyle name="Labels - Opmaakprofiel3 2 18 6 4 4" xfId="26537"/>
    <cellStyle name="Labels - Opmaakprofiel3 2 18 6 4 5" xfId="39944"/>
    <cellStyle name="Labels - Opmaakprofiel3 2 18 6 4 6" xfId="48109"/>
    <cellStyle name="Labels - Opmaakprofiel3 2 18 6 5" xfId="4996"/>
    <cellStyle name="Labels - Opmaakprofiel3 2 18 6 5 2" xfId="9161"/>
    <cellStyle name="Labels - Opmaakprofiel3 2 18 6 5 2 2" xfId="21459"/>
    <cellStyle name="Labels - Opmaakprofiel3 2 18 6 5 2 3" xfId="33511"/>
    <cellStyle name="Labels - Opmaakprofiel3 2 18 6 5 2 4" xfId="42808"/>
    <cellStyle name="Labels - Opmaakprofiel3 2 18 6 5 2 5" xfId="54126"/>
    <cellStyle name="Labels - Opmaakprofiel3 2 18 6 5 3" xfId="14486"/>
    <cellStyle name="Labels - Opmaakprofiel3 2 18 6 5 4" xfId="26538"/>
    <cellStyle name="Labels - Opmaakprofiel3 2 18 6 5 5" xfId="45665"/>
    <cellStyle name="Labels - Opmaakprofiel3 2 18 6 5 6" xfId="48110"/>
    <cellStyle name="Labels - Opmaakprofiel3 2 18 6 6" xfId="4997"/>
    <cellStyle name="Labels - Opmaakprofiel3 2 18 6 6 2" xfId="9162"/>
    <cellStyle name="Labels - Opmaakprofiel3 2 18 6 6 2 2" xfId="21460"/>
    <cellStyle name="Labels - Opmaakprofiel3 2 18 6 6 2 3" xfId="33512"/>
    <cellStyle name="Labels - Opmaakprofiel3 2 18 6 6 2 4" xfId="27670"/>
    <cellStyle name="Labels - Opmaakprofiel3 2 18 6 6 2 5" xfId="54127"/>
    <cellStyle name="Labels - Opmaakprofiel3 2 18 6 6 3" xfId="14487"/>
    <cellStyle name="Labels - Opmaakprofiel3 2 18 6 6 4" xfId="26539"/>
    <cellStyle name="Labels - Opmaakprofiel3 2 18 6 6 5" xfId="39943"/>
    <cellStyle name="Labels - Opmaakprofiel3 2 18 6 6 6" xfId="48111"/>
    <cellStyle name="Labels - Opmaakprofiel3 2 18 6 7" xfId="4998"/>
    <cellStyle name="Labels - Opmaakprofiel3 2 18 6 7 2" xfId="14488"/>
    <cellStyle name="Labels - Opmaakprofiel3 2 18 6 7 3" xfId="26540"/>
    <cellStyle name="Labels - Opmaakprofiel3 2 18 6 7 4" xfId="45664"/>
    <cellStyle name="Labels - Opmaakprofiel3 2 18 6 7 5" xfId="48112"/>
    <cellStyle name="Labels - Opmaakprofiel3 2 18 6 8" xfId="10340"/>
    <cellStyle name="Labels - Opmaakprofiel3 2 18 6 8 2" xfId="22638"/>
    <cellStyle name="Labels - Opmaakprofiel3 2 18 6 8 3" xfId="44398"/>
    <cellStyle name="Labels - Opmaakprofiel3 2 18 6 8 4" xfId="29102"/>
    <cellStyle name="Labels - Opmaakprofiel3 2 18 6 8 5" xfId="55305"/>
    <cellStyle name="Labels - Opmaakprofiel3 2 18 6 9" xfId="14482"/>
    <cellStyle name="Labels - Opmaakprofiel3 2 18 7" xfId="1633"/>
    <cellStyle name="Labels - Opmaakprofiel3 2 18 7 2" xfId="9163"/>
    <cellStyle name="Labels - Opmaakprofiel3 2 18 7 2 2" xfId="21461"/>
    <cellStyle name="Labels - Opmaakprofiel3 2 18 7 2 3" xfId="33513"/>
    <cellStyle name="Labels - Opmaakprofiel3 2 18 7 2 4" xfId="42807"/>
    <cellStyle name="Labels - Opmaakprofiel3 2 18 7 2 5" xfId="54128"/>
    <cellStyle name="Labels - Opmaakprofiel3 2 18 7 3" xfId="14489"/>
    <cellStyle name="Labels - Opmaakprofiel3 2 18 7 4" xfId="26541"/>
    <cellStyle name="Labels - Opmaakprofiel3 2 18 7 5" xfId="39942"/>
    <cellStyle name="Labels - Opmaakprofiel3 2 18 7 6" xfId="48113"/>
    <cellStyle name="Labels - Opmaakprofiel3 2 18 8" xfId="2823"/>
    <cellStyle name="Labels - Opmaakprofiel3 2 18 8 2" xfId="9164"/>
    <cellStyle name="Labels - Opmaakprofiel3 2 18 8 2 2" xfId="21462"/>
    <cellStyle name="Labels - Opmaakprofiel3 2 18 8 2 3" xfId="33514"/>
    <cellStyle name="Labels - Opmaakprofiel3 2 18 8 2 4" xfId="31430"/>
    <cellStyle name="Labels - Opmaakprofiel3 2 18 8 2 5" xfId="54129"/>
    <cellStyle name="Labels - Opmaakprofiel3 2 18 8 3" xfId="14490"/>
    <cellStyle name="Labels - Opmaakprofiel3 2 18 8 4" xfId="26542"/>
    <cellStyle name="Labels - Opmaakprofiel3 2 18 8 5" xfId="45663"/>
    <cellStyle name="Labels - Opmaakprofiel3 2 18 8 6" xfId="48114"/>
    <cellStyle name="Labels - Opmaakprofiel3 2 18 9" xfId="3682"/>
    <cellStyle name="Labels - Opmaakprofiel3 2 18 9 2" xfId="9165"/>
    <cellStyle name="Labels - Opmaakprofiel3 2 18 9 2 2" xfId="21463"/>
    <cellStyle name="Labels - Opmaakprofiel3 2 18 9 2 3" xfId="33515"/>
    <cellStyle name="Labels - Opmaakprofiel3 2 18 9 2 4" xfId="42806"/>
    <cellStyle name="Labels - Opmaakprofiel3 2 18 9 2 5" xfId="54130"/>
    <cellStyle name="Labels - Opmaakprofiel3 2 18 9 3" xfId="14491"/>
    <cellStyle name="Labels - Opmaakprofiel3 2 18 9 4" xfId="26543"/>
    <cellStyle name="Labels - Opmaakprofiel3 2 18 9 5" xfId="39941"/>
    <cellStyle name="Labels - Opmaakprofiel3 2 18 9 6" xfId="48115"/>
    <cellStyle name="Labels - Opmaakprofiel3 2 19" xfId="811"/>
    <cellStyle name="Labels - Opmaakprofiel3 2 19 10" xfId="4999"/>
    <cellStyle name="Labels - Opmaakprofiel3 2 19 10 2" xfId="9166"/>
    <cellStyle name="Labels - Opmaakprofiel3 2 19 10 2 2" xfId="21464"/>
    <cellStyle name="Labels - Opmaakprofiel3 2 19 10 2 3" xfId="33516"/>
    <cellStyle name="Labels - Opmaakprofiel3 2 19 10 2 4" xfId="32100"/>
    <cellStyle name="Labels - Opmaakprofiel3 2 19 10 2 5" xfId="54131"/>
    <cellStyle name="Labels - Opmaakprofiel3 2 19 10 3" xfId="14493"/>
    <cellStyle name="Labels - Opmaakprofiel3 2 19 10 4" xfId="26545"/>
    <cellStyle name="Labels - Opmaakprofiel3 2 19 10 5" xfId="39940"/>
    <cellStyle name="Labels - Opmaakprofiel3 2 19 10 6" xfId="48116"/>
    <cellStyle name="Labels - Opmaakprofiel3 2 19 11" xfId="5000"/>
    <cellStyle name="Labels - Opmaakprofiel3 2 19 11 2" xfId="9167"/>
    <cellStyle name="Labels - Opmaakprofiel3 2 19 11 2 2" xfId="21465"/>
    <cellStyle name="Labels - Opmaakprofiel3 2 19 11 2 3" xfId="33517"/>
    <cellStyle name="Labels - Opmaakprofiel3 2 19 11 2 4" xfId="42805"/>
    <cellStyle name="Labels - Opmaakprofiel3 2 19 11 2 5" xfId="54132"/>
    <cellStyle name="Labels - Opmaakprofiel3 2 19 11 3" xfId="14494"/>
    <cellStyle name="Labels - Opmaakprofiel3 2 19 11 4" xfId="26546"/>
    <cellStyle name="Labels - Opmaakprofiel3 2 19 11 5" xfId="45661"/>
    <cellStyle name="Labels - Opmaakprofiel3 2 19 11 6" xfId="48117"/>
    <cellStyle name="Labels - Opmaakprofiel3 2 19 12" xfId="5001"/>
    <cellStyle name="Labels - Opmaakprofiel3 2 19 12 2" xfId="14495"/>
    <cellStyle name="Labels - Opmaakprofiel3 2 19 12 3" xfId="26547"/>
    <cellStyle name="Labels - Opmaakprofiel3 2 19 12 4" xfId="39939"/>
    <cellStyle name="Labels - Opmaakprofiel3 2 19 12 5" xfId="48118"/>
    <cellStyle name="Labels - Opmaakprofiel3 2 19 13" xfId="7439"/>
    <cellStyle name="Labels - Opmaakprofiel3 2 19 13 2" xfId="19737"/>
    <cellStyle name="Labels - Opmaakprofiel3 2 19 13 3" xfId="41540"/>
    <cellStyle name="Labels - Opmaakprofiel3 2 19 13 4" xfId="15555"/>
    <cellStyle name="Labels - Opmaakprofiel3 2 19 13 5" xfId="52409"/>
    <cellStyle name="Labels - Opmaakprofiel3 2 19 14" xfId="14492"/>
    <cellStyle name="Labels - Opmaakprofiel3 2 19 2" xfId="970"/>
    <cellStyle name="Labels - Opmaakprofiel3 2 19 2 2" xfId="2128"/>
    <cellStyle name="Labels - Opmaakprofiel3 2 19 2 2 2" xfId="9168"/>
    <cellStyle name="Labels - Opmaakprofiel3 2 19 2 2 2 2" xfId="21466"/>
    <cellStyle name="Labels - Opmaakprofiel3 2 19 2 2 2 3" xfId="33518"/>
    <cellStyle name="Labels - Opmaakprofiel3 2 19 2 2 2 4" xfId="27675"/>
    <cellStyle name="Labels - Opmaakprofiel3 2 19 2 2 2 5" xfId="54133"/>
    <cellStyle name="Labels - Opmaakprofiel3 2 19 2 2 3" xfId="14497"/>
    <cellStyle name="Labels - Opmaakprofiel3 2 19 2 2 4" xfId="26549"/>
    <cellStyle name="Labels - Opmaakprofiel3 2 19 2 2 5" xfId="39938"/>
    <cellStyle name="Labels - Opmaakprofiel3 2 19 2 2 6" xfId="48119"/>
    <cellStyle name="Labels - Opmaakprofiel3 2 19 2 3" xfId="2981"/>
    <cellStyle name="Labels - Opmaakprofiel3 2 19 2 3 2" xfId="9169"/>
    <cellStyle name="Labels - Opmaakprofiel3 2 19 2 3 2 2" xfId="21467"/>
    <cellStyle name="Labels - Opmaakprofiel3 2 19 2 3 2 3" xfId="33519"/>
    <cellStyle name="Labels - Opmaakprofiel3 2 19 2 3 2 4" xfId="42804"/>
    <cellStyle name="Labels - Opmaakprofiel3 2 19 2 3 2 5" xfId="54134"/>
    <cellStyle name="Labels - Opmaakprofiel3 2 19 2 3 3" xfId="14498"/>
    <cellStyle name="Labels - Opmaakprofiel3 2 19 2 3 4" xfId="26550"/>
    <cellStyle name="Labels - Opmaakprofiel3 2 19 2 3 5" xfId="45660"/>
    <cellStyle name="Labels - Opmaakprofiel3 2 19 2 3 6" xfId="48120"/>
    <cellStyle name="Labels - Opmaakprofiel3 2 19 2 4" xfId="3827"/>
    <cellStyle name="Labels - Opmaakprofiel3 2 19 2 4 2" xfId="9170"/>
    <cellStyle name="Labels - Opmaakprofiel3 2 19 2 4 2 2" xfId="21468"/>
    <cellStyle name="Labels - Opmaakprofiel3 2 19 2 4 2 3" xfId="33520"/>
    <cellStyle name="Labels - Opmaakprofiel3 2 19 2 4 2 4" xfId="32004"/>
    <cellStyle name="Labels - Opmaakprofiel3 2 19 2 4 2 5" xfId="54135"/>
    <cellStyle name="Labels - Opmaakprofiel3 2 19 2 4 3" xfId="14499"/>
    <cellStyle name="Labels - Opmaakprofiel3 2 19 2 4 4" xfId="26551"/>
    <cellStyle name="Labels - Opmaakprofiel3 2 19 2 4 5" xfId="39937"/>
    <cellStyle name="Labels - Opmaakprofiel3 2 19 2 4 6" xfId="48121"/>
    <cellStyle name="Labels - Opmaakprofiel3 2 19 2 5" xfId="5002"/>
    <cellStyle name="Labels - Opmaakprofiel3 2 19 2 5 2" xfId="9171"/>
    <cellStyle name="Labels - Opmaakprofiel3 2 19 2 5 2 2" xfId="21469"/>
    <cellStyle name="Labels - Opmaakprofiel3 2 19 2 5 2 3" xfId="33521"/>
    <cellStyle name="Labels - Opmaakprofiel3 2 19 2 5 2 4" xfId="32122"/>
    <cellStyle name="Labels - Opmaakprofiel3 2 19 2 5 2 5" xfId="54136"/>
    <cellStyle name="Labels - Opmaakprofiel3 2 19 2 5 3" xfId="14500"/>
    <cellStyle name="Labels - Opmaakprofiel3 2 19 2 5 4" xfId="26552"/>
    <cellStyle name="Labels - Opmaakprofiel3 2 19 2 5 5" xfId="45659"/>
    <cellStyle name="Labels - Opmaakprofiel3 2 19 2 5 6" xfId="48122"/>
    <cellStyle name="Labels - Opmaakprofiel3 2 19 2 6" xfId="5003"/>
    <cellStyle name="Labels - Opmaakprofiel3 2 19 2 6 2" xfId="9172"/>
    <cellStyle name="Labels - Opmaakprofiel3 2 19 2 6 2 2" xfId="21470"/>
    <cellStyle name="Labels - Opmaakprofiel3 2 19 2 6 2 3" xfId="33522"/>
    <cellStyle name="Labels - Opmaakprofiel3 2 19 2 6 2 4" xfId="27680"/>
    <cellStyle name="Labels - Opmaakprofiel3 2 19 2 6 2 5" xfId="54137"/>
    <cellStyle name="Labels - Opmaakprofiel3 2 19 2 6 3" xfId="14501"/>
    <cellStyle name="Labels - Opmaakprofiel3 2 19 2 6 4" xfId="26553"/>
    <cellStyle name="Labels - Opmaakprofiel3 2 19 2 6 5" xfId="39936"/>
    <cellStyle name="Labels - Opmaakprofiel3 2 19 2 6 6" xfId="48123"/>
    <cellStyle name="Labels - Opmaakprofiel3 2 19 2 7" xfId="5004"/>
    <cellStyle name="Labels - Opmaakprofiel3 2 19 2 7 2" xfId="14502"/>
    <cellStyle name="Labels - Opmaakprofiel3 2 19 2 7 3" xfId="26554"/>
    <cellStyle name="Labels - Opmaakprofiel3 2 19 2 7 4" xfId="45658"/>
    <cellStyle name="Labels - Opmaakprofiel3 2 19 2 7 5" xfId="48124"/>
    <cellStyle name="Labels - Opmaakprofiel3 2 19 2 8" xfId="10002"/>
    <cellStyle name="Labels - Opmaakprofiel3 2 19 2 8 2" xfId="22300"/>
    <cellStyle name="Labels - Opmaakprofiel3 2 19 2 8 3" xfId="44065"/>
    <cellStyle name="Labels - Opmaakprofiel3 2 19 2 8 4" xfId="42457"/>
    <cellStyle name="Labels - Opmaakprofiel3 2 19 2 8 5" xfId="54967"/>
    <cellStyle name="Labels - Opmaakprofiel3 2 19 2 9" xfId="14496"/>
    <cellStyle name="Labels - Opmaakprofiel3 2 19 3" xfId="1066"/>
    <cellStyle name="Labels - Opmaakprofiel3 2 19 3 2" xfId="2355"/>
    <cellStyle name="Labels - Opmaakprofiel3 2 19 3 2 2" xfId="9173"/>
    <cellStyle name="Labels - Opmaakprofiel3 2 19 3 2 2 2" xfId="21471"/>
    <cellStyle name="Labels - Opmaakprofiel3 2 19 3 2 2 3" xfId="33523"/>
    <cellStyle name="Labels - Opmaakprofiel3 2 19 3 2 2 4" xfId="42803"/>
    <cellStyle name="Labels - Opmaakprofiel3 2 19 3 2 2 5" xfId="54138"/>
    <cellStyle name="Labels - Opmaakprofiel3 2 19 3 2 3" xfId="14504"/>
    <cellStyle name="Labels - Opmaakprofiel3 2 19 3 2 4" xfId="26556"/>
    <cellStyle name="Labels - Opmaakprofiel3 2 19 3 2 5" xfId="45657"/>
    <cellStyle name="Labels - Opmaakprofiel3 2 19 3 2 6" xfId="48125"/>
    <cellStyle name="Labels - Opmaakprofiel3 2 19 3 3" xfId="3077"/>
    <cellStyle name="Labels - Opmaakprofiel3 2 19 3 3 2" xfId="9174"/>
    <cellStyle name="Labels - Opmaakprofiel3 2 19 3 3 2 2" xfId="21472"/>
    <cellStyle name="Labels - Opmaakprofiel3 2 19 3 3 2 3" xfId="33524"/>
    <cellStyle name="Labels - Opmaakprofiel3 2 19 3 3 2 4" xfId="27681"/>
    <cellStyle name="Labels - Opmaakprofiel3 2 19 3 3 2 5" xfId="54139"/>
    <cellStyle name="Labels - Opmaakprofiel3 2 19 3 3 3" xfId="14505"/>
    <cellStyle name="Labels - Opmaakprofiel3 2 19 3 3 4" xfId="26557"/>
    <cellStyle name="Labels - Opmaakprofiel3 2 19 3 3 5" xfId="39934"/>
    <cellStyle name="Labels - Opmaakprofiel3 2 19 3 3 6" xfId="48126"/>
    <cellStyle name="Labels - Opmaakprofiel3 2 19 3 4" xfId="3916"/>
    <cellStyle name="Labels - Opmaakprofiel3 2 19 3 4 2" xfId="9175"/>
    <cellStyle name="Labels - Opmaakprofiel3 2 19 3 4 2 2" xfId="21473"/>
    <cellStyle name="Labels - Opmaakprofiel3 2 19 3 4 2 3" xfId="33525"/>
    <cellStyle name="Labels - Opmaakprofiel3 2 19 3 4 2 4" xfId="27682"/>
    <cellStyle name="Labels - Opmaakprofiel3 2 19 3 4 2 5" xfId="54140"/>
    <cellStyle name="Labels - Opmaakprofiel3 2 19 3 4 3" xfId="14506"/>
    <cellStyle name="Labels - Opmaakprofiel3 2 19 3 4 4" xfId="26558"/>
    <cellStyle name="Labels - Opmaakprofiel3 2 19 3 4 5" xfId="45656"/>
    <cellStyle name="Labels - Opmaakprofiel3 2 19 3 4 6" xfId="48127"/>
    <cellStyle name="Labels - Opmaakprofiel3 2 19 3 5" xfId="5005"/>
    <cellStyle name="Labels - Opmaakprofiel3 2 19 3 5 2" xfId="9176"/>
    <cellStyle name="Labels - Opmaakprofiel3 2 19 3 5 2 2" xfId="21474"/>
    <cellStyle name="Labels - Opmaakprofiel3 2 19 3 5 2 3" xfId="33526"/>
    <cellStyle name="Labels - Opmaakprofiel3 2 19 3 5 2 4" xfId="42802"/>
    <cellStyle name="Labels - Opmaakprofiel3 2 19 3 5 2 5" xfId="54141"/>
    <cellStyle name="Labels - Opmaakprofiel3 2 19 3 5 3" xfId="14507"/>
    <cellStyle name="Labels - Opmaakprofiel3 2 19 3 5 4" xfId="26559"/>
    <cellStyle name="Labels - Opmaakprofiel3 2 19 3 5 5" xfId="39933"/>
    <cellStyle name="Labels - Opmaakprofiel3 2 19 3 5 6" xfId="48128"/>
    <cellStyle name="Labels - Opmaakprofiel3 2 19 3 6" xfId="5006"/>
    <cellStyle name="Labels - Opmaakprofiel3 2 19 3 6 2" xfId="9177"/>
    <cellStyle name="Labels - Opmaakprofiel3 2 19 3 6 2 2" xfId="21475"/>
    <cellStyle name="Labels - Opmaakprofiel3 2 19 3 6 2 3" xfId="33527"/>
    <cellStyle name="Labels - Opmaakprofiel3 2 19 3 6 2 4" xfId="31534"/>
    <cellStyle name="Labels - Opmaakprofiel3 2 19 3 6 2 5" xfId="54142"/>
    <cellStyle name="Labels - Opmaakprofiel3 2 19 3 6 3" xfId="14508"/>
    <cellStyle name="Labels - Opmaakprofiel3 2 19 3 6 4" xfId="26560"/>
    <cellStyle name="Labels - Opmaakprofiel3 2 19 3 6 5" xfId="39932"/>
    <cellStyle name="Labels - Opmaakprofiel3 2 19 3 6 6" xfId="48129"/>
    <cellStyle name="Labels - Opmaakprofiel3 2 19 3 7" xfId="5007"/>
    <cellStyle name="Labels - Opmaakprofiel3 2 19 3 7 2" xfId="14509"/>
    <cellStyle name="Labels - Opmaakprofiel3 2 19 3 7 3" xfId="26561"/>
    <cellStyle name="Labels - Opmaakprofiel3 2 19 3 7 4" xfId="39931"/>
    <cellStyle name="Labels - Opmaakprofiel3 2 19 3 7 5" xfId="48130"/>
    <cellStyle name="Labels - Opmaakprofiel3 2 19 3 8" xfId="7265"/>
    <cellStyle name="Labels - Opmaakprofiel3 2 19 3 8 2" xfId="19563"/>
    <cellStyle name="Labels - Opmaakprofiel3 2 19 3 8 3" xfId="41366"/>
    <cellStyle name="Labels - Opmaakprofiel3 2 19 3 8 4" xfId="36879"/>
    <cellStyle name="Labels - Opmaakprofiel3 2 19 3 8 5" xfId="52235"/>
    <cellStyle name="Labels - Opmaakprofiel3 2 19 3 9" xfId="14503"/>
    <cellStyle name="Labels - Opmaakprofiel3 2 19 4" xfId="828"/>
    <cellStyle name="Labels - Opmaakprofiel3 2 19 4 2" xfId="1571"/>
    <cellStyle name="Labels - Opmaakprofiel3 2 19 4 2 2" xfId="9178"/>
    <cellStyle name="Labels - Opmaakprofiel3 2 19 4 2 2 2" xfId="21476"/>
    <cellStyle name="Labels - Opmaakprofiel3 2 19 4 2 2 3" xfId="33528"/>
    <cellStyle name="Labels - Opmaakprofiel3 2 19 4 2 2 4" xfId="42801"/>
    <cellStyle name="Labels - Opmaakprofiel3 2 19 4 2 2 5" xfId="54143"/>
    <cellStyle name="Labels - Opmaakprofiel3 2 19 4 2 3" xfId="14511"/>
    <cellStyle name="Labels - Opmaakprofiel3 2 19 4 2 4" xfId="26563"/>
    <cellStyle name="Labels - Opmaakprofiel3 2 19 4 2 5" xfId="39930"/>
    <cellStyle name="Labels - Opmaakprofiel3 2 19 4 2 6" xfId="48131"/>
    <cellStyle name="Labels - Opmaakprofiel3 2 19 4 3" xfId="2839"/>
    <cellStyle name="Labels - Opmaakprofiel3 2 19 4 3 2" xfId="9179"/>
    <cellStyle name="Labels - Opmaakprofiel3 2 19 4 3 2 2" xfId="21477"/>
    <cellStyle name="Labels - Opmaakprofiel3 2 19 4 3 2 3" xfId="33529"/>
    <cellStyle name="Labels - Opmaakprofiel3 2 19 4 3 2 4" xfId="27685"/>
    <cellStyle name="Labels - Opmaakprofiel3 2 19 4 3 2 5" xfId="54144"/>
    <cellStyle name="Labels - Opmaakprofiel3 2 19 4 3 3" xfId="14512"/>
    <cellStyle name="Labels - Opmaakprofiel3 2 19 4 3 4" xfId="26564"/>
    <cellStyle name="Labels - Opmaakprofiel3 2 19 4 3 5" xfId="45654"/>
    <cellStyle name="Labels - Opmaakprofiel3 2 19 4 3 6" xfId="48132"/>
    <cellStyle name="Labels - Opmaakprofiel3 2 19 4 4" xfId="3696"/>
    <cellStyle name="Labels - Opmaakprofiel3 2 19 4 4 2" xfId="9180"/>
    <cellStyle name="Labels - Opmaakprofiel3 2 19 4 4 2 2" xfId="21478"/>
    <cellStyle name="Labels - Opmaakprofiel3 2 19 4 4 2 3" xfId="33530"/>
    <cellStyle name="Labels - Opmaakprofiel3 2 19 4 4 2 4" xfId="42800"/>
    <cellStyle name="Labels - Opmaakprofiel3 2 19 4 4 2 5" xfId="54145"/>
    <cellStyle name="Labels - Opmaakprofiel3 2 19 4 4 3" xfId="14513"/>
    <cellStyle name="Labels - Opmaakprofiel3 2 19 4 4 4" xfId="26565"/>
    <cellStyle name="Labels - Opmaakprofiel3 2 19 4 4 5" xfId="39929"/>
    <cellStyle name="Labels - Opmaakprofiel3 2 19 4 4 6" xfId="48133"/>
    <cellStyle name="Labels - Opmaakprofiel3 2 19 4 5" xfId="5008"/>
    <cellStyle name="Labels - Opmaakprofiel3 2 19 4 5 2" xfId="9181"/>
    <cellStyle name="Labels - Opmaakprofiel3 2 19 4 5 2 2" xfId="21479"/>
    <cellStyle name="Labels - Opmaakprofiel3 2 19 4 5 2 3" xfId="33531"/>
    <cellStyle name="Labels - Opmaakprofiel3 2 19 4 5 2 4" xfId="34199"/>
    <cellStyle name="Labels - Opmaakprofiel3 2 19 4 5 2 5" xfId="54146"/>
    <cellStyle name="Labels - Opmaakprofiel3 2 19 4 5 3" xfId="14514"/>
    <cellStyle name="Labels - Opmaakprofiel3 2 19 4 5 4" xfId="26566"/>
    <cellStyle name="Labels - Opmaakprofiel3 2 19 4 5 5" xfId="39928"/>
    <cellStyle name="Labels - Opmaakprofiel3 2 19 4 5 6" xfId="48134"/>
    <cellStyle name="Labels - Opmaakprofiel3 2 19 4 6" xfId="5009"/>
    <cellStyle name="Labels - Opmaakprofiel3 2 19 4 6 2" xfId="9182"/>
    <cellStyle name="Labels - Opmaakprofiel3 2 19 4 6 2 2" xfId="21480"/>
    <cellStyle name="Labels - Opmaakprofiel3 2 19 4 6 2 3" xfId="33532"/>
    <cellStyle name="Labels - Opmaakprofiel3 2 19 4 6 2 4" xfId="42799"/>
    <cellStyle name="Labels - Opmaakprofiel3 2 19 4 6 2 5" xfId="54147"/>
    <cellStyle name="Labels - Opmaakprofiel3 2 19 4 6 3" xfId="14515"/>
    <cellStyle name="Labels - Opmaakprofiel3 2 19 4 6 4" xfId="26567"/>
    <cellStyle name="Labels - Opmaakprofiel3 2 19 4 6 5" xfId="45653"/>
    <cellStyle name="Labels - Opmaakprofiel3 2 19 4 6 6" xfId="48135"/>
    <cellStyle name="Labels - Opmaakprofiel3 2 19 4 7" xfId="5010"/>
    <cellStyle name="Labels - Opmaakprofiel3 2 19 4 7 2" xfId="14516"/>
    <cellStyle name="Labels - Opmaakprofiel3 2 19 4 7 3" xfId="26568"/>
    <cellStyle name="Labels - Opmaakprofiel3 2 19 4 7 4" xfId="39927"/>
    <cellStyle name="Labels - Opmaakprofiel3 2 19 4 7 5" xfId="48136"/>
    <cellStyle name="Labels - Opmaakprofiel3 2 19 4 8" xfId="10119"/>
    <cellStyle name="Labels - Opmaakprofiel3 2 19 4 8 2" xfId="22417"/>
    <cellStyle name="Labels - Opmaakprofiel3 2 19 4 8 3" xfId="44181"/>
    <cellStyle name="Labels - Opmaakprofiel3 2 19 4 8 4" xfId="34386"/>
    <cellStyle name="Labels - Opmaakprofiel3 2 19 4 8 5" xfId="55084"/>
    <cellStyle name="Labels - Opmaakprofiel3 2 19 4 9" xfId="14510"/>
    <cellStyle name="Labels - Opmaakprofiel3 2 19 5" xfId="1235"/>
    <cellStyle name="Labels - Opmaakprofiel3 2 19 5 2" xfId="2208"/>
    <cellStyle name="Labels - Opmaakprofiel3 2 19 5 2 2" xfId="9183"/>
    <cellStyle name="Labels - Opmaakprofiel3 2 19 5 2 2 2" xfId="21481"/>
    <cellStyle name="Labels - Opmaakprofiel3 2 19 5 2 2 3" xfId="33533"/>
    <cellStyle name="Labels - Opmaakprofiel3 2 19 5 2 2 4" xfId="32069"/>
    <cellStyle name="Labels - Opmaakprofiel3 2 19 5 2 2 5" xfId="54148"/>
    <cellStyle name="Labels - Opmaakprofiel3 2 19 5 2 3" xfId="14518"/>
    <cellStyle name="Labels - Opmaakprofiel3 2 19 5 2 4" xfId="26570"/>
    <cellStyle name="Labels - Opmaakprofiel3 2 19 5 2 5" xfId="39926"/>
    <cellStyle name="Labels - Opmaakprofiel3 2 19 5 2 6" xfId="48137"/>
    <cellStyle name="Labels - Opmaakprofiel3 2 19 5 3" xfId="3246"/>
    <cellStyle name="Labels - Opmaakprofiel3 2 19 5 3 2" xfId="9184"/>
    <cellStyle name="Labels - Opmaakprofiel3 2 19 5 3 2 2" xfId="21482"/>
    <cellStyle name="Labels - Opmaakprofiel3 2 19 5 3 2 3" xfId="33534"/>
    <cellStyle name="Labels - Opmaakprofiel3 2 19 5 3 2 4" xfId="42798"/>
    <cellStyle name="Labels - Opmaakprofiel3 2 19 5 3 2 5" xfId="54149"/>
    <cellStyle name="Labels - Opmaakprofiel3 2 19 5 3 3" xfId="14519"/>
    <cellStyle name="Labels - Opmaakprofiel3 2 19 5 3 4" xfId="26571"/>
    <cellStyle name="Labels - Opmaakprofiel3 2 19 5 3 5" xfId="45651"/>
    <cellStyle name="Labels - Opmaakprofiel3 2 19 5 3 6" xfId="48138"/>
    <cellStyle name="Labels - Opmaakprofiel3 2 19 5 4" xfId="4060"/>
    <cellStyle name="Labels - Opmaakprofiel3 2 19 5 4 2" xfId="9185"/>
    <cellStyle name="Labels - Opmaakprofiel3 2 19 5 4 2 2" xfId="21483"/>
    <cellStyle name="Labels - Opmaakprofiel3 2 19 5 4 2 3" xfId="33535"/>
    <cellStyle name="Labels - Opmaakprofiel3 2 19 5 4 2 4" xfId="32095"/>
    <cellStyle name="Labels - Opmaakprofiel3 2 19 5 4 2 5" xfId="54150"/>
    <cellStyle name="Labels - Opmaakprofiel3 2 19 5 4 3" xfId="14520"/>
    <cellStyle name="Labels - Opmaakprofiel3 2 19 5 4 4" xfId="26572"/>
    <cellStyle name="Labels - Opmaakprofiel3 2 19 5 4 5" xfId="39925"/>
    <cellStyle name="Labels - Opmaakprofiel3 2 19 5 4 6" xfId="48139"/>
    <cellStyle name="Labels - Opmaakprofiel3 2 19 5 5" xfId="5011"/>
    <cellStyle name="Labels - Opmaakprofiel3 2 19 5 5 2" xfId="9186"/>
    <cellStyle name="Labels - Opmaakprofiel3 2 19 5 5 2 2" xfId="21484"/>
    <cellStyle name="Labels - Opmaakprofiel3 2 19 5 5 2 3" xfId="33536"/>
    <cellStyle name="Labels - Opmaakprofiel3 2 19 5 5 2 4" xfId="27692"/>
    <cellStyle name="Labels - Opmaakprofiel3 2 19 5 5 2 5" xfId="54151"/>
    <cellStyle name="Labels - Opmaakprofiel3 2 19 5 5 3" xfId="14521"/>
    <cellStyle name="Labels - Opmaakprofiel3 2 19 5 5 4" xfId="26573"/>
    <cellStyle name="Labels - Opmaakprofiel3 2 19 5 5 5" xfId="39924"/>
    <cellStyle name="Labels - Opmaakprofiel3 2 19 5 5 6" xfId="48140"/>
    <cellStyle name="Labels - Opmaakprofiel3 2 19 5 6" xfId="5012"/>
    <cellStyle name="Labels - Opmaakprofiel3 2 19 5 6 2" xfId="9187"/>
    <cellStyle name="Labels - Opmaakprofiel3 2 19 5 6 2 2" xfId="21485"/>
    <cellStyle name="Labels - Opmaakprofiel3 2 19 5 6 2 3" xfId="33537"/>
    <cellStyle name="Labels - Opmaakprofiel3 2 19 5 6 2 4" xfId="27693"/>
    <cellStyle name="Labels - Opmaakprofiel3 2 19 5 6 2 5" xfId="54152"/>
    <cellStyle name="Labels - Opmaakprofiel3 2 19 5 6 3" xfId="14522"/>
    <cellStyle name="Labels - Opmaakprofiel3 2 19 5 6 4" xfId="26574"/>
    <cellStyle name="Labels - Opmaakprofiel3 2 19 5 6 5" xfId="45650"/>
    <cellStyle name="Labels - Opmaakprofiel3 2 19 5 6 6" xfId="48141"/>
    <cellStyle name="Labels - Opmaakprofiel3 2 19 5 7" xfId="5013"/>
    <cellStyle name="Labels - Opmaakprofiel3 2 19 5 7 2" xfId="14523"/>
    <cellStyle name="Labels - Opmaakprofiel3 2 19 5 7 3" xfId="26575"/>
    <cellStyle name="Labels - Opmaakprofiel3 2 19 5 7 4" xfId="39923"/>
    <cellStyle name="Labels - Opmaakprofiel3 2 19 5 7 5" xfId="48142"/>
    <cellStyle name="Labels - Opmaakprofiel3 2 19 5 8" xfId="7139"/>
    <cellStyle name="Labels - Opmaakprofiel3 2 19 5 8 2" xfId="19437"/>
    <cellStyle name="Labels - Opmaakprofiel3 2 19 5 8 3" xfId="41240"/>
    <cellStyle name="Labels - Opmaakprofiel3 2 19 5 8 4" xfId="36953"/>
    <cellStyle name="Labels - Opmaakprofiel3 2 19 5 8 5" xfId="52109"/>
    <cellStyle name="Labels - Opmaakprofiel3 2 19 5 9" xfId="14517"/>
    <cellStyle name="Labels - Opmaakprofiel3 2 19 6" xfId="488"/>
    <cellStyle name="Labels - Opmaakprofiel3 2 19 6 2" xfId="2180"/>
    <cellStyle name="Labels - Opmaakprofiel3 2 19 6 2 2" xfId="9188"/>
    <cellStyle name="Labels - Opmaakprofiel3 2 19 6 2 2 2" xfId="21486"/>
    <cellStyle name="Labels - Opmaakprofiel3 2 19 6 2 2 3" xfId="33538"/>
    <cellStyle name="Labels - Opmaakprofiel3 2 19 6 2 2 4" xfId="42797"/>
    <cellStyle name="Labels - Opmaakprofiel3 2 19 6 2 2 5" xfId="54153"/>
    <cellStyle name="Labels - Opmaakprofiel3 2 19 6 2 3" xfId="14525"/>
    <cellStyle name="Labels - Opmaakprofiel3 2 19 6 2 4" xfId="26577"/>
    <cellStyle name="Labels - Opmaakprofiel3 2 19 6 2 5" xfId="39922"/>
    <cellStyle name="Labels - Opmaakprofiel3 2 19 6 2 6" xfId="48143"/>
    <cellStyle name="Labels - Opmaakprofiel3 2 19 6 3" xfId="2559"/>
    <cellStyle name="Labels - Opmaakprofiel3 2 19 6 3 2" xfId="9189"/>
    <cellStyle name="Labels - Opmaakprofiel3 2 19 6 3 2 2" xfId="21487"/>
    <cellStyle name="Labels - Opmaakprofiel3 2 19 6 3 2 3" xfId="33539"/>
    <cellStyle name="Labels - Opmaakprofiel3 2 19 6 3 2 4" xfId="32051"/>
    <cellStyle name="Labels - Opmaakprofiel3 2 19 6 3 2 5" xfId="54154"/>
    <cellStyle name="Labels - Opmaakprofiel3 2 19 6 3 3" xfId="14526"/>
    <cellStyle name="Labels - Opmaakprofiel3 2 19 6 3 4" xfId="26578"/>
    <cellStyle name="Labels - Opmaakprofiel3 2 19 6 3 5" xfId="45648"/>
    <cellStyle name="Labels - Opmaakprofiel3 2 19 6 3 6" xfId="48144"/>
    <cellStyle name="Labels - Opmaakprofiel3 2 19 6 4" xfId="3444"/>
    <cellStyle name="Labels - Opmaakprofiel3 2 19 6 4 2" xfId="9190"/>
    <cellStyle name="Labels - Opmaakprofiel3 2 19 6 4 2 2" xfId="21488"/>
    <cellStyle name="Labels - Opmaakprofiel3 2 19 6 4 2 3" xfId="33540"/>
    <cellStyle name="Labels - Opmaakprofiel3 2 19 6 4 2 4" xfId="42796"/>
    <cellStyle name="Labels - Opmaakprofiel3 2 19 6 4 2 5" xfId="54155"/>
    <cellStyle name="Labels - Opmaakprofiel3 2 19 6 4 3" xfId="14527"/>
    <cellStyle name="Labels - Opmaakprofiel3 2 19 6 4 4" xfId="26579"/>
    <cellStyle name="Labels - Opmaakprofiel3 2 19 6 4 5" xfId="39921"/>
    <cellStyle name="Labels - Opmaakprofiel3 2 19 6 4 6" xfId="48145"/>
    <cellStyle name="Labels - Opmaakprofiel3 2 19 6 5" xfId="5014"/>
    <cellStyle name="Labels - Opmaakprofiel3 2 19 6 5 2" xfId="9191"/>
    <cellStyle name="Labels - Opmaakprofiel3 2 19 6 5 2 2" xfId="21489"/>
    <cellStyle name="Labels - Opmaakprofiel3 2 19 6 5 2 3" xfId="33541"/>
    <cellStyle name="Labels - Opmaakprofiel3 2 19 6 5 2 4" xfId="34513"/>
    <cellStyle name="Labels - Opmaakprofiel3 2 19 6 5 2 5" xfId="54156"/>
    <cellStyle name="Labels - Opmaakprofiel3 2 19 6 5 3" xfId="14528"/>
    <cellStyle name="Labels - Opmaakprofiel3 2 19 6 5 4" xfId="26580"/>
    <cellStyle name="Labels - Opmaakprofiel3 2 19 6 5 5" xfId="45647"/>
    <cellStyle name="Labels - Opmaakprofiel3 2 19 6 5 6" xfId="48146"/>
    <cellStyle name="Labels - Opmaakprofiel3 2 19 6 6" xfId="5015"/>
    <cellStyle name="Labels - Opmaakprofiel3 2 19 6 6 2" xfId="9192"/>
    <cellStyle name="Labels - Opmaakprofiel3 2 19 6 6 2 2" xfId="21490"/>
    <cellStyle name="Labels - Opmaakprofiel3 2 19 6 6 2 3" xfId="33542"/>
    <cellStyle name="Labels - Opmaakprofiel3 2 19 6 6 2 4" xfId="42795"/>
    <cellStyle name="Labels - Opmaakprofiel3 2 19 6 6 2 5" xfId="54157"/>
    <cellStyle name="Labels - Opmaakprofiel3 2 19 6 6 3" xfId="14529"/>
    <cellStyle name="Labels - Opmaakprofiel3 2 19 6 6 4" xfId="26581"/>
    <cellStyle name="Labels - Opmaakprofiel3 2 19 6 6 5" xfId="39920"/>
    <cellStyle name="Labels - Opmaakprofiel3 2 19 6 6 6" xfId="48147"/>
    <cellStyle name="Labels - Opmaakprofiel3 2 19 6 7" xfId="5016"/>
    <cellStyle name="Labels - Opmaakprofiel3 2 19 6 7 2" xfId="14530"/>
    <cellStyle name="Labels - Opmaakprofiel3 2 19 6 7 3" xfId="26582"/>
    <cellStyle name="Labels - Opmaakprofiel3 2 19 6 7 4" xfId="45646"/>
    <cellStyle name="Labels - Opmaakprofiel3 2 19 6 7 5" xfId="48148"/>
    <cellStyle name="Labels - Opmaakprofiel3 2 19 6 8" xfId="7657"/>
    <cellStyle name="Labels - Opmaakprofiel3 2 19 6 8 2" xfId="19955"/>
    <cellStyle name="Labels - Opmaakprofiel3 2 19 6 8 3" xfId="41758"/>
    <cellStyle name="Labels - Opmaakprofiel3 2 19 6 8 4" xfId="32055"/>
    <cellStyle name="Labels - Opmaakprofiel3 2 19 6 8 5" xfId="52627"/>
    <cellStyle name="Labels - Opmaakprofiel3 2 19 6 9" xfId="14524"/>
    <cellStyle name="Labels - Opmaakprofiel3 2 19 7" xfId="1462"/>
    <cellStyle name="Labels - Opmaakprofiel3 2 19 7 2" xfId="9193"/>
    <cellStyle name="Labels - Opmaakprofiel3 2 19 7 2 2" xfId="21491"/>
    <cellStyle name="Labels - Opmaakprofiel3 2 19 7 2 3" xfId="33543"/>
    <cellStyle name="Labels - Opmaakprofiel3 2 19 7 2 4" xfId="27698"/>
    <cellStyle name="Labels - Opmaakprofiel3 2 19 7 2 5" xfId="54158"/>
    <cellStyle name="Labels - Opmaakprofiel3 2 19 7 3" xfId="14531"/>
    <cellStyle name="Labels - Opmaakprofiel3 2 19 7 4" xfId="26583"/>
    <cellStyle name="Labels - Opmaakprofiel3 2 19 7 5" xfId="39919"/>
    <cellStyle name="Labels - Opmaakprofiel3 2 19 7 6" xfId="48149"/>
    <cellStyle name="Labels - Opmaakprofiel3 2 19 8" xfId="2828"/>
    <cellStyle name="Labels - Opmaakprofiel3 2 19 8 2" xfId="9194"/>
    <cellStyle name="Labels - Opmaakprofiel3 2 19 8 2 2" xfId="21492"/>
    <cellStyle name="Labels - Opmaakprofiel3 2 19 8 2 3" xfId="33544"/>
    <cellStyle name="Labels - Opmaakprofiel3 2 19 8 2 4" xfId="42794"/>
    <cellStyle name="Labels - Opmaakprofiel3 2 19 8 2 5" xfId="54159"/>
    <cellStyle name="Labels - Opmaakprofiel3 2 19 8 3" xfId="14532"/>
    <cellStyle name="Labels - Opmaakprofiel3 2 19 8 4" xfId="26584"/>
    <cellStyle name="Labels - Opmaakprofiel3 2 19 8 5" xfId="39918"/>
    <cellStyle name="Labels - Opmaakprofiel3 2 19 8 6" xfId="48150"/>
    <cellStyle name="Labels - Opmaakprofiel3 2 19 9" xfId="3686"/>
    <cellStyle name="Labels - Opmaakprofiel3 2 19 9 2" xfId="9195"/>
    <cellStyle name="Labels - Opmaakprofiel3 2 19 9 2 2" xfId="21493"/>
    <cellStyle name="Labels - Opmaakprofiel3 2 19 9 2 3" xfId="33545"/>
    <cellStyle name="Labels - Opmaakprofiel3 2 19 9 2 4" xfId="27699"/>
    <cellStyle name="Labels - Opmaakprofiel3 2 19 9 2 5" xfId="54160"/>
    <cellStyle name="Labels - Opmaakprofiel3 2 19 9 3" xfId="14533"/>
    <cellStyle name="Labels - Opmaakprofiel3 2 19 9 4" xfId="26585"/>
    <cellStyle name="Labels - Opmaakprofiel3 2 19 9 5" xfId="39917"/>
    <cellStyle name="Labels - Opmaakprofiel3 2 19 9 6" xfId="48151"/>
    <cellStyle name="Labels - Opmaakprofiel3 2 2" xfId="141"/>
    <cellStyle name="Labels - Opmaakprofiel3 2 2 10" xfId="1361"/>
    <cellStyle name="Labels - Opmaakprofiel3 2 2 10 2" xfId="1408"/>
    <cellStyle name="Labels - Opmaakprofiel3 2 2 10 2 2" xfId="9196"/>
    <cellStyle name="Labels - Opmaakprofiel3 2 2 10 2 2 2" xfId="21494"/>
    <cellStyle name="Labels - Opmaakprofiel3 2 2 10 2 2 3" xfId="33546"/>
    <cellStyle name="Labels - Opmaakprofiel3 2 2 10 2 2 4" xfId="42793"/>
    <cellStyle name="Labels - Opmaakprofiel3 2 2 10 2 2 5" xfId="54161"/>
    <cellStyle name="Labels - Opmaakprofiel3 2 2 10 2 3" xfId="14536"/>
    <cellStyle name="Labels - Opmaakprofiel3 2 2 10 2 4" xfId="26588"/>
    <cellStyle name="Labels - Opmaakprofiel3 2 2 10 2 5" xfId="45644"/>
    <cellStyle name="Labels - Opmaakprofiel3 2 2 10 2 6" xfId="48152"/>
    <cellStyle name="Labels - Opmaakprofiel3 2 2 10 3" xfId="3372"/>
    <cellStyle name="Labels - Opmaakprofiel3 2 2 10 3 2" xfId="9197"/>
    <cellStyle name="Labels - Opmaakprofiel3 2 2 10 3 2 2" xfId="21495"/>
    <cellStyle name="Labels - Opmaakprofiel3 2 2 10 3 2 3" xfId="33547"/>
    <cellStyle name="Labels - Opmaakprofiel3 2 2 10 3 2 4" xfId="34291"/>
    <cellStyle name="Labels - Opmaakprofiel3 2 2 10 3 2 5" xfId="54162"/>
    <cellStyle name="Labels - Opmaakprofiel3 2 2 10 3 3" xfId="14537"/>
    <cellStyle name="Labels - Opmaakprofiel3 2 2 10 3 4" xfId="26589"/>
    <cellStyle name="Labels - Opmaakprofiel3 2 2 10 3 5" xfId="39915"/>
    <cellStyle name="Labels - Opmaakprofiel3 2 2 10 3 6" xfId="48153"/>
    <cellStyle name="Labels - Opmaakprofiel3 2 2 10 4" xfId="4133"/>
    <cellStyle name="Labels - Opmaakprofiel3 2 2 10 4 2" xfId="9198"/>
    <cellStyle name="Labels - Opmaakprofiel3 2 2 10 4 2 2" xfId="21496"/>
    <cellStyle name="Labels - Opmaakprofiel3 2 2 10 4 2 3" xfId="33548"/>
    <cellStyle name="Labels - Opmaakprofiel3 2 2 10 4 2 4" xfId="31847"/>
    <cellStyle name="Labels - Opmaakprofiel3 2 2 10 4 2 5" xfId="54163"/>
    <cellStyle name="Labels - Opmaakprofiel3 2 2 10 4 3" xfId="14538"/>
    <cellStyle name="Labels - Opmaakprofiel3 2 2 10 4 4" xfId="26590"/>
    <cellStyle name="Labels - Opmaakprofiel3 2 2 10 4 5" xfId="45643"/>
    <cellStyle name="Labels - Opmaakprofiel3 2 2 10 4 6" xfId="48154"/>
    <cellStyle name="Labels - Opmaakprofiel3 2 2 10 5" xfId="5017"/>
    <cellStyle name="Labels - Opmaakprofiel3 2 2 10 5 2" xfId="9199"/>
    <cellStyle name="Labels - Opmaakprofiel3 2 2 10 5 2 2" xfId="21497"/>
    <cellStyle name="Labels - Opmaakprofiel3 2 2 10 5 2 3" xfId="33549"/>
    <cellStyle name="Labels - Opmaakprofiel3 2 2 10 5 2 4" xfId="27704"/>
    <cellStyle name="Labels - Opmaakprofiel3 2 2 10 5 2 5" xfId="54164"/>
    <cellStyle name="Labels - Opmaakprofiel3 2 2 10 5 3" xfId="14539"/>
    <cellStyle name="Labels - Opmaakprofiel3 2 2 10 5 4" xfId="26591"/>
    <cellStyle name="Labels - Opmaakprofiel3 2 2 10 5 5" xfId="39914"/>
    <cellStyle name="Labels - Opmaakprofiel3 2 2 10 5 6" xfId="48155"/>
    <cellStyle name="Labels - Opmaakprofiel3 2 2 10 6" xfId="5018"/>
    <cellStyle name="Labels - Opmaakprofiel3 2 2 10 6 2" xfId="9200"/>
    <cellStyle name="Labels - Opmaakprofiel3 2 2 10 6 2 2" xfId="21498"/>
    <cellStyle name="Labels - Opmaakprofiel3 2 2 10 6 2 3" xfId="33550"/>
    <cellStyle name="Labels - Opmaakprofiel3 2 2 10 6 2 4" xfId="42792"/>
    <cellStyle name="Labels - Opmaakprofiel3 2 2 10 6 2 5" xfId="54165"/>
    <cellStyle name="Labels - Opmaakprofiel3 2 2 10 6 3" xfId="14540"/>
    <cellStyle name="Labels - Opmaakprofiel3 2 2 10 6 4" xfId="26592"/>
    <cellStyle name="Labels - Opmaakprofiel3 2 2 10 6 5" xfId="45642"/>
    <cellStyle name="Labels - Opmaakprofiel3 2 2 10 6 6" xfId="48156"/>
    <cellStyle name="Labels - Opmaakprofiel3 2 2 10 7" xfId="5019"/>
    <cellStyle name="Labels - Opmaakprofiel3 2 2 10 7 2" xfId="14541"/>
    <cellStyle name="Labels - Opmaakprofiel3 2 2 10 7 3" xfId="26593"/>
    <cellStyle name="Labels - Opmaakprofiel3 2 2 10 7 4" xfId="39913"/>
    <cellStyle name="Labels - Opmaakprofiel3 2 2 10 7 5" xfId="48157"/>
    <cellStyle name="Labels - Opmaakprofiel3 2 2 10 8" xfId="7023"/>
    <cellStyle name="Labels - Opmaakprofiel3 2 2 10 8 2" xfId="19321"/>
    <cellStyle name="Labels - Opmaakprofiel3 2 2 10 8 3" xfId="41124"/>
    <cellStyle name="Labels - Opmaakprofiel3 2 2 10 8 4" xfId="43682"/>
    <cellStyle name="Labels - Opmaakprofiel3 2 2 10 8 5" xfId="51994"/>
    <cellStyle name="Labels - Opmaakprofiel3 2 2 10 9" xfId="14535"/>
    <cellStyle name="Labels - Opmaakprofiel3 2 2 11" xfId="2073"/>
    <cellStyle name="Labels - Opmaakprofiel3 2 2 11 2" xfId="9201"/>
    <cellStyle name="Labels - Opmaakprofiel3 2 2 11 2 2" xfId="21499"/>
    <cellStyle name="Labels - Opmaakprofiel3 2 2 11 2 3" xfId="33551"/>
    <cellStyle name="Labels - Opmaakprofiel3 2 2 11 2 4" xfId="27705"/>
    <cellStyle name="Labels - Opmaakprofiel3 2 2 11 2 5" xfId="54166"/>
    <cellStyle name="Labels - Opmaakprofiel3 2 2 11 3" xfId="14542"/>
    <cellStyle name="Labels - Opmaakprofiel3 2 2 11 4" xfId="26594"/>
    <cellStyle name="Labels - Opmaakprofiel3 2 2 11 5" xfId="45641"/>
    <cellStyle name="Labels - Opmaakprofiel3 2 2 11 6" xfId="48158"/>
    <cellStyle name="Labels - Opmaakprofiel3 2 2 12" xfId="1886"/>
    <cellStyle name="Labels - Opmaakprofiel3 2 2 12 2" xfId="9202"/>
    <cellStyle name="Labels - Opmaakprofiel3 2 2 12 2 2" xfId="21500"/>
    <cellStyle name="Labels - Opmaakprofiel3 2 2 12 2 3" xfId="33552"/>
    <cellStyle name="Labels - Opmaakprofiel3 2 2 12 2 4" xfId="42791"/>
    <cellStyle name="Labels - Opmaakprofiel3 2 2 12 2 5" xfId="54167"/>
    <cellStyle name="Labels - Opmaakprofiel3 2 2 12 3" xfId="14543"/>
    <cellStyle name="Labels - Opmaakprofiel3 2 2 12 4" xfId="26595"/>
    <cellStyle name="Labels - Opmaakprofiel3 2 2 12 5" xfId="39912"/>
    <cellStyle name="Labels - Opmaakprofiel3 2 2 12 6" xfId="48159"/>
    <cellStyle name="Labels - Opmaakprofiel3 2 2 13" xfId="2479"/>
    <cellStyle name="Labels - Opmaakprofiel3 2 2 13 2" xfId="9203"/>
    <cellStyle name="Labels - Opmaakprofiel3 2 2 13 2 2" xfId="21501"/>
    <cellStyle name="Labels - Opmaakprofiel3 2 2 13 2 3" xfId="33553"/>
    <cellStyle name="Labels - Opmaakprofiel3 2 2 13 2 4" xfId="31550"/>
    <cellStyle name="Labels - Opmaakprofiel3 2 2 13 2 5" xfId="54168"/>
    <cellStyle name="Labels - Opmaakprofiel3 2 2 13 3" xfId="14544"/>
    <cellStyle name="Labels - Opmaakprofiel3 2 2 13 4" xfId="26596"/>
    <cellStyle name="Labels - Opmaakprofiel3 2 2 13 5" xfId="39911"/>
    <cellStyle name="Labels - Opmaakprofiel3 2 2 13 6" xfId="48160"/>
    <cellStyle name="Labels - Opmaakprofiel3 2 2 14" xfId="5020"/>
    <cellStyle name="Labels - Opmaakprofiel3 2 2 14 2" xfId="9204"/>
    <cellStyle name="Labels - Opmaakprofiel3 2 2 14 2 2" xfId="21502"/>
    <cellStyle name="Labels - Opmaakprofiel3 2 2 14 2 3" xfId="33554"/>
    <cellStyle name="Labels - Opmaakprofiel3 2 2 14 2 4" xfId="42790"/>
    <cellStyle name="Labels - Opmaakprofiel3 2 2 14 2 5" xfId="54169"/>
    <cellStyle name="Labels - Opmaakprofiel3 2 2 14 3" xfId="14545"/>
    <cellStyle name="Labels - Opmaakprofiel3 2 2 14 4" xfId="26597"/>
    <cellStyle name="Labels - Opmaakprofiel3 2 2 14 5" xfId="39910"/>
    <cellStyle name="Labels - Opmaakprofiel3 2 2 14 6" xfId="48161"/>
    <cellStyle name="Labels - Opmaakprofiel3 2 2 15" xfId="5021"/>
    <cellStyle name="Labels - Opmaakprofiel3 2 2 15 2" xfId="9205"/>
    <cellStyle name="Labels - Opmaakprofiel3 2 2 15 2 2" xfId="21503"/>
    <cellStyle name="Labels - Opmaakprofiel3 2 2 15 2 3" xfId="33555"/>
    <cellStyle name="Labels - Opmaakprofiel3 2 2 15 2 4" xfId="31803"/>
    <cellStyle name="Labels - Opmaakprofiel3 2 2 15 2 5" xfId="54170"/>
    <cellStyle name="Labels - Opmaakprofiel3 2 2 15 3" xfId="14546"/>
    <cellStyle name="Labels - Opmaakprofiel3 2 2 15 4" xfId="26598"/>
    <cellStyle name="Labels - Opmaakprofiel3 2 2 15 5" xfId="45640"/>
    <cellStyle name="Labels - Opmaakprofiel3 2 2 15 6" xfId="48162"/>
    <cellStyle name="Labels - Opmaakprofiel3 2 2 16" xfId="5022"/>
    <cellStyle name="Labels - Opmaakprofiel3 2 2 16 2" xfId="14547"/>
    <cellStyle name="Labels - Opmaakprofiel3 2 2 16 3" xfId="26599"/>
    <cellStyle name="Labels - Opmaakprofiel3 2 2 16 4" xfId="39909"/>
    <cellStyle name="Labels - Opmaakprofiel3 2 2 16 5" xfId="48163"/>
    <cellStyle name="Labels - Opmaakprofiel3 2 2 17" xfId="7773"/>
    <cellStyle name="Labels - Opmaakprofiel3 2 2 17 2" xfId="20071"/>
    <cellStyle name="Labels - Opmaakprofiel3 2 2 17 3" xfId="41874"/>
    <cellStyle name="Labels - Opmaakprofiel3 2 2 17 4" xfId="31597"/>
    <cellStyle name="Labels - Opmaakprofiel3 2 2 17 5" xfId="52743"/>
    <cellStyle name="Labels - Opmaakprofiel3 2 2 18" xfId="14534"/>
    <cellStyle name="Labels - Opmaakprofiel3 2 2 2" xfId="339"/>
    <cellStyle name="Labels - Opmaakprofiel3 2 2 2 10" xfId="2410"/>
    <cellStyle name="Labels - Opmaakprofiel3 2 2 2 10 2" xfId="9206"/>
    <cellStyle name="Labels - Opmaakprofiel3 2 2 2 10 2 2" xfId="21504"/>
    <cellStyle name="Labels - Opmaakprofiel3 2 2 2 10 2 3" xfId="33556"/>
    <cellStyle name="Labels - Opmaakprofiel3 2 2 2 10 2 4" xfId="42789"/>
    <cellStyle name="Labels - Opmaakprofiel3 2 2 2 10 2 5" xfId="54171"/>
    <cellStyle name="Labels - Opmaakprofiel3 2 2 2 10 3" xfId="14549"/>
    <cellStyle name="Labels - Opmaakprofiel3 2 2 2 10 4" xfId="26601"/>
    <cellStyle name="Labels - Opmaakprofiel3 2 2 2 10 5" xfId="39908"/>
    <cellStyle name="Labels - Opmaakprofiel3 2 2 2 10 6" xfId="48164"/>
    <cellStyle name="Labels - Opmaakprofiel3 2 2 2 11" xfId="1820"/>
    <cellStyle name="Labels - Opmaakprofiel3 2 2 2 11 2" xfId="9207"/>
    <cellStyle name="Labels - Opmaakprofiel3 2 2 2 11 2 2" xfId="21505"/>
    <cellStyle name="Labels - Opmaakprofiel3 2 2 2 11 2 3" xfId="33557"/>
    <cellStyle name="Labels - Opmaakprofiel3 2 2 2 11 2 4" xfId="27710"/>
    <cellStyle name="Labels - Opmaakprofiel3 2 2 2 11 2 5" xfId="54172"/>
    <cellStyle name="Labels - Opmaakprofiel3 2 2 2 11 3" xfId="14550"/>
    <cellStyle name="Labels - Opmaakprofiel3 2 2 2 11 4" xfId="26602"/>
    <cellStyle name="Labels - Opmaakprofiel3 2 2 2 11 5" xfId="45639"/>
    <cellStyle name="Labels - Opmaakprofiel3 2 2 2 11 6" xfId="48165"/>
    <cellStyle name="Labels - Opmaakprofiel3 2 2 2 12" xfId="1947"/>
    <cellStyle name="Labels - Opmaakprofiel3 2 2 2 12 2" xfId="9208"/>
    <cellStyle name="Labels - Opmaakprofiel3 2 2 2 12 2 2" xfId="21506"/>
    <cellStyle name="Labels - Opmaakprofiel3 2 2 2 12 2 3" xfId="33558"/>
    <cellStyle name="Labels - Opmaakprofiel3 2 2 2 12 2 4" xfId="42788"/>
    <cellStyle name="Labels - Opmaakprofiel3 2 2 2 12 2 5" xfId="54173"/>
    <cellStyle name="Labels - Opmaakprofiel3 2 2 2 12 3" xfId="14551"/>
    <cellStyle name="Labels - Opmaakprofiel3 2 2 2 12 4" xfId="26603"/>
    <cellStyle name="Labels - Opmaakprofiel3 2 2 2 12 5" xfId="39907"/>
    <cellStyle name="Labels - Opmaakprofiel3 2 2 2 12 6" xfId="48166"/>
    <cellStyle name="Labels - Opmaakprofiel3 2 2 2 13" xfId="5023"/>
    <cellStyle name="Labels - Opmaakprofiel3 2 2 2 13 2" xfId="9209"/>
    <cellStyle name="Labels - Opmaakprofiel3 2 2 2 13 2 2" xfId="21507"/>
    <cellStyle name="Labels - Opmaakprofiel3 2 2 2 13 2 3" xfId="33559"/>
    <cellStyle name="Labels - Opmaakprofiel3 2 2 2 13 2 4" xfId="27711"/>
    <cellStyle name="Labels - Opmaakprofiel3 2 2 2 13 2 5" xfId="54174"/>
    <cellStyle name="Labels - Opmaakprofiel3 2 2 2 13 3" xfId="14552"/>
    <cellStyle name="Labels - Opmaakprofiel3 2 2 2 13 4" xfId="26604"/>
    <cellStyle name="Labels - Opmaakprofiel3 2 2 2 13 5" xfId="45638"/>
    <cellStyle name="Labels - Opmaakprofiel3 2 2 2 13 6" xfId="48167"/>
    <cellStyle name="Labels - Opmaakprofiel3 2 2 2 14" xfId="5024"/>
    <cellStyle name="Labels - Opmaakprofiel3 2 2 2 14 2" xfId="9210"/>
    <cellStyle name="Labels - Opmaakprofiel3 2 2 2 14 2 2" xfId="21508"/>
    <cellStyle name="Labels - Opmaakprofiel3 2 2 2 14 2 3" xfId="33560"/>
    <cellStyle name="Labels - Opmaakprofiel3 2 2 2 14 2 4" xfId="31571"/>
    <cellStyle name="Labels - Opmaakprofiel3 2 2 2 14 2 5" xfId="54175"/>
    <cellStyle name="Labels - Opmaakprofiel3 2 2 2 14 3" xfId="14553"/>
    <cellStyle name="Labels - Opmaakprofiel3 2 2 2 14 4" xfId="26605"/>
    <cellStyle name="Labels - Opmaakprofiel3 2 2 2 14 5" xfId="39906"/>
    <cellStyle name="Labels - Opmaakprofiel3 2 2 2 14 6" xfId="48168"/>
    <cellStyle name="Labels - Opmaakprofiel3 2 2 2 15" xfId="5025"/>
    <cellStyle name="Labels - Opmaakprofiel3 2 2 2 15 2" xfId="14554"/>
    <cellStyle name="Labels - Opmaakprofiel3 2 2 2 15 3" xfId="26606"/>
    <cellStyle name="Labels - Opmaakprofiel3 2 2 2 15 4" xfId="45637"/>
    <cellStyle name="Labels - Opmaakprofiel3 2 2 2 15 5" xfId="48169"/>
    <cellStyle name="Labels - Opmaakprofiel3 2 2 2 16" xfId="7759"/>
    <cellStyle name="Labels - Opmaakprofiel3 2 2 2 16 2" xfId="20057"/>
    <cellStyle name="Labels - Opmaakprofiel3 2 2 2 16 3" xfId="41860"/>
    <cellStyle name="Labels - Opmaakprofiel3 2 2 2 16 4" xfId="34376"/>
    <cellStyle name="Labels - Opmaakprofiel3 2 2 2 16 5" xfId="52729"/>
    <cellStyle name="Labels - Opmaakprofiel3 2 2 2 17" xfId="14548"/>
    <cellStyle name="Labels - Opmaakprofiel3 2 2 2 2" xfId="617"/>
    <cellStyle name="Labels - Opmaakprofiel3 2 2 2 2 2" xfId="1970"/>
    <cellStyle name="Labels - Opmaakprofiel3 2 2 2 2 2 2" xfId="9211"/>
    <cellStyle name="Labels - Opmaakprofiel3 2 2 2 2 2 2 2" xfId="21509"/>
    <cellStyle name="Labels - Opmaakprofiel3 2 2 2 2 2 2 3" xfId="33561"/>
    <cellStyle name="Labels - Opmaakprofiel3 2 2 2 2 2 2 4" xfId="34482"/>
    <cellStyle name="Labels - Opmaakprofiel3 2 2 2 2 2 2 5" xfId="54176"/>
    <cellStyle name="Labels - Opmaakprofiel3 2 2 2 2 2 3" xfId="14556"/>
    <cellStyle name="Labels - Opmaakprofiel3 2 2 2 2 2 4" xfId="26608"/>
    <cellStyle name="Labels - Opmaakprofiel3 2 2 2 2 2 5" xfId="39904"/>
    <cellStyle name="Labels - Opmaakprofiel3 2 2 2 2 2 6" xfId="48170"/>
    <cellStyle name="Labels - Opmaakprofiel3 2 2 2 2 3" xfId="2688"/>
    <cellStyle name="Labels - Opmaakprofiel3 2 2 2 2 3 2" xfId="9212"/>
    <cellStyle name="Labels - Opmaakprofiel3 2 2 2 2 3 2 2" xfId="21510"/>
    <cellStyle name="Labels - Opmaakprofiel3 2 2 2 2 3 2 3" xfId="33562"/>
    <cellStyle name="Labels - Opmaakprofiel3 2 2 2 2 3 2 4" xfId="42787"/>
    <cellStyle name="Labels - Opmaakprofiel3 2 2 2 2 3 2 5" xfId="54177"/>
    <cellStyle name="Labels - Opmaakprofiel3 2 2 2 2 3 3" xfId="14557"/>
    <cellStyle name="Labels - Opmaakprofiel3 2 2 2 2 3 4" xfId="26609"/>
    <cellStyle name="Labels - Opmaakprofiel3 2 2 2 2 3 5" xfId="39903"/>
    <cellStyle name="Labels - Opmaakprofiel3 2 2 2 2 3 6" xfId="48171"/>
    <cellStyle name="Labels - Opmaakprofiel3 2 2 2 2 4" xfId="3560"/>
    <cellStyle name="Labels - Opmaakprofiel3 2 2 2 2 4 2" xfId="9213"/>
    <cellStyle name="Labels - Opmaakprofiel3 2 2 2 2 4 2 2" xfId="21511"/>
    <cellStyle name="Labels - Opmaakprofiel3 2 2 2 2 4 2 3" xfId="33563"/>
    <cellStyle name="Labels - Opmaakprofiel3 2 2 2 2 4 2 4" xfId="27716"/>
    <cellStyle name="Labels - Opmaakprofiel3 2 2 2 2 4 2 5" xfId="54178"/>
    <cellStyle name="Labels - Opmaakprofiel3 2 2 2 2 4 3" xfId="14558"/>
    <cellStyle name="Labels - Opmaakprofiel3 2 2 2 2 4 4" xfId="26610"/>
    <cellStyle name="Labels - Opmaakprofiel3 2 2 2 2 4 5" xfId="45636"/>
    <cellStyle name="Labels - Opmaakprofiel3 2 2 2 2 4 6" xfId="48172"/>
    <cellStyle name="Labels - Opmaakprofiel3 2 2 2 2 5" xfId="5026"/>
    <cellStyle name="Labels - Opmaakprofiel3 2 2 2 2 5 2" xfId="9214"/>
    <cellStyle name="Labels - Opmaakprofiel3 2 2 2 2 5 2 2" xfId="21512"/>
    <cellStyle name="Labels - Opmaakprofiel3 2 2 2 2 5 2 3" xfId="33564"/>
    <cellStyle name="Labels - Opmaakprofiel3 2 2 2 2 5 2 4" xfId="42786"/>
    <cellStyle name="Labels - Opmaakprofiel3 2 2 2 2 5 2 5" xfId="54179"/>
    <cellStyle name="Labels - Opmaakprofiel3 2 2 2 2 5 3" xfId="14559"/>
    <cellStyle name="Labels - Opmaakprofiel3 2 2 2 2 5 4" xfId="26611"/>
    <cellStyle name="Labels - Opmaakprofiel3 2 2 2 2 5 5" xfId="39902"/>
    <cellStyle name="Labels - Opmaakprofiel3 2 2 2 2 5 6" xfId="48173"/>
    <cellStyle name="Labels - Opmaakprofiel3 2 2 2 2 6" xfId="5027"/>
    <cellStyle name="Labels - Opmaakprofiel3 2 2 2 2 6 2" xfId="9215"/>
    <cellStyle name="Labels - Opmaakprofiel3 2 2 2 2 6 2 2" xfId="21513"/>
    <cellStyle name="Labels - Opmaakprofiel3 2 2 2 2 6 2 3" xfId="33565"/>
    <cellStyle name="Labels - Opmaakprofiel3 2 2 2 2 6 2 4" xfId="27717"/>
    <cellStyle name="Labels - Opmaakprofiel3 2 2 2 2 6 2 5" xfId="54180"/>
    <cellStyle name="Labels - Opmaakprofiel3 2 2 2 2 6 3" xfId="14560"/>
    <cellStyle name="Labels - Opmaakprofiel3 2 2 2 2 6 4" xfId="26612"/>
    <cellStyle name="Labels - Opmaakprofiel3 2 2 2 2 6 5" xfId="45635"/>
    <cellStyle name="Labels - Opmaakprofiel3 2 2 2 2 6 6" xfId="48174"/>
    <cellStyle name="Labels - Opmaakprofiel3 2 2 2 2 7" xfId="5028"/>
    <cellStyle name="Labels - Opmaakprofiel3 2 2 2 2 7 2" xfId="14561"/>
    <cellStyle name="Labels - Opmaakprofiel3 2 2 2 2 7 3" xfId="26613"/>
    <cellStyle name="Labels - Opmaakprofiel3 2 2 2 2 7 4" xfId="39901"/>
    <cellStyle name="Labels - Opmaakprofiel3 2 2 2 2 7 5" xfId="48175"/>
    <cellStyle name="Labels - Opmaakprofiel3 2 2 2 2 8" xfId="7570"/>
    <cellStyle name="Labels - Opmaakprofiel3 2 2 2 2 8 2" xfId="19868"/>
    <cellStyle name="Labels - Opmaakprofiel3 2 2 2 2 8 3" xfId="41671"/>
    <cellStyle name="Labels - Opmaakprofiel3 2 2 2 2 8 4" xfId="24828"/>
    <cellStyle name="Labels - Opmaakprofiel3 2 2 2 2 8 5" xfId="52540"/>
    <cellStyle name="Labels - Opmaakprofiel3 2 2 2 2 9" xfId="14555"/>
    <cellStyle name="Labels - Opmaakprofiel3 2 2 2 3" xfId="446"/>
    <cellStyle name="Labels - Opmaakprofiel3 2 2 2 3 2" xfId="1601"/>
    <cellStyle name="Labels - Opmaakprofiel3 2 2 2 3 2 2" xfId="9216"/>
    <cellStyle name="Labels - Opmaakprofiel3 2 2 2 3 2 2 2" xfId="21514"/>
    <cellStyle name="Labels - Opmaakprofiel3 2 2 2 3 2 2 3" xfId="33566"/>
    <cellStyle name="Labels - Opmaakprofiel3 2 2 2 3 2 2 4" xfId="42785"/>
    <cellStyle name="Labels - Opmaakprofiel3 2 2 2 3 2 2 5" xfId="54181"/>
    <cellStyle name="Labels - Opmaakprofiel3 2 2 2 3 2 3" xfId="14563"/>
    <cellStyle name="Labels - Opmaakprofiel3 2 2 2 3 2 4" xfId="26615"/>
    <cellStyle name="Labels - Opmaakprofiel3 2 2 2 3 2 5" xfId="39900"/>
    <cellStyle name="Labels - Opmaakprofiel3 2 2 2 3 2 6" xfId="48176"/>
    <cellStyle name="Labels - Opmaakprofiel3 2 2 2 3 3" xfId="2517"/>
    <cellStyle name="Labels - Opmaakprofiel3 2 2 2 3 3 2" xfId="9217"/>
    <cellStyle name="Labels - Opmaakprofiel3 2 2 2 3 3 2 2" xfId="21515"/>
    <cellStyle name="Labels - Opmaakprofiel3 2 2 2 3 3 2 3" xfId="33567"/>
    <cellStyle name="Labels - Opmaakprofiel3 2 2 2 3 3 2 4" xfId="31572"/>
    <cellStyle name="Labels - Opmaakprofiel3 2 2 2 3 3 2 5" xfId="54182"/>
    <cellStyle name="Labels - Opmaakprofiel3 2 2 2 3 3 3" xfId="14564"/>
    <cellStyle name="Labels - Opmaakprofiel3 2 2 2 3 3 4" xfId="26616"/>
    <cellStyle name="Labels - Opmaakprofiel3 2 2 2 3 3 5" xfId="45633"/>
    <cellStyle name="Labels - Opmaakprofiel3 2 2 2 3 3 6" xfId="48177"/>
    <cellStyle name="Labels - Opmaakprofiel3 2 2 2 3 4" xfId="3405"/>
    <cellStyle name="Labels - Opmaakprofiel3 2 2 2 3 4 2" xfId="9218"/>
    <cellStyle name="Labels - Opmaakprofiel3 2 2 2 3 4 2 2" xfId="21516"/>
    <cellStyle name="Labels - Opmaakprofiel3 2 2 2 3 4 2 3" xfId="33568"/>
    <cellStyle name="Labels - Opmaakprofiel3 2 2 2 3 4 2 4" xfId="42784"/>
    <cellStyle name="Labels - Opmaakprofiel3 2 2 2 3 4 2 5" xfId="54183"/>
    <cellStyle name="Labels - Opmaakprofiel3 2 2 2 3 4 3" xfId="14565"/>
    <cellStyle name="Labels - Opmaakprofiel3 2 2 2 3 4 4" xfId="26617"/>
    <cellStyle name="Labels - Opmaakprofiel3 2 2 2 3 4 5" xfId="39899"/>
    <cellStyle name="Labels - Opmaakprofiel3 2 2 2 3 4 6" xfId="48178"/>
    <cellStyle name="Labels - Opmaakprofiel3 2 2 2 3 5" xfId="5029"/>
    <cellStyle name="Labels - Opmaakprofiel3 2 2 2 3 5 2" xfId="9219"/>
    <cellStyle name="Labels - Opmaakprofiel3 2 2 2 3 5 2 2" xfId="21517"/>
    <cellStyle name="Labels - Opmaakprofiel3 2 2 2 3 5 2 3" xfId="33569"/>
    <cellStyle name="Labels - Opmaakprofiel3 2 2 2 3 5 2 4" xfId="31786"/>
    <cellStyle name="Labels - Opmaakprofiel3 2 2 2 3 5 2 5" xfId="54184"/>
    <cellStyle name="Labels - Opmaakprofiel3 2 2 2 3 5 3" xfId="14566"/>
    <cellStyle name="Labels - Opmaakprofiel3 2 2 2 3 5 4" xfId="26618"/>
    <cellStyle name="Labels - Opmaakprofiel3 2 2 2 3 5 5" xfId="45632"/>
    <cellStyle name="Labels - Opmaakprofiel3 2 2 2 3 5 6" xfId="48179"/>
    <cellStyle name="Labels - Opmaakprofiel3 2 2 2 3 6" xfId="5030"/>
    <cellStyle name="Labels - Opmaakprofiel3 2 2 2 3 6 2" xfId="9220"/>
    <cellStyle name="Labels - Opmaakprofiel3 2 2 2 3 6 2 2" xfId="21518"/>
    <cellStyle name="Labels - Opmaakprofiel3 2 2 2 3 6 2 3" xfId="33570"/>
    <cellStyle name="Labels - Opmaakprofiel3 2 2 2 3 6 2 4" xfId="42783"/>
    <cellStyle name="Labels - Opmaakprofiel3 2 2 2 3 6 2 5" xfId="54185"/>
    <cellStyle name="Labels - Opmaakprofiel3 2 2 2 3 6 3" xfId="14567"/>
    <cellStyle name="Labels - Opmaakprofiel3 2 2 2 3 6 4" xfId="26619"/>
    <cellStyle name="Labels - Opmaakprofiel3 2 2 2 3 6 5" xfId="39898"/>
    <cellStyle name="Labels - Opmaakprofiel3 2 2 2 3 6 6" xfId="48180"/>
    <cellStyle name="Labels - Opmaakprofiel3 2 2 2 3 7" xfId="5031"/>
    <cellStyle name="Labels - Opmaakprofiel3 2 2 2 3 7 2" xfId="14568"/>
    <cellStyle name="Labels - Opmaakprofiel3 2 2 2 3 7 3" xfId="26620"/>
    <cellStyle name="Labels - Opmaakprofiel3 2 2 2 3 7 4" xfId="39897"/>
    <cellStyle name="Labels - Opmaakprofiel3 2 2 2 3 7 5" xfId="48181"/>
    <cellStyle name="Labels - Opmaakprofiel3 2 2 2 3 8" xfId="7686"/>
    <cellStyle name="Labels - Opmaakprofiel3 2 2 2 3 8 2" xfId="19984"/>
    <cellStyle name="Labels - Opmaakprofiel3 2 2 2 3 8 3" xfId="41787"/>
    <cellStyle name="Labels - Opmaakprofiel3 2 2 2 3 8 4" xfId="43405"/>
    <cellStyle name="Labels - Opmaakprofiel3 2 2 2 3 8 5" xfId="52656"/>
    <cellStyle name="Labels - Opmaakprofiel3 2 2 2 3 9" xfId="14562"/>
    <cellStyle name="Labels - Opmaakprofiel3 2 2 2 4" xfId="672"/>
    <cellStyle name="Labels - Opmaakprofiel3 2 2 2 4 2" xfId="2444"/>
    <cellStyle name="Labels - Opmaakprofiel3 2 2 2 4 2 2" xfId="9221"/>
    <cellStyle name="Labels - Opmaakprofiel3 2 2 2 4 2 2 2" xfId="21519"/>
    <cellStyle name="Labels - Opmaakprofiel3 2 2 2 4 2 2 3" xfId="33571"/>
    <cellStyle name="Labels - Opmaakprofiel3 2 2 2 4 2 2 4" xfId="27722"/>
    <cellStyle name="Labels - Opmaakprofiel3 2 2 2 4 2 2 5" xfId="54186"/>
    <cellStyle name="Labels - Opmaakprofiel3 2 2 2 4 2 3" xfId="14570"/>
    <cellStyle name="Labels - Opmaakprofiel3 2 2 2 4 2 4" xfId="26622"/>
    <cellStyle name="Labels - Opmaakprofiel3 2 2 2 4 2 5" xfId="45631"/>
    <cellStyle name="Labels - Opmaakprofiel3 2 2 2 4 2 6" xfId="48182"/>
    <cellStyle name="Labels - Opmaakprofiel3 2 2 2 4 3" xfId="2738"/>
    <cellStyle name="Labels - Opmaakprofiel3 2 2 2 4 3 2" xfId="9222"/>
    <cellStyle name="Labels - Opmaakprofiel3 2 2 2 4 3 2 2" xfId="21520"/>
    <cellStyle name="Labels - Opmaakprofiel3 2 2 2 4 3 2 3" xfId="33572"/>
    <cellStyle name="Labels - Opmaakprofiel3 2 2 2 4 3 2 4" xfId="27723"/>
    <cellStyle name="Labels - Opmaakprofiel3 2 2 2 4 3 2 5" xfId="54187"/>
    <cellStyle name="Labels - Opmaakprofiel3 2 2 2 4 3 3" xfId="14571"/>
    <cellStyle name="Labels - Opmaakprofiel3 2 2 2 4 3 4" xfId="26623"/>
    <cellStyle name="Labels - Opmaakprofiel3 2 2 2 4 3 5" xfId="39895"/>
    <cellStyle name="Labels - Opmaakprofiel3 2 2 2 4 3 6" xfId="48183"/>
    <cellStyle name="Labels - Opmaakprofiel3 2 2 2 4 4" xfId="3605"/>
    <cellStyle name="Labels - Opmaakprofiel3 2 2 2 4 4 2" xfId="9223"/>
    <cellStyle name="Labels - Opmaakprofiel3 2 2 2 4 4 2 2" xfId="21521"/>
    <cellStyle name="Labels - Opmaakprofiel3 2 2 2 4 4 2 3" xfId="33573"/>
    <cellStyle name="Labels - Opmaakprofiel3 2 2 2 4 4 2 4" xfId="31436"/>
    <cellStyle name="Labels - Opmaakprofiel3 2 2 2 4 4 2 5" xfId="54188"/>
    <cellStyle name="Labels - Opmaakprofiel3 2 2 2 4 4 3" xfId="14572"/>
    <cellStyle name="Labels - Opmaakprofiel3 2 2 2 4 4 4" xfId="26624"/>
    <cellStyle name="Labels - Opmaakprofiel3 2 2 2 4 4 5" xfId="45630"/>
    <cellStyle name="Labels - Opmaakprofiel3 2 2 2 4 4 6" xfId="48184"/>
    <cellStyle name="Labels - Opmaakprofiel3 2 2 2 4 5" xfId="5032"/>
    <cellStyle name="Labels - Opmaakprofiel3 2 2 2 4 5 2" xfId="9224"/>
    <cellStyle name="Labels - Opmaakprofiel3 2 2 2 4 5 2 2" xfId="21522"/>
    <cellStyle name="Labels - Opmaakprofiel3 2 2 2 4 5 2 3" xfId="33574"/>
    <cellStyle name="Labels - Opmaakprofiel3 2 2 2 4 5 2 4" xfId="42782"/>
    <cellStyle name="Labels - Opmaakprofiel3 2 2 2 4 5 2 5" xfId="54189"/>
    <cellStyle name="Labels - Opmaakprofiel3 2 2 2 4 5 3" xfId="14573"/>
    <cellStyle name="Labels - Opmaakprofiel3 2 2 2 4 5 4" xfId="26625"/>
    <cellStyle name="Labels - Opmaakprofiel3 2 2 2 4 5 5" xfId="39894"/>
    <cellStyle name="Labels - Opmaakprofiel3 2 2 2 4 5 6" xfId="48185"/>
    <cellStyle name="Labels - Opmaakprofiel3 2 2 2 4 6" xfId="5033"/>
    <cellStyle name="Labels - Opmaakprofiel3 2 2 2 4 6 2" xfId="9225"/>
    <cellStyle name="Labels - Opmaakprofiel3 2 2 2 4 6 2 2" xfId="21523"/>
    <cellStyle name="Labels - Opmaakprofiel3 2 2 2 4 6 2 3" xfId="33575"/>
    <cellStyle name="Labels - Opmaakprofiel3 2 2 2 4 6 2 4" xfId="31782"/>
    <cellStyle name="Labels - Opmaakprofiel3 2 2 2 4 6 2 5" xfId="54190"/>
    <cellStyle name="Labels - Opmaakprofiel3 2 2 2 4 6 3" xfId="14574"/>
    <cellStyle name="Labels - Opmaakprofiel3 2 2 2 4 6 4" xfId="26626"/>
    <cellStyle name="Labels - Opmaakprofiel3 2 2 2 4 6 5" xfId="45629"/>
    <cellStyle name="Labels - Opmaakprofiel3 2 2 2 4 6 6" xfId="48186"/>
    <cellStyle name="Labels - Opmaakprofiel3 2 2 2 4 7" xfId="5034"/>
    <cellStyle name="Labels - Opmaakprofiel3 2 2 2 4 7 2" xfId="14575"/>
    <cellStyle name="Labels - Opmaakprofiel3 2 2 2 4 7 3" xfId="26627"/>
    <cellStyle name="Labels - Opmaakprofiel3 2 2 2 4 7 4" xfId="39893"/>
    <cellStyle name="Labels - Opmaakprofiel3 2 2 2 4 7 5" xfId="48187"/>
    <cellStyle name="Labels - Opmaakprofiel3 2 2 2 4 8" xfId="7534"/>
    <cellStyle name="Labels - Opmaakprofiel3 2 2 2 4 8 2" xfId="19832"/>
    <cellStyle name="Labels - Opmaakprofiel3 2 2 2 4 8 3" xfId="41635"/>
    <cellStyle name="Labels - Opmaakprofiel3 2 2 2 4 8 4" xfId="31975"/>
    <cellStyle name="Labels - Opmaakprofiel3 2 2 2 4 8 5" xfId="52504"/>
    <cellStyle name="Labels - Opmaakprofiel3 2 2 2 4 9" xfId="14569"/>
    <cellStyle name="Labels - Opmaakprofiel3 2 2 2 5" xfId="561"/>
    <cellStyle name="Labels - Opmaakprofiel3 2 2 2 5 2" xfId="2372"/>
    <cellStyle name="Labels - Opmaakprofiel3 2 2 2 5 2 2" xfId="9226"/>
    <cellStyle name="Labels - Opmaakprofiel3 2 2 2 5 2 2 2" xfId="21524"/>
    <cellStyle name="Labels - Opmaakprofiel3 2 2 2 5 2 2 3" xfId="33576"/>
    <cellStyle name="Labels - Opmaakprofiel3 2 2 2 5 2 2 4" xfId="42781"/>
    <cellStyle name="Labels - Opmaakprofiel3 2 2 2 5 2 2 5" xfId="54191"/>
    <cellStyle name="Labels - Opmaakprofiel3 2 2 2 5 2 3" xfId="14577"/>
    <cellStyle name="Labels - Opmaakprofiel3 2 2 2 5 2 4" xfId="26629"/>
    <cellStyle name="Labels - Opmaakprofiel3 2 2 2 5 2 5" xfId="39892"/>
    <cellStyle name="Labels - Opmaakprofiel3 2 2 2 5 2 6" xfId="48188"/>
    <cellStyle name="Labels - Opmaakprofiel3 2 2 2 5 3" xfId="2632"/>
    <cellStyle name="Labels - Opmaakprofiel3 2 2 2 5 3 2" xfId="9227"/>
    <cellStyle name="Labels - Opmaakprofiel3 2 2 2 5 3 2 2" xfId="21525"/>
    <cellStyle name="Labels - Opmaakprofiel3 2 2 2 5 3 2 3" xfId="33577"/>
    <cellStyle name="Labels - Opmaakprofiel3 2 2 2 5 3 2 4" xfId="27728"/>
    <cellStyle name="Labels - Opmaakprofiel3 2 2 2 5 3 2 5" xfId="54192"/>
    <cellStyle name="Labels - Opmaakprofiel3 2 2 2 5 3 3" xfId="14578"/>
    <cellStyle name="Labels - Opmaakprofiel3 2 2 2 5 3 4" xfId="26630"/>
    <cellStyle name="Labels - Opmaakprofiel3 2 2 2 5 3 5" xfId="45627"/>
    <cellStyle name="Labels - Opmaakprofiel3 2 2 2 5 3 6" xfId="48189"/>
    <cellStyle name="Labels - Opmaakprofiel3 2 2 2 5 4" xfId="3510"/>
    <cellStyle name="Labels - Opmaakprofiel3 2 2 2 5 4 2" xfId="9228"/>
    <cellStyle name="Labels - Opmaakprofiel3 2 2 2 5 4 2 2" xfId="21526"/>
    <cellStyle name="Labels - Opmaakprofiel3 2 2 2 5 4 2 3" xfId="33578"/>
    <cellStyle name="Labels - Opmaakprofiel3 2 2 2 5 4 2 4" xfId="42780"/>
    <cellStyle name="Labels - Opmaakprofiel3 2 2 2 5 4 2 5" xfId="54193"/>
    <cellStyle name="Labels - Opmaakprofiel3 2 2 2 5 4 3" xfId="14579"/>
    <cellStyle name="Labels - Opmaakprofiel3 2 2 2 5 4 4" xfId="26631"/>
    <cellStyle name="Labels - Opmaakprofiel3 2 2 2 5 4 5" xfId="39891"/>
    <cellStyle name="Labels - Opmaakprofiel3 2 2 2 5 4 6" xfId="48190"/>
    <cellStyle name="Labels - Opmaakprofiel3 2 2 2 5 5" xfId="5035"/>
    <cellStyle name="Labels - Opmaakprofiel3 2 2 2 5 5 2" xfId="9229"/>
    <cellStyle name="Labels - Opmaakprofiel3 2 2 2 5 5 2 2" xfId="21527"/>
    <cellStyle name="Labels - Opmaakprofiel3 2 2 2 5 5 2 3" xfId="33579"/>
    <cellStyle name="Labels - Opmaakprofiel3 2 2 2 5 5 2 4" xfId="27729"/>
    <cellStyle name="Labels - Opmaakprofiel3 2 2 2 5 5 2 5" xfId="54194"/>
    <cellStyle name="Labels - Opmaakprofiel3 2 2 2 5 5 3" xfId="14580"/>
    <cellStyle name="Labels - Opmaakprofiel3 2 2 2 5 5 4" xfId="26632"/>
    <cellStyle name="Labels - Opmaakprofiel3 2 2 2 5 5 5" xfId="39890"/>
    <cellStyle name="Labels - Opmaakprofiel3 2 2 2 5 5 6" xfId="48191"/>
    <cellStyle name="Labels - Opmaakprofiel3 2 2 2 5 6" xfId="5036"/>
    <cellStyle name="Labels - Opmaakprofiel3 2 2 2 5 6 2" xfId="9230"/>
    <cellStyle name="Labels - Opmaakprofiel3 2 2 2 5 6 2 2" xfId="21528"/>
    <cellStyle name="Labels - Opmaakprofiel3 2 2 2 5 6 2 3" xfId="33580"/>
    <cellStyle name="Labels - Opmaakprofiel3 2 2 2 5 6 2 4" xfId="42779"/>
    <cellStyle name="Labels - Opmaakprofiel3 2 2 2 5 6 2 5" xfId="54195"/>
    <cellStyle name="Labels - Opmaakprofiel3 2 2 2 5 6 3" xfId="14581"/>
    <cellStyle name="Labels - Opmaakprofiel3 2 2 2 5 6 4" xfId="26633"/>
    <cellStyle name="Labels - Opmaakprofiel3 2 2 2 5 6 5" xfId="39889"/>
    <cellStyle name="Labels - Opmaakprofiel3 2 2 2 5 6 6" xfId="48192"/>
    <cellStyle name="Labels - Opmaakprofiel3 2 2 2 5 7" xfId="5037"/>
    <cellStyle name="Labels - Opmaakprofiel3 2 2 2 5 7 2" xfId="14582"/>
    <cellStyle name="Labels - Opmaakprofiel3 2 2 2 5 7 3" xfId="26634"/>
    <cellStyle name="Labels - Opmaakprofiel3 2 2 2 5 7 4" xfId="45626"/>
    <cellStyle name="Labels - Opmaakprofiel3 2 2 2 5 7 5" xfId="48193"/>
    <cellStyle name="Labels - Opmaakprofiel3 2 2 2 5 8" xfId="7608"/>
    <cellStyle name="Labels - Opmaakprofiel3 2 2 2 5 8 2" xfId="19906"/>
    <cellStyle name="Labels - Opmaakprofiel3 2 2 2 5 8 3" xfId="41709"/>
    <cellStyle name="Labels - Opmaakprofiel3 2 2 2 5 8 4" xfId="43438"/>
    <cellStyle name="Labels - Opmaakprofiel3 2 2 2 5 8 5" xfId="52578"/>
    <cellStyle name="Labels - Opmaakprofiel3 2 2 2 5 9" xfId="14576"/>
    <cellStyle name="Labels - Opmaakprofiel3 2 2 2 6" xfId="458"/>
    <cellStyle name="Labels - Opmaakprofiel3 2 2 2 6 2" xfId="2199"/>
    <cellStyle name="Labels - Opmaakprofiel3 2 2 2 6 2 2" xfId="9231"/>
    <cellStyle name="Labels - Opmaakprofiel3 2 2 2 6 2 2 2" xfId="21529"/>
    <cellStyle name="Labels - Opmaakprofiel3 2 2 2 6 2 2 3" xfId="33581"/>
    <cellStyle name="Labels - Opmaakprofiel3 2 2 2 6 2 2 4" xfId="27730"/>
    <cellStyle name="Labels - Opmaakprofiel3 2 2 2 6 2 2 5" xfId="54196"/>
    <cellStyle name="Labels - Opmaakprofiel3 2 2 2 6 2 3" xfId="14584"/>
    <cellStyle name="Labels - Opmaakprofiel3 2 2 2 6 2 4" xfId="26636"/>
    <cellStyle name="Labels - Opmaakprofiel3 2 2 2 6 2 5" xfId="45625"/>
    <cellStyle name="Labels - Opmaakprofiel3 2 2 2 6 2 6" xfId="48194"/>
    <cellStyle name="Labels - Opmaakprofiel3 2 2 2 6 3" xfId="2529"/>
    <cellStyle name="Labels - Opmaakprofiel3 2 2 2 6 3 2" xfId="9232"/>
    <cellStyle name="Labels - Opmaakprofiel3 2 2 2 6 3 2 2" xfId="21530"/>
    <cellStyle name="Labels - Opmaakprofiel3 2 2 2 6 3 2 3" xfId="33582"/>
    <cellStyle name="Labels - Opmaakprofiel3 2 2 2 6 3 2 4" xfId="42778"/>
    <cellStyle name="Labels - Opmaakprofiel3 2 2 2 6 3 2 5" xfId="54197"/>
    <cellStyle name="Labels - Opmaakprofiel3 2 2 2 6 3 3" xfId="14585"/>
    <cellStyle name="Labels - Opmaakprofiel3 2 2 2 6 3 4" xfId="26637"/>
    <cellStyle name="Labels - Opmaakprofiel3 2 2 2 6 3 5" xfId="39887"/>
    <cellStyle name="Labels - Opmaakprofiel3 2 2 2 6 3 6" xfId="48195"/>
    <cellStyle name="Labels - Opmaakprofiel3 2 2 2 6 4" xfId="3417"/>
    <cellStyle name="Labels - Opmaakprofiel3 2 2 2 6 4 2" xfId="9233"/>
    <cellStyle name="Labels - Opmaakprofiel3 2 2 2 6 4 2 2" xfId="21531"/>
    <cellStyle name="Labels - Opmaakprofiel3 2 2 2 6 4 2 3" xfId="33583"/>
    <cellStyle name="Labels - Opmaakprofiel3 2 2 2 6 4 2 4" xfId="27731"/>
    <cellStyle name="Labels - Opmaakprofiel3 2 2 2 6 4 2 5" xfId="54198"/>
    <cellStyle name="Labels - Opmaakprofiel3 2 2 2 6 4 3" xfId="14586"/>
    <cellStyle name="Labels - Opmaakprofiel3 2 2 2 6 4 4" xfId="26638"/>
    <cellStyle name="Labels - Opmaakprofiel3 2 2 2 6 4 5" xfId="39886"/>
    <cellStyle name="Labels - Opmaakprofiel3 2 2 2 6 4 6" xfId="48196"/>
    <cellStyle name="Labels - Opmaakprofiel3 2 2 2 6 5" xfId="5038"/>
    <cellStyle name="Labels - Opmaakprofiel3 2 2 2 6 5 2" xfId="9234"/>
    <cellStyle name="Labels - Opmaakprofiel3 2 2 2 6 5 2 2" xfId="21532"/>
    <cellStyle name="Labels - Opmaakprofiel3 2 2 2 6 5 2 3" xfId="33584"/>
    <cellStyle name="Labels - Opmaakprofiel3 2 2 2 6 5 2 4" xfId="31577"/>
    <cellStyle name="Labels - Opmaakprofiel3 2 2 2 6 5 2 5" xfId="54199"/>
    <cellStyle name="Labels - Opmaakprofiel3 2 2 2 6 5 3" xfId="14587"/>
    <cellStyle name="Labels - Opmaakprofiel3 2 2 2 6 5 4" xfId="26639"/>
    <cellStyle name="Labels - Opmaakprofiel3 2 2 2 6 5 5" xfId="45624"/>
    <cellStyle name="Labels - Opmaakprofiel3 2 2 2 6 5 6" xfId="48197"/>
    <cellStyle name="Labels - Opmaakprofiel3 2 2 2 6 6" xfId="5039"/>
    <cellStyle name="Labels - Opmaakprofiel3 2 2 2 6 6 2" xfId="9235"/>
    <cellStyle name="Labels - Opmaakprofiel3 2 2 2 6 6 2 2" xfId="21533"/>
    <cellStyle name="Labels - Opmaakprofiel3 2 2 2 6 6 2 3" xfId="33585"/>
    <cellStyle name="Labels - Opmaakprofiel3 2 2 2 6 6 2 4" xfId="27734"/>
    <cellStyle name="Labels - Opmaakprofiel3 2 2 2 6 6 2 5" xfId="54200"/>
    <cellStyle name="Labels - Opmaakprofiel3 2 2 2 6 6 3" xfId="14588"/>
    <cellStyle name="Labels - Opmaakprofiel3 2 2 2 6 6 4" xfId="26640"/>
    <cellStyle name="Labels - Opmaakprofiel3 2 2 2 6 6 5" xfId="39885"/>
    <cellStyle name="Labels - Opmaakprofiel3 2 2 2 6 6 6" xfId="48198"/>
    <cellStyle name="Labels - Opmaakprofiel3 2 2 2 6 7" xfId="5040"/>
    <cellStyle name="Labels - Opmaakprofiel3 2 2 2 6 7 2" xfId="14589"/>
    <cellStyle name="Labels - Opmaakprofiel3 2 2 2 6 7 3" xfId="26641"/>
    <cellStyle name="Labels - Opmaakprofiel3 2 2 2 6 7 4" xfId="45623"/>
    <cellStyle name="Labels - Opmaakprofiel3 2 2 2 6 7 5" xfId="48199"/>
    <cellStyle name="Labels - Opmaakprofiel3 2 2 2 6 8" xfId="7677"/>
    <cellStyle name="Labels - Opmaakprofiel3 2 2 2 6 8 2" xfId="19975"/>
    <cellStyle name="Labels - Opmaakprofiel3 2 2 2 6 8 3" xfId="41778"/>
    <cellStyle name="Labels - Opmaakprofiel3 2 2 2 6 8 4" xfId="25048"/>
    <cellStyle name="Labels - Opmaakprofiel3 2 2 2 6 8 5" xfId="52647"/>
    <cellStyle name="Labels - Opmaakprofiel3 2 2 2 6 9" xfId="14583"/>
    <cellStyle name="Labels - Opmaakprofiel3 2 2 2 7" xfId="597"/>
    <cellStyle name="Labels - Opmaakprofiel3 2 2 2 7 2" xfId="1835"/>
    <cellStyle name="Labels - Opmaakprofiel3 2 2 2 7 2 2" xfId="9236"/>
    <cellStyle name="Labels - Opmaakprofiel3 2 2 2 7 2 2 2" xfId="21534"/>
    <cellStyle name="Labels - Opmaakprofiel3 2 2 2 7 2 2 3" xfId="33586"/>
    <cellStyle name="Labels - Opmaakprofiel3 2 2 2 7 2 2 4" xfId="42777"/>
    <cellStyle name="Labels - Opmaakprofiel3 2 2 2 7 2 2 5" xfId="54201"/>
    <cellStyle name="Labels - Opmaakprofiel3 2 2 2 7 2 3" xfId="14591"/>
    <cellStyle name="Labels - Opmaakprofiel3 2 2 2 7 2 4" xfId="26643"/>
    <cellStyle name="Labels - Opmaakprofiel3 2 2 2 7 2 5" xfId="45622"/>
    <cellStyle name="Labels - Opmaakprofiel3 2 2 2 7 2 6" xfId="48200"/>
    <cellStyle name="Labels - Opmaakprofiel3 2 2 2 7 3" xfId="2668"/>
    <cellStyle name="Labels - Opmaakprofiel3 2 2 2 7 3 2" xfId="9237"/>
    <cellStyle name="Labels - Opmaakprofiel3 2 2 2 7 3 2 2" xfId="21535"/>
    <cellStyle name="Labels - Opmaakprofiel3 2 2 2 7 3 2 3" xfId="33587"/>
    <cellStyle name="Labels - Opmaakprofiel3 2 2 2 7 3 2 4" xfId="31390"/>
    <cellStyle name="Labels - Opmaakprofiel3 2 2 2 7 3 2 5" xfId="54202"/>
    <cellStyle name="Labels - Opmaakprofiel3 2 2 2 7 3 3" xfId="14592"/>
    <cellStyle name="Labels - Opmaakprofiel3 2 2 2 7 3 4" xfId="26644"/>
    <cellStyle name="Labels - Opmaakprofiel3 2 2 2 7 3 5" xfId="39883"/>
    <cellStyle name="Labels - Opmaakprofiel3 2 2 2 7 3 6" xfId="48201"/>
    <cellStyle name="Labels - Opmaakprofiel3 2 2 2 7 4" xfId="3541"/>
    <cellStyle name="Labels - Opmaakprofiel3 2 2 2 7 4 2" xfId="9238"/>
    <cellStyle name="Labels - Opmaakprofiel3 2 2 2 7 4 2 2" xfId="21536"/>
    <cellStyle name="Labels - Opmaakprofiel3 2 2 2 7 4 2 3" xfId="33588"/>
    <cellStyle name="Labels - Opmaakprofiel3 2 2 2 7 4 2 4" xfId="42776"/>
    <cellStyle name="Labels - Opmaakprofiel3 2 2 2 7 4 2 5" xfId="54203"/>
    <cellStyle name="Labels - Opmaakprofiel3 2 2 2 7 4 3" xfId="14593"/>
    <cellStyle name="Labels - Opmaakprofiel3 2 2 2 7 4 4" xfId="26645"/>
    <cellStyle name="Labels - Opmaakprofiel3 2 2 2 7 4 5" xfId="39882"/>
    <cellStyle name="Labels - Opmaakprofiel3 2 2 2 7 4 6" xfId="48202"/>
    <cellStyle name="Labels - Opmaakprofiel3 2 2 2 7 5" xfId="5041"/>
    <cellStyle name="Labels - Opmaakprofiel3 2 2 2 7 5 2" xfId="9239"/>
    <cellStyle name="Labels - Opmaakprofiel3 2 2 2 7 5 2 2" xfId="21537"/>
    <cellStyle name="Labels - Opmaakprofiel3 2 2 2 7 5 2 3" xfId="33589"/>
    <cellStyle name="Labels - Opmaakprofiel3 2 2 2 7 5 2 4" xfId="32065"/>
    <cellStyle name="Labels - Opmaakprofiel3 2 2 2 7 5 2 5" xfId="54204"/>
    <cellStyle name="Labels - Opmaakprofiel3 2 2 2 7 5 3" xfId="14594"/>
    <cellStyle name="Labels - Opmaakprofiel3 2 2 2 7 5 4" xfId="26646"/>
    <cellStyle name="Labels - Opmaakprofiel3 2 2 2 7 5 5" xfId="45621"/>
    <cellStyle name="Labels - Opmaakprofiel3 2 2 2 7 5 6" xfId="48203"/>
    <cellStyle name="Labels - Opmaakprofiel3 2 2 2 7 6" xfId="5042"/>
    <cellStyle name="Labels - Opmaakprofiel3 2 2 2 7 6 2" xfId="9240"/>
    <cellStyle name="Labels - Opmaakprofiel3 2 2 2 7 6 2 2" xfId="21538"/>
    <cellStyle name="Labels - Opmaakprofiel3 2 2 2 7 6 2 3" xfId="33590"/>
    <cellStyle name="Labels - Opmaakprofiel3 2 2 2 7 6 2 4" xfId="42775"/>
    <cellStyle name="Labels - Opmaakprofiel3 2 2 2 7 6 2 5" xfId="54205"/>
    <cellStyle name="Labels - Opmaakprofiel3 2 2 2 7 6 3" xfId="14595"/>
    <cellStyle name="Labels - Opmaakprofiel3 2 2 2 7 6 4" xfId="26647"/>
    <cellStyle name="Labels - Opmaakprofiel3 2 2 2 7 6 5" xfId="39881"/>
    <cellStyle name="Labels - Opmaakprofiel3 2 2 2 7 6 6" xfId="48204"/>
    <cellStyle name="Labels - Opmaakprofiel3 2 2 2 7 7" xfId="5043"/>
    <cellStyle name="Labels - Opmaakprofiel3 2 2 2 7 7 2" xfId="14596"/>
    <cellStyle name="Labels - Opmaakprofiel3 2 2 2 7 7 3" xfId="26648"/>
    <cellStyle name="Labels - Opmaakprofiel3 2 2 2 7 7 4" xfId="45620"/>
    <cellStyle name="Labels - Opmaakprofiel3 2 2 2 7 7 5" xfId="48205"/>
    <cellStyle name="Labels - Opmaakprofiel3 2 2 2 7 8" xfId="10275"/>
    <cellStyle name="Labels - Opmaakprofiel3 2 2 2 7 8 2" xfId="22573"/>
    <cellStyle name="Labels - Opmaakprofiel3 2 2 2 7 8 3" xfId="44334"/>
    <cellStyle name="Labels - Opmaakprofiel3 2 2 2 7 8 4" xfId="28969"/>
    <cellStyle name="Labels - Opmaakprofiel3 2 2 2 7 8 5" xfId="55240"/>
    <cellStyle name="Labels - Opmaakprofiel3 2 2 2 7 9" xfId="14590"/>
    <cellStyle name="Labels - Opmaakprofiel3 2 2 2 8" xfId="1315"/>
    <cellStyle name="Labels - Opmaakprofiel3 2 2 2 8 2" xfId="1898"/>
    <cellStyle name="Labels - Opmaakprofiel3 2 2 2 8 2 2" xfId="9241"/>
    <cellStyle name="Labels - Opmaakprofiel3 2 2 2 8 2 2 2" xfId="21539"/>
    <cellStyle name="Labels - Opmaakprofiel3 2 2 2 8 2 2 3" xfId="33591"/>
    <cellStyle name="Labels - Opmaakprofiel3 2 2 2 8 2 2 4" xfId="32090"/>
    <cellStyle name="Labels - Opmaakprofiel3 2 2 2 8 2 2 5" xfId="54206"/>
    <cellStyle name="Labels - Opmaakprofiel3 2 2 2 8 2 3" xfId="14598"/>
    <cellStyle name="Labels - Opmaakprofiel3 2 2 2 8 2 4" xfId="26650"/>
    <cellStyle name="Labels - Opmaakprofiel3 2 2 2 8 2 5" xfId="45619"/>
    <cellStyle name="Labels - Opmaakprofiel3 2 2 2 8 2 6" xfId="48206"/>
    <cellStyle name="Labels - Opmaakprofiel3 2 2 2 8 3" xfId="3326"/>
    <cellStyle name="Labels - Opmaakprofiel3 2 2 2 8 3 2" xfId="9242"/>
    <cellStyle name="Labels - Opmaakprofiel3 2 2 2 8 3 2 2" xfId="21540"/>
    <cellStyle name="Labels - Opmaakprofiel3 2 2 2 8 3 2 3" xfId="33592"/>
    <cellStyle name="Labels - Opmaakprofiel3 2 2 2 8 3 2 4" xfId="42774"/>
    <cellStyle name="Labels - Opmaakprofiel3 2 2 2 8 3 2 5" xfId="54207"/>
    <cellStyle name="Labels - Opmaakprofiel3 2 2 2 8 3 3" xfId="14599"/>
    <cellStyle name="Labels - Opmaakprofiel3 2 2 2 8 3 4" xfId="26651"/>
    <cellStyle name="Labels - Opmaakprofiel3 2 2 2 8 3 5" xfId="39880"/>
    <cellStyle name="Labels - Opmaakprofiel3 2 2 2 8 3 6" xfId="48207"/>
    <cellStyle name="Labels - Opmaakprofiel3 2 2 2 8 4" xfId="4107"/>
    <cellStyle name="Labels - Opmaakprofiel3 2 2 2 8 4 2" xfId="9243"/>
    <cellStyle name="Labels - Opmaakprofiel3 2 2 2 8 4 2 2" xfId="21541"/>
    <cellStyle name="Labels - Opmaakprofiel3 2 2 2 8 4 2 3" xfId="33593"/>
    <cellStyle name="Labels - Opmaakprofiel3 2 2 2 8 4 2 4" xfId="27741"/>
    <cellStyle name="Labels - Opmaakprofiel3 2 2 2 8 4 2 5" xfId="54208"/>
    <cellStyle name="Labels - Opmaakprofiel3 2 2 2 8 4 3" xfId="14600"/>
    <cellStyle name="Labels - Opmaakprofiel3 2 2 2 8 4 4" xfId="26652"/>
    <cellStyle name="Labels - Opmaakprofiel3 2 2 2 8 4 5" xfId="45618"/>
    <cellStyle name="Labels - Opmaakprofiel3 2 2 2 8 4 6" xfId="48208"/>
    <cellStyle name="Labels - Opmaakprofiel3 2 2 2 8 5" xfId="5044"/>
    <cellStyle name="Labels - Opmaakprofiel3 2 2 2 8 5 2" xfId="9244"/>
    <cellStyle name="Labels - Opmaakprofiel3 2 2 2 8 5 2 2" xfId="21542"/>
    <cellStyle name="Labels - Opmaakprofiel3 2 2 2 8 5 2 3" xfId="33594"/>
    <cellStyle name="Labels - Opmaakprofiel3 2 2 2 8 5 2 4" xfId="42773"/>
    <cellStyle name="Labels - Opmaakprofiel3 2 2 2 8 5 2 5" xfId="54209"/>
    <cellStyle name="Labels - Opmaakprofiel3 2 2 2 8 5 3" xfId="14601"/>
    <cellStyle name="Labels - Opmaakprofiel3 2 2 2 8 5 4" xfId="26653"/>
    <cellStyle name="Labels - Opmaakprofiel3 2 2 2 8 5 5" xfId="39879"/>
    <cellStyle name="Labels - Opmaakprofiel3 2 2 2 8 5 6" xfId="48209"/>
    <cellStyle name="Labels - Opmaakprofiel3 2 2 2 8 6" xfId="5045"/>
    <cellStyle name="Labels - Opmaakprofiel3 2 2 2 8 6 2" xfId="9245"/>
    <cellStyle name="Labels - Opmaakprofiel3 2 2 2 8 6 2 2" xfId="21543"/>
    <cellStyle name="Labels - Opmaakprofiel3 2 2 2 8 6 2 3" xfId="33595"/>
    <cellStyle name="Labels - Opmaakprofiel3 2 2 2 8 6 2 4" xfId="27742"/>
    <cellStyle name="Labels - Opmaakprofiel3 2 2 2 8 6 2 5" xfId="54210"/>
    <cellStyle name="Labels - Opmaakprofiel3 2 2 2 8 6 3" xfId="14602"/>
    <cellStyle name="Labels - Opmaakprofiel3 2 2 2 8 6 4" xfId="26654"/>
    <cellStyle name="Labels - Opmaakprofiel3 2 2 2 8 6 5" xfId="45617"/>
    <cellStyle name="Labels - Opmaakprofiel3 2 2 2 8 6 6" xfId="48210"/>
    <cellStyle name="Labels - Opmaakprofiel3 2 2 2 8 7" xfId="5046"/>
    <cellStyle name="Labels - Opmaakprofiel3 2 2 2 8 7 2" xfId="14603"/>
    <cellStyle name="Labels - Opmaakprofiel3 2 2 2 8 7 3" xfId="26655"/>
    <cellStyle name="Labels - Opmaakprofiel3 2 2 2 8 7 4" xfId="39878"/>
    <cellStyle name="Labels - Opmaakprofiel3 2 2 2 8 7 5" xfId="48211"/>
    <cellStyle name="Labels - Opmaakprofiel3 2 2 2 8 8" xfId="7062"/>
    <cellStyle name="Labels - Opmaakprofiel3 2 2 2 8 8 2" xfId="19360"/>
    <cellStyle name="Labels - Opmaakprofiel3 2 2 2 8 8 3" xfId="41163"/>
    <cellStyle name="Labels - Opmaakprofiel3 2 2 2 8 8 4" xfId="43666"/>
    <cellStyle name="Labels - Opmaakprofiel3 2 2 2 8 8 5" xfId="52033"/>
    <cellStyle name="Labels - Opmaakprofiel3 2 2 2 8 9" xfId="14597"/>
    <cellStyle name="Labels - Opmaakprofiel3 2 2 2 9" xfId="1371"/>
    <cellStyle name="Labels - Opmaakprofiel3 2 2 2 9 2" xfId="1398"/>
    <cellStyle name="Labels - Opmaakprofiel3 2 2 2 9 2 2" xfId="9246"/>
    <cellStyle name="Labels - Opmaakprofiel3 2 2 2 9 2 2 2" xfId="21544"/>
    <cellStyle name="Labels - Opmaakprofiel3 2 2 2 9 2 2 3" xfId="33596"/>
    <cellStyle name="Labels - Opmaakprofiel3 2 2 2 9 2 2 4" xfId="27743"/>
    <cellStyle name="Labels - Opmaakprofiel3 2 2 2 9 2 2 5" xfId="54211"/>
    <cellStyle name="Labels - Opmaakprofiel3 2 2 2 9 2 3" xfId="14605"/>
    <cellStyle name="Labels - Opmaakprofiel3 2 2 2 9 2 4" xfId="26657"/>
    <cellStyle name="Labels - Opmaakprofiel3 2 2 2 9 2 5" xfId="39876"/>
    <cellStyle name="Labels - Opmaakprofiel3 2 2 2 9 2 6" xfId="48212"/>
    <cellStyle name="Labels - Opmaakprofiel3 2 2 2 9 3" xfId="3382"/>
    <cellStyle name="Labels - Opmaakprofiel3 2 2 2 9 3 2" xfId="9247"/>
    <cellStyle name="Labels - Opmaakprofiel3 2 2 2 9 3 2 2" xfId="21545"/>
    <cellStyle name="Labels - Opmaakprofiel3 2 2 2 9 3 2 3" xfId="33597"/>
    <cellStyle name="Labels - Opmaakprofiel3 2 2 2 9 3 2 4" xfId="31473"/>
    <cellStyle name="Labels - Opmaakprofiel3 2 2 2 9 3 2 5" xfId="54212"/>
    <cellStyle name="Labels - Opmaakprofiel3 2 2 2 9 3 3" xfId="14606"/>
    <cellStyle name="Labels - Opmaakprofiel3 2 2 2 9 3 4" xfId="26658"/>
    <cellStyle name="Labels - Opmaakprofiel3 2 2 2 9 3 5" xfId="45616"/>
    <cellStyle name="Labels - Opmaakprofiel3 2 2 2 9 3 6" xfId="48213"/>
    <cellStyle name="Labels - Opmaakprofiel3 2 2 2 9 4" xfId="4143"/>
    <cellStyle name="Labels - Opmaakprofiel3 2 2 2 9 4 2" xfId="9248"/>
    <cellStyle name="Labels - Opmaakprofiel3 2 2 2 9 4 2 2" xfId="21546"/>
    <cellStyle name="Labels - Opmaakprofiel3 2 2 2 9 4 2 3" xfId="33598"/>
    <cellStyle name="Labels - Opmaakprofiel3 2 2 2 9 4 2 4" xfId="42772"/>
    <cellStyle name="Labels - Opmaakprofiel3 2 2 2 9 4 2 5" xfId="54213"/>
    <cellStyle name="Labels - Opmaakprofiel3 2 2 2 9 4 3" xfId="14607"/>
    <cellStyle name="Labels - Opmaakprofiel3 2 2 2 9 4 4" xfId="26659"/>
    <cellStyle name="Labels - Opmaakprofiel3 2 2 2 9 4 5" xfId="39875"/>
    <cellStyle name="Labels - Opmaakprofiel3 2 2 2 9 4 6" xfId="48214"/>
    <cellStyle name="Labels - Opmaakprofiel3 2 2 2 9 5" xfId="5047"/>
    <cellStyle name="Labels - Opmaakprofiel3 2 2 2 9 5 2" xfId="9249"/>
    <cellStyle name="Labels - Opmaakprofiel3 2 2 2 9 5 2 2" xfId="21547"/>
    <cellStyle name="Labels - Opmaakprofiel3 2 2 2 9 5 2 3" xfId="33599"/>
    <cellStyle name="Labels - Opmaakprofiel3 2 2 2 9 5 2 4" xfId="27746"/>
    <cellStyle name="Labels - Opmaakprofiel3 2 2 2 9 5 2 5" xfId="54214"/>
    <cellStyle name="Labels - Opmaakprofiel3 2 2 2 9 5 3" xfId="14608"/>
    <cellStyle name="Labels - Opmaakprofiel3 2 2 2 9 5 4" xfId="26660"/>
    <cellStyle name="Labels - Opmaakprofiel3 2 2 2 9 5 5" xfId="45615"/>
    <cellStyle name="Labels - Opmaakprofiel3 2 2 2 9 5 6" xfId="48215"/>
    <cellStyle name="Labels - Opmaakprofiel3 2 2 2 9 6" xfId="5048"/>
    <cellStyle name="Labels - Opmaakprofiel3 2 2 2 9 6 2" xfId="9250"/>
    <cellStyle name="Labels - Opmaakprofiel3 2 2 2 9 6 2 2" xfId="21548"/>
    <cellStyle name="Labels - Opmaakprofiel3 2 2 2 9 6 2 3" xfId="33600"/>
    <cellStyle name="Labels - Opmaakprofiel3 2 2 2 9 6 2 4" xfId="42771"/>
    <cellStyle name="Labels - Opmaakprofiel3 2 2 2 9 6 2 5" xfId="54215"/>
    <cellStyle name="Labels - Opmaakprofiel3 2 2 2 9 6 3" xfId="14609"/>
    <cellStyle name="Labels - Opmaakprofiel3 2 2 2 9 6 4" xfId="26661"/>
    <cellStyle name="Labels - Opmaakprofiel3 2 2 2 9 6 5" xfId="39874"/>
    <cellStyle name="Labels - Opmaakprofiel3 2 2 2 9 6 6" xfId="48216"/>
    <cellStyle name="Labels - Opmaakprofiel3 2 2 2 9 7" xfId="5049"/>
    <cellStyle name="Labels - Opmaakprofiel3 2 2 2 9 7 2" xfId="14610"/>
    <cellStyle name="Labels - Opmaakprofiel3 2 2 2 9 7 3" xfId="26662"/>
    <cellStyle name="Labels - Opmaakprofiel3 2 2 2 9 7 4" xfId="45614"/>
    <cellStyle name="Labels - Opmaakprofiel3 2 2 2 9 7 5" xfId="48217"/>
    <cellStyle name="Labels - Opmaakprofiel3 2 2 2 9 8" xfId="9819"/>
    <cellStyle name="Labels - Opmaakprofiel3 2 2 2 9 8 2" xfId="22117"/>
    <cellStyle name="Labels - Opmaakprofiel3 2 2 2 9 8 3" xfId="43885"/>
    <cellStyle name="Labels - Opmaakprofiel3 2 2 2 9 8 4" xfId="28262"/>
    <cellStyle name="Labels - Opmaakprofiel3 2 2 2 9 8 5" xfId="54784"/>
    <cellStyle name="Labels - Opmaakprofiel3 2 2 2 9 9" xfId="14604"/>
    <cellStyle name="Labels - Opmaakprofiel3 2 2 3" xfId="547"/>
    <cellStyle name="Labels - Opmaakprofiel3 2 2 3 2" xfId="1834"/>
    <cellStyle name="Labels - Opmaakprofiel3 2 2 3 2 2" xfId="9251"/>
    <cellStyle name="Labels - Opmaakprofiel3 2 2 3 2 2 2" xfId="21549"/>
    <cellStyle name="Labels - Opmaakprofiel3 2 2 3 2 2 3" xfId="33601"/>
    <cellStyle name="Labels - Opmaakprofiel3 2 2 3 2 2 4" xfId="31386"/>
    <cellStyle name="Labels - Opmaakprofiel3 2 2 3 2 2 5" xfId="54216"/>
    <cellStyle name="Labels - Opmaakprofiel3 2 2 3 2 3" xfId="14612"/>
    <cellStyle name="Labels - Opmaakprofiel3 2 2 3 2 4" xfId="26664"/>
    <cellStyle name="Labels - Opmaakprofiel3 2 2 3 2 5" xfId="45613"/>
    <cellStyle name="Labels - Opmaakprofiel3 2 2 3 2 6" xfId="48218"/>
    <cellStyle name="Labels - Opmaakprofiel3 2 2 3 3" xfId="2618"/>
    <cellStyle name="Labels - Opmaakprofiel3 2 2 3 3 2" xfId="9252"/>
    <cellStyle name="Labels - Opmaakprofiel3 2 2 3 3 2 2" xfId="21550"/>
    <cellStyle name="Labels - Opmaakprofiel3 2 2 3 3 2 3" xfId="33602"/>
    <cellStyle name="Labels - Opmaakprofiel3 2 2 3 3 2 4" xfId="42770"/>
    <cellStyle name="Labels - Opmaakprofiel3 2 2 3 3 2 5" xfId="54217"/>
    <cellStyle name="Labels - Opmaakprofiel3 2 2 3 3 3" xfId="14613"/>
    <cellStyle name="Labels - Opmaakprofiel3 2 2 3 3 4" xfId="26665"/>
    <cellStyle name="Labels - Opmaakprofiel3 2 2 3 3 5" xfId="39872"/>
    <cellStyle name="Labels - Opmaakprofiel3 2 2 3 3 6" xfId="48219"/>
    <cellStyle name="Labels - Opmaakprofiel3 2 2 3 4" xfId="3496"/>
    <cellStyle name="Labels - Opmaakprofiel3 2 2 3 4 2" xfId="9253"/>
    <cellStyle name="Labels - Opmaakprofiel3 2 2 3 4 2 2" xfId="21551"/>
    <cellStyle name="Labels - Opmaakprofiel3 2 2 3 4 2 3" xfId="33603"/>
    <cellStyle name="Labels - Opmaakprofiel3 2 2 3 4 2 4" xfId="32061"/>
    <cellStyle name="Labels - Opmaakprofiel3 2 2 3 4 2 5" xfId="54218"/>
    <cellStyle name="Labels - Opmaakprofiel3 2 2 3 4 3" xfId="14614"/>
    <cellStyle name="Labels - Opmaakprofiel3 2 2 3 4 4" xfId="26666"/>
    <cellStyle name="Labels - Opmaakprofiel3 2 2 3 4 5" xfId="45612"/>
    <cellStyle name="Labels - Opmaakprofiel3 2 2 3 4 6" xfId="48220"/>
    <cellStyle name="Labels - Opmaakprofiel3 2 2 3 5" xfId="5050"/>
    <cellStyle name="Labels - Opmaakprofiel3 2 2 3 5 2" xfId="9254"/>
    <cellStyle name="Labels - Opmaakprofiel3 2 2 3 5 2 2" xfId="21552"/>
    <cellStyle name="Labels - Opmaakprofiel3 2 2 3 5 2 3" xfId="33604"/>
    <cellStyle name="Labels - Opmaakprofiel3 2 2 3 5 2 4" xfId="42769"/>
    <cellStyle name="Labels - Opmaakprofiel3 2 2 3 5 2 5" xfId="54219"/>
    <cellStyle name="Labels - Opmaakprofiel3 2 2 3 5 3" xfId="14615"/>
    <cellStyle name="Labels - Opmaakprofiel3 2 2 3 5 4" xfId="26667"/>
    <cellStyle name="Labels - Opmaakprofiel3 2 2 3 5 5" xfId="39871"/>
    <cellStyle name="Labels - Opmaakprofiel3 2 2 3 5 6" xfId="48221"/>
    <cellStyle name="Labels - Opmaakprofiel3 2 2 3 6" xfId="5051"/>
    <cellStyle name="Labels - Opmaakprofiel3 2 2 3 6 2" xfId="9255"/>
    <cellStyle name="Labels - Opmaakprofiel3 2 2 3 6 2 2" xfId="21553"/>
    <cellStyle name="Labels - Opmaakprofiel3 2 2 3 6 2 3" xfId="33605"/>
    <cellStyle name="Labels - Opmaakprofiel3 2 2 3 6 2 4" xfId="32086"/>
    <cellStyle name="Labels - Opmaakprofiel3 2 2 3 6 2 5" xfId="54220"/>
    <cellStyle name="Labels - Opmaakprofiel3 2 2 3 6 3" xfId="14616"/>
    <cellStyle name="Labels - Opmaakprofiel3 2 2 3 6 4" xfId="26668"/>
    <cellStyle name="Labels - Opmaakprofiel3 2 2 3 6 5" xfId="39870"/>
    <cellStyle name="Labels - Opmaakprofiel3 2 2 3 6 6" xfId="48222"/>
    <cellStyle name="Labels - Opmaakprofiel3 2 2 3 7" xfId="5052"/>
    <cellStyle name="Labels - Opmaakprofiel3 2 2 3 7 2" xfId="14617"/>
    <cellStyle name="Labels - Opmaakprofiel3 2 2 3 7 3" xfId="26669"/>
    <cellStyle name="Labels - Opmaakprofiel3 2 2 3 7 4" xfId="39869"/>
    <cellStyle name="Labels - Opmaakprofiel3 2 2 3 7 5" xfId="48223"/>
    <cellStyle name="Labels - Opmaakprofiel3 2 2 3 8" xfId="7617"/>
    <cellStyle name="Labels - Opmaakprofiel3 2 2 3 8 2" xfId="19915"/>
    <cellStyle name="Labels - Opmaakprofiel3 2 2 3 8 3" xfId="41718"/>
    <cellStyle name="Labels - Opmaakprofiel3 2 2 3 8 4" xfId="31775"/>
    <cellStyle name="Labels - Opmaakprofiel3 2 2 3 8 5" xfId="52587"/>
    <cellStyle name="Labels - Opmaakprofiel3 2 2 3 9" xfId="14611"/>
    <cellStyle name="Labels - Opmaakprofiel3 2 2 4" xfId="505"/>
    <cellStyle name="Labels - Opmaakprofiel3 2 2 4 2" xfId="2276"/>
    <cellStyle name="Labels - Opmaakprofiel3 2 2 4 2 2" xfId="9256"/>
    <cellStyle name="Labels - Opmaakprofiel3 2 2 4 2 2 2" xfId="21554"/>
    <cellStyle name="Labels - Opmaakprofiel3 2 2 4 2 2 3" xfId="33606"/>
    <cellStyle name="Labels - Opmaakprofiel3 2 2 4 2 2 4" xfId="42768"/>
    <cellStyle name="Labels - Opmaakprofiel3 2 2 4 2 2 5" xfId="54221"/>
    <cellStyle name="Labels - Opmaakprofiel3 2 2 4 2 3" xfId="14619"/>
    <cellStyle name="Labels - Opmaakprofiel3 2 2 4 2 4" xfId="26671"/>
    <cellStyle name="Labels - Opmaakprofiel3 2 2 4 2 5" xfId="39868"/>
    <cellStyle name="Labels - Opmaakprofiel3 2 2 4 2 6" xfId="48224"/>
    <cellStyle name="Labels - Opmaakprofiel3 2 2 4 3" xfId="2576"/>
    <cellStyle name="Labels - Opmaakprofiel3 2 2 4 3 2" xfId="9257"/>
    <cellStyle name="Labels - Opmaakprofiel3 2 2 4 3 2 2" xfId="21555"/>
    <cellStyle name="Labels - Opmaakprofiel3 2 2 4 3 2 3" xfId="33607"/>
    <cellStyle name="Labels - Opmaakprofiel3 2 2 4 3 2 4" xfId="27753"/>
    <cellStyle name="Labels - Opmaakprofiel3 2 2 4 3 2 5" xfId="54222"/>
    <cellStyle name="Labels - Opmaakprofiel3 2 2 4 3 3" xfId="14620"/>
    <cellStyle name="Labels - Opmaakprofiel3 2 2 4 3 4" xfId="26672"/>
    <cellStyle name="Labels - Opmaakprofiel3 2 2 4 3 5" xfId="45610"/>
    <cellStyle name="Labels - Opmaakprofiel3 2 2 4 3 6" xfId="48225"/>
    <cellStyle name="Labels - Opmaakprofiel3 2 2 4 4" xfId="3459"/>
    <cellStyle name="Labels - Opmaakprofiel3 2 2 4 4 2" xfId="9258"/>
    <cellStyle name="Labels - Opmaakprofiel3 2 2 4 4 2 2" xfId="21556"/>
    <cellStyle name="Labels - Opmaakprofiel3 2 2 4 4 2 3" xfId="33608"/>
    <cellStyle name="Labels - Opmaakprofiel3 2 2 4 4 2 4" xfId="31587"/>
    <cellStyle name="Labels - Opmaakprofiel3 2 2 4 4 2 5" xfId="54223"/>
    <cellStyle name="Labels - Opmaakprofiel3 2 2 4 4 3" xfId="14621"/>
    <cellStyle name="Labels - Opmaakprofiel3 2 2 4 4 4" xfId="26673"/>
    <cellStyle name="Labels - Opmaakprofiel3 2 2 4 4 5" xfId="39867"/>
    <cellStyle name="Labels - Opmaakprofiel3 2 2 4 4 6" xfId="48226"/>
    <cellStyle name="Labels - Opmaakprofiel3 2 2 4 5" xfId="5053"/>
    <cellStyle name="Labels - Opmaakprofiel3 2 2 4 5 2" xfId="9259"/>
    <cellStyle name="Labels - Opmaakprofiel3 2 2 4 5 2 2" xfId="21557"/>
    <cellStyle name="Labels - Opmaakprofiel3 2 2 4 5 2 3" xfId="33609"/>
    <cellStyle name="Labels - Opmaakprofiel3 2 2 4 5 2 4" xfId="32128"/>
    <cellStyle name="Labels - Opmaakprofiel3 2 2 4 5 2 5" xfId="54224"/>
    <cellStyle name="Labels - Opmaakprofiel3 2 2 4 5 3" xfId="14622"/>
    <cellStyle name="Labels - Opmaakprofiel3 2 2 4 5 4" xfId="26674"/>
    <cellStyle name="Labels - Opmaakprofiel3 2 2 4 5 5" xfId="45609"/>
    <cellStyle name="Labels - Opmaakprofiel3 2 2 4 5 6" xfId="48227"/>
    <cellStyle name="Labels - Opmaakprofiel3 2 2 4 6" xfId="5054"/>
    <cellStyle name="Labels - Opmaakprofiel3 2 2 4 6 2" xfId="9260"/>
    <cellStyle name="Labels - Opmaakprofiel3 2 2 4 6 2 2" xfId="21558"/>
    <cellStyle name="Labels - Opmaakprofiel3 2 2 4 6 2 3" xfId="33610"/>
    <cellStyle name="Labels - Opmaakprofiel3 2 2 4 6 2 4" xfId="42767"/>
    <cellStyle name="Labels - Opmaakprofiel3 2 2 4 6 2 5" xfId="54225"/>
    <cellStyle name="Labels - Opmaakprofiel3 2 2 4 6 3" xfId="14623"/>
    <cellStyle name="Labels - Opmaakprofiel3 2 2 4 6 4" xfId="26675"/>
    <cellStyle name="Labels - Opmaakprofiel3 2 2 4 6 5" xfId="39866"/>
    <cellStyle name="Labels - Opmaakprofiel3 2 2 4 6 6" xfId="48228"/>
    <cellStyle name="Labels - Opmaakprofiel3 2 2 4 7" xfId="5055"/>
    <cellStyle name="Labels - Opmaakprofiel3 2 2 4 7 2" xfId="14624"/>
    <cellStyle name="Labels - Opmaakprofiel3 2 2 4 7 3" xfId="26676"/>
    <cellStyle name="Labels - Opmaakprofiel3 2 2 4 7 4" xfId="45608"/>
    <cellStyle name="Labels - Opmaakprofiel3 2 2 4 7 5" xfId="48229"/>
    <cellStyle name="Labels - Opmaakprofiel3 2 2 4 8" xfId="7646"/>
    <cellStyle name="Labels - Opmaakprofiel3 2 2 4 8 2" xfId="19944"/>
    <cellStyle name="Labels - Opmaakprofiel3 2 2 4 8 3" xfId="41747"/>
    <cellStyle name="Labels - Opmaakprofiel3 2 2 4 8 4" xfId="43422"/>
    <cellStyle name="Labels - Opmaakprofiel3 2 2 4 8 5" xfId="52616"/>
    <cellStyle name="Labels - Opmaakprofiel3 2 2 4 9" xfId="14618"/>
    <cellStyle name="Labels - Opmaakprofiel3 2 2 5" xfId="491"/>
    <cellStyle name="Labels - Opmaakprofiel3 2 2 5 2" xfId="1814"/>
    <cellStyle name="Labels - Opmaakprofiel3 2 2 5 2 2" xfId="9261"/>
    <cellStyle name="Labels - Opmaakprofiel3 2 2 5 2 2 2" xfId="21559"/>
    <cellStyle name="Labels - Opmaakprofiel3 2 2 5 2 2 3" xfId="33611"/>
    <cellStyle name="Labels - Opmaakprofiel3 2 2 5 2 2 4" xfId="27758"/>
    <cellStyle name="Labels - Opmaakprofiel3 2 2 5 2 2 5" xfId="54226"/>
    <cellStyle name="Labels - Opmaakprofiel3 2 2 5 2 3" xfId="14626"/>
    <cellStyle name="Labels - Opmaakprofiel3 2 2 5 2 4" xfId="26678"/>
    <cellStyle name="Labels - Opmaakprofiel3 2 2 5 2 5" xfId="45607"/>
    <cellStyle name="Labels - Opmaakprofiel3 2 2 5 2 6" xfId="48230"/>
    <cellStyle name="Labels - Opmaakprofiel3 2 2 5 3" xfId="2562"/>
    <cellStyle name="Labels - Opmaakprofiel3 2 2 5 3 2" xfId="9262"/>
    <cellStyle name="Labels - Opmaakprofiel3 2 2 5 3 2 2" xfId="21560"/>
    <cellStyle name="Labels - Opmaakprofiel3 2 2 5 3 2 3" xfId="33612"/>
    <cellStyle name="Labels - Opmaakprofiel3 2 2 5 3 2 4" xfId="42766"/>
    <cellStyle name="Labels - Opmaakprofiel3 2 2 5 3 2 5" xfId="54227"/>
    <cellStyle name="Labels - Opmaakprofiel3 2 2 5 3 3" xfId="14627"/>
    <cellStyle name="Labels - Opmaakprofiel3 2 2 5 3 4" xfId="26679"/>
    <cellStyle name="Labels - Opmaakprofiel3 2 2 5 3 5" xfId="39864"/>
    <cellStyle name="Labels - Opmaakprofiel3 2 2 5 3 6" xfId="48231"/>
    <cellStyle name="Labels - Opmaakprofiel3 2 2 5 4" xfId="3447"/>
    <cellStyle name="Labels - Opmaakprofiel3 2 2 5 4 2" xfId="9263"/>
    <cellStyle name="Labels - Opmaakprofiel3 2 2 5 4 2 2" xfId="21561"/>
    <cellStyle name="Labels - Opmaakprofiel3 2 2 5 4 2 3" xfId="33613"/>
    <cellStyle name="Labels - Opmaakprofiel3 2 2 5 4 2 4" xfId="27759"/>
    <cellStyle name="Labels - Opmaakprofiel3 2 2 5 4 2 5" xfId="54228"/>
    <cellStyle name="Labels - Opmaakprofiel3 2 2 5 4 3" xfId="14628"/>
    <cellStyle name="Labels - Opmaakprofiel3 2 2 5 4 4" xfId="26680"/>
    <cellStyle name="Labels - Opmaakprofiel3 2 2 5 4 5" xfId="39863"/>
    <cellStyle name="Labels - Opmaakprofiel3 2 2 5 4 6" xfId="48232"/>
    <cellStyle name="Labels - Opmaakprofiel3 2 2 5 5" xfId="5056"/>
    <cellStyle name="Labels - Opmaakprofiel3 2 2 5 5 2" xfId="9264"/>
    <cellStyle name="Labels - Opmaakprofiel3 2 2 5 5 2 2" xfId="21562"/>
    <cellStyle name="Labels - Opmaakprofiel3 2 2 5 5 2 3" xfId="33614"/>
    <cellStyle name="Labels - Opmaakprofiel3 2 2 5 5 2 4" xfId="42765"/>
    <cellStyle name="Labels - Opmaakprofiel3 2 2 5 5 2 5" xfId="54229"/>
    <cellStyle name="Labels - Opmaakprofiel3 2 2 5 5 3" xfId="14629"/>
    <cellStyle name="Labels - Opmaakprofiel3 2 2 5 5 4" xfId="26681"/>
    <cellStyle name="Labels - Opmaakprofiel3 2 2 5 5 5" xfId="39862"/>
    <cellStyle name="Labels - Opmaakprofiel3 2 2 5 5 6" xfId="48233"/>
    <cellStyle name="Labels - Opmaakprofiel3 2 2 5 6" xfId="5057"/>
    <cellStyle name="Labels - Opmaakprofiel3 2 2 5 6 2" xfId="9265"/>
    <cellStyle name="Labels - Opmaakprofiel3 2 2 5 6 2 2" xfId="21563"/>
    <cellStyle name="Labels - Opmaakprofiel3 2 2 5 6 2 3" xfId="33615"/>
    <cellStyle name="Labels - Opmaakprofiel3 2 2 5 6 2 4" xfId="31523"/>
    <cellStyle name="Labels - Opmaakprofiel3 2 2 5 6 2 5" xfId="54230"/>
    <cellStyle name="Labels - Opmaakprofiel3 2 2 5 6 3" xfId="14630"/>
    <cellStyle name="Labels - Opmaakprofiel3 2 2 5 6 4" xfId="26682"/>
    <cellStyle name="Labels - Opmaakprofiel3 2 2 5 6 5" xfId="45606"/>
    <cellStyle name="Labels - Opmaakprofiel3 2 2 5 6 6" xfId="48234"/>
    <cellStyle name="Labels - Opmaakprofiel3 2 2 5 7" xfId="5058"/>
    <cellStyle name="Labels - Opmaakprofiel3 2 2 5 7 2" xfId="14631"/>
    <cellStyle name="Labels - Opmaakprofiel3 2 2 5 7 3" xfId="26683"/>
    <cellStyle name="Labels - Opmaakprofiel3 2 2 5 7 4" xfId="39861"/>
    <cellStyle name="Labels - Opmaakprofiel3 2 2 5 7 5" xfId="48235"/>
    <cellStyle name="Labels - Opmaakprofiel3 2 2 5 8" xfId="7655"/>
    <cellStyle name="Labels - Opmaakprofiel3 2 2 5 8 2" xfId="19953"/>
    <cellStyle name="Labels - Opmaakprofiel3 2 2 5 8 3" xfId="41756"/>
    <cellStyle name="Labels - Opmaakprofiel3 2 2 5 8 4" xfId="25003"/>
    <cellStyle name="Labels - Opmaakprofiel3 2 2 5 8 5" xfId="52625"/>
    <cellStyle name="Labels - Opmaakprofiel3 2 2 5 9" xfId="14625"/>
    <cellStyle name="Labels - Opmaakprofiel3 2 2 6" xfId="569"/>
    <cellStyle name="Labels - Opmaakprofiel3 2 2 6 2" xfId="2383"/>
    <cellStyle name="Labels - Opmaakprofiel3 2 2 6 2 2" xfId="9266"/>
    <cellStyle name="Labels - Opmaakprofiel3 2 2 6 2 2 2" xfId="21564"/>
    <cellStyle name="Labels - Opmaakprofiel3 2 2 6 2 2 3" xfId="33616"/>
    <cellStyle name="Labels - Opmaakprofiel3 2 2 6 2 2 4" xfId="42764"/>
    <cellStyle name="Labels - Opmaakprofiel3 2 2 6 2 2 5" xfId="54231"/>
    <cellStyle name="Labels - Opmaakprofiel3 2 2 6 2 3" xfId="14633"/>
    <cellStyle name="Labels - Opmaakprofiel3 2 2 6 2 4" xfId="26685"/>
    <cellStyle name="Labels - Opmaakprofiel3 2 2 6 2 5" xfId="39860"/>
    <cellStyle name="Labels - Opmaakprofiel3 2 2 6 2 6" xfId="48236"/>
    <cellStyle name="Labels - Opmaakprofiel3 2 2 6 3" xfId="2640"/>
    <cellStyle name="Labels - Opmaakprofiel3 2 2 6 3 2" xfId="9267"/>
    <cellStyle name="Labels - Opmaakprofiel3 2 2 6 3 2 2" xfId="21565"/>
    <cellStyle name="Labels - Opmaakprofiel3 2 2 6 3 2 3" xfId="33617"/>
    <cellStyle name="Labels - Opmaakprofiel3 2 2 6 3 2 4" xfId="31864"/>
    <cellStyle name="Labels - Opmaakprofiel3 2 2 6 3 2 5" xfId="54232"/>
    <cellStyle name="Labels - Opmaakprofiel3 2 2 6 3 3" xfId="14634"/>
    <cellStyle name="Labels - Opmaakprofiel3 2 2 6 3 4" xfId="26686"/>
    <cellStyle name="Labels - Opmaakprofiel3 2 2 6 3 5" xfId="45604"/>
    <cellStyle name="Labels - Opmaakprofiel3 2 2 6 3 6" xfId="48237"/>
    <cellStyle name="Labels - Opmaakprofiel3 2 2 6 4" xfId="3517"/>
    <cellStyle name="Labels - Opmaakprofiel3 2 2 6 4 2" xfId="9268"/>
    <cellStyle name="Labels - Opmaakprofiel3 2 2 6 4 2 2" xfId="21566"/>
    <cellStyle name="Labels - Opmaakprofiel3 2 2 6 4 2 3" xfId="33618"/>
    <cellStyle name="Labels - Opmaakprofiel3 2 2 6 4 2 4" xfId="42763"/>
    <cellStyle name="Labels - Opmaakprofiel3 2 2 6 4 2 5" xfId="54233"/>
    <cellStyle name="Labels - Opmaakprofiel3 2 2 6 4 3" xfId="14635"/>
    <cellStyle name="Labels - Opmaakprofiel3 2 2 6 4 4" xfId="26687"/>
    <cellStyle name="Labels - Opmaakprofiel3 2 2 6 4 5" xfId="39859"/>
    <cellStyle name="Labels - Opmaakprofiel3 2 2 6 4 6" xfId="48238"/>
    <cellStyle name="Labels - Opmaakprofiel3 2 2 6 5" xfId="5059"/>
    <cellStyle name="Labels - Opmaakprofiel3 2 2 6 5 2" xfId="9269"/>
    <cellStyle name="Labels - Opmaakprofiel3 2 2 6 5 2 2" xfId="21567"/>
    <cellStyle name="Labels - Opmaakprofiel3 2 2 6 5 2 3" xfId="33619"/>
    <cellStyle name="Labels - Opmaakprofiel3 2 2 6 5 2 4" xfId="27764"/>
    <cellStyle name="Labels - Opmaakprofiel3 2 2 6 5 2 5" xfId="54234"/>
    <cellStyle name="Labels - Opmaakprofiel3 2 2 6 5 3" xfId="14636"/>
    <cellStyle name="Labels - Opmaakprofiel3 2 2 6 5 4" xfId="26688"/>
    <cellStyle name="Labels - Opmaakprofiel3 2 2 6 5 5" xfId="45603"/>
    <cellStyle name="Labels - Opmaakprofiel3 2 2 6 5 6" xfId="48239"/>
    <cellStyle name="Labels - Opmaakprofiel3 2 2 6 6" xfId="5060"/>
    <cellStyle name="Labels - Opmaakprofiel3 2 2 6 6 2" xfId="9270"/>
    <cellStyle name="Labels - Opmaakprofiel3 2 2 6 6 2 2" xfId="21568"/>
    <cellStyle name="Labels - Opmaakprofiel3 2 2 6 6 2 3" xfId="33620"/>
    <cellStyle name="Labels - Opmaakprofiel3 2 2 6 6 2 4" xfId="27765"/>
    <cellStyle name="Labels - Opmaakprofiel3 2 2 6 6 2 5" xfId="54235"/>
    <cellStyle name="Labels - Opmaakprofiel3 2 2 6 6 3" xfId="14637"/>
    <cellStyle name="Labels - Opmaakprofiel3 2 2 6 6 4" xfId="26689"/>
    <cellStyle name="Labels - Opmaakprofiel3 2 2 6 6 5" xfId="39858"/>
    <cellStyle name="Labels - Opmaakprofiel3 2 2 6 6 6" xfId="48240"/>
    <cellStyle name="Labels - Opmaakprofiel3 2 2 6 7" xfId="5061"/>
    <cellStyle name="Labels - Opmaakprofiel3 2 2 6 7 2" xfId="14638"/>
    <cellStyle name="Labels - Opmaakprofiel3 2 2 6 7 3" xfId="26690"/>
    <cellStyle name="Labels - Opmaakprofiel3 2 2 6 7 4" xfId="45602"/>
    <cellStyle name="Labels - Opmaakprofiel3 2 2 6 7 5" xfId="48241"/>
    <cellStyle name="Labels - Opmaakprofiel3 2 2 6 8" xfId="7602"/>
    <cellStyle name="Labels - Opmaakprofiel3 2 2 6 8 2" xfId="19900"/>
    <cellStyle name="Labels - Opmaakprofiel3 2 2 6 8 3" xfId="41703"/>
    <cellStyle name="Labels - Opmaakprofiel3 2 2 6 8 4" xfId="43440"/>
    <cellStyle name="Labels - Opmaakprofiel3 2 2 6 8 5" xfId="52572"/>
    <cellStyle name="Labels - Opmaakprofiel3 2 2 6 9" xfId="14632"/>
    <cellStyle name="Labels - Opmaakprofiel3 2 2 7" xfId="454"/>
    <cellStyle name="Labels - Opmaakprofiel3 2 2 7 2" xfId="1997"/>
    <cellStyle name="Labels - Opmaakprofiel3 2 2 7 2 2" xfId="9271"/>
    <cellStyle name="Labels - Opmaakprofiel3 2 2 7 2 2 2" xfId="21569"/>
    <cellStyle name="Labels - Opmaakprofiel3 2 2 7 2 2 3" xfId="33621"/>
    <cellStyle name="Labels - Opmaakprofiel3 2 2 7 2 2 4" xfId="31459"/>
    <cellStyle name="Labels - Opmaakprofiel3 2 2 7 2 2 5" xfId="54236"/>
    <cellStyle name="Labels - Opmaakprofiel3 2 2 7 2 3" xfId="14640"/>
    <cellStyle name="Labels - Opmaakprofiel3 2 2 7 2 4" xfId="26692"/>
    <cellStyle name="Labels - Opmaakprofiel3 2 2 7 2 5" xfId="39856"/>
    <cellStyle name="Labels - Opmaakprofiel3 2 2 7 2 6" xfId="48242"/>
    <cellStyle name="Labels - Opmaakprofiel3 2 2 7 3" xfId="2525"/>
    <cellStyle name="Labels - Opmaakprofiel3 2 2 7 3 2" xfId="9272"/>
    <cellStyle name="Labels - Opmaakprofiel3 2 2 7 3 2 2" xfId="21570"/>
    <cellStyle name="Labels - Opmaakprofiel3 2 2 7 3 2 3" xfId="33622"/>
    <cellStyle name="Labels - Opmaakprofiel3 2 2 7 3 2 4" xfId="42762"/>
    <cellStyle name="Labels - Opmaakprofiel3 2 2 7 3 2 5" xfId="54237"/>
    <cellStyle name="Labels - Opmaakprofiel3 2 2 7 3 3" xfId="14641"/>
    <cellStyle name="Labels - Opmaakprofiel3 2 2 7 3 4" xfId="26693"/>
    <cellStyle name="Labels - Opmaakprofiel3 2 2 7 3 5" xfId="39855"/>
    <cellStyle name="Labels - Opmaakprofiel3 2 2 7 3 6" xfId="48243"/>
    <cellStyle name="Labels - Opmaakprofiel3 2 2 7 4" xfId="3413"/>
    <cellStyle name="Labels - Opmaakprofiel3 2 2 7 4 2" xfId="9273"/>
    <cellStyle name="Labels - Opmaakprofiel3 2 2 7 4 2 2" xfId="21571"/>
    <cellStyle name="Labels - Opmaakprofiel3 2 2 7 4 2 3" xfId="33623"/>
    <cellStyle name="Labels - Opmaakprofiel3 2 2 7 4 2 4" xfId="34516"/>
    <cellStyle name="Labels - Opmaakprofiel3 2 2 7 4 2 5" xfId="54238"/>
    <cellStyle name="Labels - Opmaakprofiel3 2 2 7 4 3" xfId="14642"/>
    <cellStyle name="Labels - Opmaakprofiel3 2 2 7 4 4" xfId="26694"/>
    <cellStyle name="Labels - Opmaakprofiel3 2 2 7 4 5" xfId="45601"/>
    <cellStyle name="Labels - Opmaakprofiel3 2 2 7 4 6" xfId="48244"/>
    <cellStyle name="Labels - Opmaakprofiel3 2 2 7 5" xfId="5062"/>
    <cellStyle name="Labels - Opmaakprofiel3 2 2 7 5 2" xfId="9274"/>
    <cellStyle name="Labels - Opmaakprofiel3 2 2 7 5 2 2" xfId="21572"/>
    <cellStyle name="Labels - Opmaakprofiel3 2 2 7 5 2 3" xfId="33624"/>
    <cellStyle name="Labels - Opmaakprofiel3 2 2 7 5 2 4" xfId="42761"/>
    <cellStyle name="Labels - Opmaakprofiel3 2 2 7 5 2 5" xfId="54239"/>
    <cellStyle name="Labels - Opmaakprofiel3 2 2 7 5 3" xfId="14643"/>
    <cellStyle name="Labels - Opmaakprofiel3 2 2 7 5 4" xfId="26695"/>
    <cellStyle name="Labels - Opmaakprofiel3 2 2 7 5 5" xfId="39854"/>
    <cellStyle name="Labels - Opmaakprofiel3 2 2 7 5 6" xfId="48245"/>
    <cellStyle name="Labels - Opmaakprofiel3 2 2 7 6" xfId="5063"/>
    <cellStyle name="Labels - Opmaakprofiel3 2 2 7 6 2" xfId="9275"/>
    <cellStyle name="Labels - Opmaakprofiel3 2 2 7 6 2 2" xfId="21573"/>
    <cellStyle name="Labels - Opmaakprofiel3 2 2 7 6 2 3" xfId="33625"/>
    <cellStyle name="Labels - Opmaakprofiel3 2 2 7 6 2 4" xfId="27770"/>
    <cellStyle name="Labels - Opmaakprofiel3 2 2 7 6 2 5" xfId="54240"/>
    <cellStyle name="Labels - Opmaakprofiel3 2 2 7 6 3" xfId="14644"/>
    <cellStyle name="Labels - Opmaakprofiel3 2 2 7 6 4" xfId="26696"/>
    <cellStyle name="Labels - Opmaakprofiel3 2 2 7 6 5" xfId="45600"/>
    <cellStyle name="Labels - Opmaakprofiel3 2 2 7 6 6" xfId="48246"/>
    <cellStyle name="Labels - Opmaakprofiel3 2 2 7 7" xfId="5064"/>
    <cellStyle name="Labels - Opmaakprofiel3 2 2 7 7 2" xfId="14645"/>
    <cellStyle name="Labels - Opmaakprofiel3 2 2 7 7 3" xfId="26697"/>
    <cellStyle name="Labels - Opmaakprofiel3 2 2 7 7 4" xfId="39853"/>
    <cellStyle name="Labels - Opmaakprofiel3 2 2 7 7 5" xfId="48247"/>
    <cellStyle name="Labels - Opmaakprofiel3 2 2 7 8" xfId="10368"/>
    <cellStyle name="Labels - Opmaakprofiel3 2 2 7 8 2" xfId="22666"/>
    <cellStyle name="Labels - Opmaakprofiel3 2 2 7 8 3" xfId="44426"/>
    <cellStyle name="Labels - Opmaakprofiel3 2 2 7 8 4" xfId="42304"/>
    <cellStyle name="Labels - Opmaakprofiel3 2 2 7 8 5" xfId="55333"/>
    <cellStyle name="Labels - Opmaakprofiel3 2 2 7 9" xfId="14639"/>
    <cellStyle name="Labels - Opmaakprofiel3 2 2 8" xfId="1254"/>
    <cellStyle name="Labels - Opmaakprofiel3 2 2 8 2" xfId="2055"/>
    <cellStyle name="Labels - Opmaakprofiel3 2 2 8 2 2" xfId="9276"/>
    <cellStyle name="Labels - Opmaakprofiel3 2 2 8 2 2 2" xfId="21574"/>
    <cellStyle name="Labels - Opmaakprofiel3 2 2 8 2 2 3" xfId="33626"/>
    <cellStyle name="Labels - Opmaakprofiel3 2 2 8 2 2 4" xfId="42760"/>
    <cellStyle name="Labels - Opmaakprofiel3 2 2 8 2 2 5" xfId="54241"/>
    <cellStyle name="Labels - Opmaakprofiel3 2 2 8 2 3" xfId="14647"/>
    <cellStyle name="Labels - Opmaakprofiel3 2 2 8 2 4" xfId="26699"/>
    <cellStyle name="Labels - Opmaakprofiel3 2 2 8 2 5" xfId="39852"/>
    <cellStyle name="Labels - Opmaakprofiel3 2 2 8 2 6" xfId="48248"/>
    <cellStyle name="Labels - Opmaakprofiel3 2 2 8 3" xfId="3265"/>
    <cellStyle name="Labels - Opmaakprofiel3 2 2 8 3 2" xfId="9277"/>
    <cellStyle name="Labels - Opmaakprofiel3 2 2 8 3 2 2" xfId="21575"/>
    <cellStyle name="Labels - Opmaakprofiel3 2 2 8 3 2 3" xfId="33627"/>
    <cellStyle name="Labels - Opmaakprofiel3 2 2 8 3 2 4" xfId="27771"/>
    <cellStyle name="Labels - Opmaakprofiel3 2 2 8 3 2 5" xfId="54242"/>
    <cellStyle name="Labels - Opmaakprofiel3 2 2 8 3 3" xfId="14648"/>
    <cellStyle name="Labels - Opmaakprofiel3 2 2 8 3 4" xfId="26700"/>
    <cellStyle name="Labels - Opmaakprofiel3 2 2 8 3 5" xfId="45599"/>
    <cellStyle name="Labels - Opmaakprofiel3 2 2 8 3 6" xfId="48249"/>
    <cellStyle name="Labels - Opmaakprofiel3 2 2 8 4" xfId="4076"/>
    <cellStyle name="Labels - Opmaakprofiel3 2 2 8 4 2" xfId="9278"/>
    <cellStyle name="Labels - Opmaakprofiel3 2 2 8 4 2 2" xfId="21576"/>
    <cellStyle name="Labels - Opmaakprofiel3 2 2 8 4 2 3" xfId="33628"/>
    <cellStyle name="Labels - Opmaakprofiel3 2 2 8 4 2 4" xfId="42759"/>
    <cellStyle name="Labels - Opmaakprofiel3 2 2 8 4 2 5" xfId="54243"/>
    <cellStyle name="Labels - Opmaakprofiel3 2 2 8 4 3" xfId="14649"/>
    <cellStyle name="Labels - Opmaakprofiel3 2 2 8 4 4" xfId="26701"/>
    <cellStyle name="Labels - Opmaakprofiel3 2 2 8 4 5" xfId="39851"/>
    <cellStyle name="Labels - Opmaakprofiel3 2 2 8 4 6" xfId="48250"/>
    <cellStyle name="Labels - Opmaakprofiel3 2 2 8 5" xfId="5065"/>
    <cellStyle name="Labels - Opmaakprofiel3 2 2 8 5 2" xfId="9279"/>
    <cellStyle name="Labels - Opmaakprofiel3 2 2 8 5 2 2" xfId="21577"/>
    <cellStyle name="Labels - Opmaakprofiel3 2 2 8 5 2 3" xfId="33629"/>
    <cellStyle name="Labels - Opmaakprofiel3 2 2 8 5 2 4" xfId="31441"/>
    <cellStyle name="Labels - Opmaakprofiel3 2 2 8 5 2 5" xfId="54244"/>
    <cellStyle name="Labels - Opmaakprofiel3 2 2 8 5 3" xfId="14650"/>
    <cellStyle name="Labels - Opmaakprofiel3 2 2 8 5 4" xfId="26702"/>
    <cellStyle name="Labels - Opmaakprofiel3 2 2 8 5 5" xfId="45598"/>
    <cellStyle name="Labels - Opmaakprofiel3 2 2 8 5 6" xfId="48251"/>
    <cellStyle name="Labels - Opmaakprofiel3 2 2 8 6" xfId="5066"/>
    <cellStyle name="Labels - Opmaakprofiel3 2 2 8 6 2" xfId="9280"/>
    <cellStyle name="Labels - Opmaakprofiel3 2 2 8 6 2 2" xfId="21578"/>
    <cellStyle name="Labels - Opmaakprofiel3 2 2 8 6 2 3" xfId="33630"/>
    <cellStyle name="Labels - Opmaakprofiel3 2 2 8 6 2 4" xfId="42758"/>
    <cellStyle name="Labels - Opmaakprofiel3 2 2 8 6 2 5" xfId="54245"/>
    <cellStyle name="Labels - Opmaakprofiel3 2 2 8 6 3" xfId="14651"/>
    <cellStyle name="Labels - Opmaakprofiel3 2 2 8 6 4" xfId="26703"/>
    <cellStyle name="Labels - Opmaakprofiel3 2 2 8 6 5" xfId="39850"/>
    <cellStyle name="Labels - Opmaakprofiel3 2 2 8 6 6" xfId="48252"/>
    <cellStyle name="Labels - Opmaakprofiel3 2 2 8 7" xfId="5067"/>
    <cellStyle name="Labels - Opmaakprofiel3 2 2 8 7 2" xfId="14652"/>
    <cellStyle name="Labels - Opmaakprofiel3 2 2 8 7 3" xfId="26704"/>
    <cellStyle name="Labels - Opmaakprofiel3 2 2 8 7 4" xfId="39849"/>
    <cellStyle name="Labels - Opmaakprofiel3 2 2 8 7 5" xfId="48253"/>
    <cellStyle name="Labels - Opmaakprofiel3 2 2 8 8" xfId="7121"/>
    <cellStyle name="Labels - Opmaakprofiel3 2 2 8 8 2" xfId="19419"/>
    <cellStyle name="Labels - Opmaakprofiel3 2 2 8 8 3" xfId="41222"/>
    <cellStyle name="Labels - Opmaakprofiel3 2 2 8 8 4" xfId="36963"/>
    <cellStyle name="Labels - Opmaakprofiel3 2 2 8 8 5" xfId="52092"/>
    <cellStyle name="Labels - Opmaakprofiel3 2 2 8 9" xfId="14646"/>
    <cellStyle name="Labels - Opmaakprofiel3 2 2 9" xfId="1305"/>
    <cellStyle name="Labels - Opmaakprofiel3 2 2 9 2" xfId="2323"/>
    <cellStyle name="Labels - Opmaakprofiel3 2 2 9 2 2" xfId="9281"/>
    <cellStyle name="Labels - Opmaakprofiel3 2 2 9 2 2 2" xfId="21579"/>
    <cellStyle name="Labels - Opmaakprofiel3 2 2 9 2 2 3" xfId="33631"/>
    <cellStyle name="Labels - Opmaakprofiel3 2 2 9 2 2 4" xfId="31877"/>
    <cellStyle name="Labels - Opmaakprofiel3 2 2 9 2 2 5" xfId="54246"/>
    <cellStyle name="Labels - Opmaakprofiel3 2 2 9 2 3" xfId="14654"/>
    <cellStyle name="Labels - Opmaakprofiel3 2 2 9 2 4" xfId="26706"/>
    <cellStyle name="Labels - Opmaakprofiel3 2 2 9 2 5" xfId="45597"/>
    <cellStyle name="Labels - Opmaakprofiel3 2 2 9 2 6" xfId="48254"/>
    <cellStyle name="Labels - Opmaakprofiel3 2 2 9 3" xfId="3316"/>
    <cellStyle name="Labels - Opmaakprofiel3 2 2 9 3 2" xfId="9282"/>
    <cellStyle name="Labels - Opmaakprofiel3 2 2 9 3 2 2" xfId="21580"/>
    <cellStyle name="Labels - Opmaakprofiel3 2 2 9 3 2 3" xfId="33632"/>
    <cellStyle name="Labels - Opmaakprofiel3 2 2 9 3 2 4" xfId="27776"/>
    <cellStyle name="Labels - Opmaakprofiel3 2 2 9 3 2 5" xfId="54247"/>
    <cellStyle name="Labels - Opmaakprofiel3 2 2 9 3 3" xfId="14655"/>
    <cellStyle name="Labels - Opmaakprofiel3 2 2 9 3 4" xfId="26707"/>
    <cellStyle name="Labels - Opmaakprofiel3 2 2 9 3 5" xfId="39847"/>
    <cellStyle name="Labels - Opmaakprofiel3 2 2 9 3 6" xfId="48255"/>
    <cellStyle name="Labels - Opmaakprofiel3 2 2 9 4" xfId="4097"/>
    <cellStyle name="Labels - Opmaakprofiel3 2 2 9 4 2" xfId="9283"/>
    <cellStyle name="Labels - Opmaakprofiel3 2 2 9 4 2 2" xfId="21581"/>
    <cellStyle name="Labels - Opmaakprofiel3 2 2 9 4 2 3" xfId="33633"/>
    <cellStyle name="Labels - Opmaakprofiel3 2 2 9 4 2 4" xfId="42757"/>
    <cellStyle name="Labels - Opmaakprofiel3 2 2 9 4 2 5" xfId="54248"/>
    <cellStyle name="Labels - Opmaakprofiel3 2 2 9 4 3" xfId="14656"/>
    <cellStyle name="Labels - Opmaakprofiel3 2 2 9 4 4" xfId="26708"/>
    <cellStyle name="Labels - Opmaakprofiel3 2 2 9 4 5" xfId="45596"/>
    <cellStyle name="Labels - Opmaakprofiel3 2 2 9 4 6" xfId="48256"/>
    <cellStyle name="Labels - Opmaakprofiel3 2 2 9 5" xfId="5068"/>
    <cellStyle name="Labels - Opmaakprofiel3 2 2 9 5 2" xfId="9284"/>
    <cellStyle name="Labels - Opmaakprofiel3 2 2 9 5 2 2" xfId="21582"/>
    <cellStyle name="Labels - Opmaakprofiel3 2 2 9 5 2 3" xfId="33634"/>
    <cellStyle name="Labels - Opmaakprofiel3 2 2 9 5 2 4" xfId="27777"/>
    <cellStyle name="Labels - Opmaakprofiel3 2 2 9 5 2 5" xfId="54249"/>
    <cellStyle name="Labels - Opmaakprofiel3 2 2 9 5 3" xfId="14657"/>
    <cellStyle name="Labels - Opmaakprofiel3 2 2 9 5 4" xfId="26709"/>
    <cellStyle name="Labels - Opmaakprofiel3 2 2 9 5 5" xfId="39846"/>
    <cellStyle name="Labels - Opmaakprofiel3 2 2 9 5 6" xfId="48257"/>
    <cellStyle name="Labels - Opmaakprofiel3 2 2 9 6" xfId="5069"/>
    <cellStyle name="Labels - Opmaakprofiel3 2 2 9 6 2" xfId="9285"/>
    <cellStyle name="Labels - Opmaakprofiel3 2 2 9 6 2 2" xfId="21583"/>
    <cellStyle name="Labels - Opmaakprofiel3 2 2 9 6 2 3" xfId="33635"/>
    <cellStyle name="Labels - Opmaakprofiel3 2 2 9 6 2 4" xfId="42756"/>
    <cellStyle name="Labels - Opmaakprofiel3 2 2 9 6 2 5" xfId="54250"/>
    <cellStyle name="Labels - Opmaakprofiel3 2 2 9 6 3" xfId="14658"/>
    <cellStyle name="Labels - Opmaakprofiel3 2 2 9 6 4" xfId="26710"/>
    <cellStyle name="Labels - Opmaakprofiel3 2 2 9 6 5" xfId="39845"/>
    <cellStyle name="Labels - Opmaakprofiel3 2 2 9 6 6" xfId="48258"/>
    <cellStyle name="Labels - Opmaakprofiel3 2 2 9 7" xfId="5070"/>
    <cellStyle name="Labels - Opmaakprofiel3 2 2 9 7 2" xfId="14659"/>
    <cellStyle name="Labels - Opmaakprofiel3 2 2 9 7 3" xfId="26711"/>
    <cellStyle name="Labels - Opmaakprofiel3 2 2 9 7 4" xfId="45595"/>
    <cellStyle name="Labels - Opmaakprofiel3 2 2 9 7 5" xfId="48259"/>
    <cellStyle name="Labels - Opmaakprofiel3 2 2 9 8" xfId="7072"/>
    <cellStyle name="Labels - Opmaakprofiel3 2 2 9 8 2" xfId="19370"/>
    <cellStyle name="Labels - Opmaakprofiel3 2 2 9 8 3" xfId="41173"/>
    <cellStyle name="Labels - Opmaakprofiel3 2 2 9 8 4" xfId="43662"/>
    <cellStyle name="Labels - Opmaakprofiel3 2 2 9 8 5" xfId="52043"/>
    <cellStyle name="Labels - Opmaakprofiel3 2 2 9 9" xfId="14653"/>
    <cellStyle name="Labels - Opmaakprofiel3 2 20" xfId="788"/>
    <cellStyle name="Labels - Opmaakprofiel3 2 20 10" xfId="5071"/>
    <cellStyle name="Labels - Opmaakprofiel3 2 20 10 2" xfId="9286"/>
    <cellStyle name="Labels - Opmaakprofiel3 2 20 10 2 2" xfId="21584"/>
    <cellStyle name="Labels - Opmaakprofiel3 2 20 10 2 3" xfId="33636"/>
    <cellStyle name="Labels - Opmaakprofiel3 2 20 10 2 4" xfId="31953"/>
    <cellStyle name="Labels - Opmaakprofiel3 2 20 10 2 5" xfId="54251"/>
    <cellStyle name="Labels - Opmaakprofiel3 2 20 10 3" xfId="14661"/>
    <cellStyle name="Labels - Opmaakprofiel3 2 20 10 4" xfId="26713"/>
    <cellStyle name="Labels - Opmaakprofiel3 2 20 10 5" xfId="45594"/>
    <cellStyle name="Labels - Opmaakprofiel3 2 20 10 6" xfId="48260"/>
    <cellStyle name="Labels - Opmaakprofiel3 2 20 11" xfId="5072"/>
    <cellStyle name="Labels - Opmaakprofiel3 2 20 11 2" xfId="9287"/>
    <cellStyle name="Labels - Opmaakprofiel3 2 20 11 2 2" xfId="21585"/>
    <cellStyle name="Labels - Opmaakprofiel3 2 20 11 2 3" xfId="33637"/>
    <cellStyle name="Labels - Opmaakprofiel3 2 20 11 2 4" xfId="42755"/>
    <cellStyle name="Labels - Opmaakprofiel3 2 20 11 2 5" xfId="54252"/>
    <cellStyle name="Labels - Opmaakprofiel3 2 20 11 3" xfId="14662"/>
    <cellStyle name="Labels - Opmaakprofiel3 2 20 11 4" xfId="26714"/>
    <cellStyle name="Labels - Opmaakprofiel3 2 20 11 5" xfId="39843"/>
    <cellStyle name="Labels - Opmaakprofiel3 2 20 11 6" xfId="48261"/>
    <cellStyle name="Labels - Opmaakprofiel3 2 20 12" xfId="5073"/>
    <cellStyle name="Labels - Opmaakprofiel3 2 20 12 2" xfId="14663"/>
    <cellStyle name="Labels - Opmaakprofiel3 2 20 12 3" xfId="26715"/>
    <cellStyle name="Labels - Opmaakprofiel3 2 20 12 4" xfId="45593"/>
    <cellStyle name="Labels - Opmaakprofiel3 2 20 12 5" xfId="48262"/>
    <cellStyle name="Labels - Opmaakprofiel3 2 20 13" xfId="10143"/>
    <cellStyle name="Labels - Opmaakprofiel3 2 20 13 2" xfId="22441"/>
    <cellStyle name="Labels - Opmaakprofiel3 2 20 13 3" xfId="44205"/>
    <cellStyle name="Labels - Opmaakprofiel3 2 20 13 4" xfId="31924"/>
    <cellStyle name="Labels - Opmaakprofiel3 2 20 13 5" xfId="55108"/>
    <cellStyle name="Labels - Opmaakprofiel3 2 20 14" xfId="14660"/>
    <cellStyle name="Labels - Opmaakprofiel3 2 20 2" xfId="951"/>
    <cellStyle name="Labels - Opmaakprofiel3 2 20 2 2" xfId="2447"/>
    <cellStyle name="Labels - Opmaakprofiel3 2 20 2 2 2" xfId="9288"/>
    <cellStyle name="Labels - Opmaakprofiel3 2 20 2 2 2 2" xfId="21586"/>
    <cellStyle name="Labels - Opmaakprofiel3 2 20 2 2 2 3" xfId="33638"/>
    <cellStyle name="Labels - Opmaakprofiel3 2 20 2 2 2 4" xfId="34506"/>
    <cellStyle name="Labels - Opmaakprofiel3 2 20 2 2 2 5" xfId="54253"/>
    <cellStyle name="Labels - Opmaakprofiel3 2 20 2 2 3" xfId="14665"/>
    <cellStyle name="Labels - Opmaakprofiel3 2 20 2 2 4" xfId="26717"/>
    <cellStyle name="Labels - Opmaakprofiel3 2 20 2 2 5" xfId="39841"/>
    <cellStyle name="Labels - Opmaakprofiel3 2 20 2 2 6" xfId="48263"/>
    <cellStyle name="Labels - Opmaakprofiel3 2 20 2 3" xfId="2962"/>
    <cellStyle name="Labels - Opmaakprofiel3 2 20 2 3 2" xfId="9289"/>
    <cellStyle name="Labels - Opmaakprofiel3 2 20 2 3 2 2" xfId="21587"/>
    <cellStyle name="Labels - Opmaakprofiel3 2 20 2 3 2 3" xfId="33639"/>
    <cellStyle name="Labels - Opmaakprofiel3 2 20 2 3 2 4" xfId="42754"/>
    <cellStyle name="Labels - Opmaakprofiel3 2 20 2 3 2 5" xfId="54254"/>
    <cellStyle name="Labels - Opmaakprofiel3 2 20 2 3 3" xfId="14666"/>
    <cellStyle name="Labels - Opmaakprofiel3 2 20 2 3 4" xfId="26718"/>
    <cellStyle name="Labels - Opmaakprofiel3 2 20 2 3 5" xfId="45592"/>
    <cellStyle name="Labels - Opmaakprofiel3 2 20 2 3 6" xfId="48264"/>
    <cellStyle name="Labels - Opmaakprofiel3 2 20 2 4" xfId="3808"/>
    <cellStyle name="Labels - Opmaakprofiel3 2 20 2 4 2" xfId="9290"/>
    <cellStyle name="Labels - Opmaakprofiel3 2 20 2 4 2 2" xfId="21588"/>
    <cellStyle name="Labels - Opmaakprofiel3 2 20 2 4 2 3" xfId="33640"/>
    <cellStyle name="Labels - Opmaakprofiel3 2 20 2 4 2 4" xfId="27782"/>
    <cellStyle name="Labels - Opmaakprofiel3 2 20 2 4 2 5" xfId="54255"/>
    <cellStyle name="Labels - Opmaakprofiel3 2 20 2 4 3" xfId="14667"/>
    <cellStyle name="Labels - Opmaakprofiel3 2 20 2 4 4" xfId="26719"/>
    <cellStyle name="Labels - Opmaakprofiel3 2 20 2 4 5" xfId="39840"/>
    <cellStyle name="Labels - Opmaakprofiel3 2 20 2 4 6" xfId="48265"/>
    <cellStyle name="Labels - Opmaakprofiel3 2 20 2 5" xfId="5074"/>
    <cellStyle name="Labels - Opmaakprofiel3 2 20 2 5 2" xfId="9291"/>
    <cellStyle name="Labels - Opmaakprofiel3 2 20 2 5 2 2" xfId="21589"/>
    <cellStyle name="Labels - Opmaakprofiel3 2 20 2 5 2 3" xfId="33641"/>
    <cellStyle name="Labels - Opmaakprofiel3 2 20 2 5 2 4" xfId="27783"/>
    <cellStyle name="Labels - Opmaakprofiel3 2 20 2 5 2 5" xfId="54256"/>
    <cellStyle name="Labels - Opmaakprofiel3 2 20 2 5 3" xfId="14668"/>
    <cellStyle name="Labels - Opmaakprofiel3 2 20 2 5 4" xfId="26720"/>
    <cellStyle name="Labels - Opmaakprofiel3 2 20 2 5 5" xfId="45591"/>
    <cellStyle name="Labels - Opmaakprofiel3 2 20 2 5 6" xfId="48266"/>
    <cellStyle name="Labels - Opmaakprofiel3 2 20 2 6" xfId="5075"/>
    <cellStyle name="Labels - Opmaakprofiel3 2 20 2 6 2" xfId="9292"/>
    <cellStyle name="Labels - Opmaakprofiel3 2 20 2 6 2 2" xfId="21590"/>
    <cellStyle name="Labels - Opmaakprofiel3 2 20 2 6 2 3" xfId="33642"/>
    <cellStyle name="Labels - Opmaakprofiel3 2 20 2 6 2 4" xfId="42753"/>
    <cellStyle name="Labels - Opmaakprofiel3 2 20 2 6 2 5" xfId="54257"/>
    <cellStyle name="Labels - Opmaakprofiel3 2 20 2 6 3" xfId="14669"/>
    <cellStyle name="Labels - Opmaakprofiel3 2 20 2 6 4" xfId="26721"/>
    <cellStyle name="Labels - Opmaakprofiel3 2 20 2 6 5" xfId="39839"/>
    <cellStyle name="Labels - Opmaakprofiel3 2 20 2 6 6" xfId="48267"/>
    <cellStyle name="Labels - Opmaakprofiel3 2 20 2 7" xfId="5076"/>
    <cellStyle name="Labels - Opmaakprofiel3 2 20 2 7 2" xfId="14670"/>
    <cellStyle name="Labels - Opmaakprofiel3 2 20 2 7 3" xfId="26722"/>
    <cellStyle name="Labels - Opmaakprofiel3 2 20 2 7 4" xfId="45590"/>
    <cellStyle name="Labels - Opmaakprofiel3 2 20 2 7 5" xfId="48268"/>
    <cellStyle name="Labels - Opmaakprofiel3 2 20 2 8" xfId="7344"/>
    <cellStyle name="Labels - Opmaakprofiel3 2 20 2 8 2" xfId="19642"/>
    <cellStyle name="Labels - Opmaakprofiel3 2 20 2 8 3" xfId="41445"/>
    <cellStyle name="Labels - Opmaakprofiel3 2 20 2 8 4" xfId="43548"/>
    <cellStyle name="Labels - Opmaakprofiel3 2 20 2 8 5" xfId="52314"/>
    <cellStyle name="Labels - Opmaakprofiel3 2 20 2 9" xfId="14664"/>
    <cellStyle name="Labels - Opmaakprofiel3 2 20 3" xfId="1047"/>
    <cellStyle name="Labels - Opmaakprofiel3 2 20 3 2" xfId="1888"/>
    <cellStyle name="Labels - Opmaakprofiel3 2 20 3 2 2" xfId="9293"/>
    <cellStyle name="Labels - Opmaakprofiel3 2 20 3 2 2 2" xfId="21591"/>
    <cellStyle name="Labels - Opmaakprofiel3 2 20 3 2 2 3" xfId="33643"/>
    <cellStyle name="Labels - Opmaakprofiel3 2 20 3 2 2 4" xfId="31714"/>
    <cellStyle name="Labels - Opmaakprofiel3 2 20 3 2 2 5" xfId="54258"/>
    <cellStyle name="Labels - Opmaakprofiel3 2 20 3 2 3" xfId="14672"/>
    <cellStyle name="Labels - Opmaakprofiel3 2 20 3 2 4" xfId="26724"/>
    <cellStyle name="Labels - Opmaakprofiel3 2 20 3 2 5" xfId="45589"/>
    <cellStyle name="Labels - Opmaakprofiel3 2 20 3 2 6" xfId="48269"/>
    <cellStyle name="Labels - Opmaakprofiel3 2 20 3 3" xfId="3058"/>
    <cellStyle name="Labels - Opmaakprofiel3 2 20 3 3 2" xfId="9294"/>
    <cellStyle name="Labels - Opmaakprofiel3 2 20 3 3 2 2" xfId="21592"/>
    <cellStyle name="Labels - Opmaakprofiel3 2 20 3 3 2 3" xfId="33644"/>
    <cellStyle name="Labels - Opmaakprofiel3 2 20 3 3 2 4" xfId="42752"/>
    <cellStyle name="Labels - Opmaakprofiel3 2 20 3 3 2 5" xfId="54259"/>
    <cellStyle name="Labels - Opmaakprofiel3 2 20 3 3 3" xfId="14673"/>
    <cellStyle name="Labels - Opmaakprofiel3 2 20 3 3 4" xfId="26725"/>
    <cellStyle name="Labels - Opmaakprofiel3 2 20 3 3 5" xfId="39837"/>
    <cellStyle name="Labels - Opmaakprofiel3 2 20 3 3 6" xfId="48270"/>
    <cellStyle name="Labels - Opmaakprofiel3 2 20 3 4" xfId="3899"/>
    <cellStyle name="Labels - Opmaakprofiel3 2 20 3 4 2" xfId="9295"/>
    <cellStyle name="Labels - Opmaakprofiel3 2 20 3 4 2 2" xfId="21593"/>
    <cellStyle name="Labels - Opmaakprofiel3 2 20 3 4 2 3" xfId="33645"/>
    <cellStyle name="Labels - Opmaakprofiel3 2 20 3 4 2 4" xfId="31810"/>
    <cellStyle name="Labels - Opmaakprofiel3 2 20 3 4 2 5" xfId="54260"/>
    <cellStyle name="Labels - Opmaakprofiel3 2 20 3 4 3" xfId="14674"/>
    <cellStyle name="Labels - Opmaakprofiel3 2 20 3 4 4" xfId="26726"/>
    <cellStyle name="Labels - Opmaakprofiel3 2 20 3 4 5" xfId="45588"/>
    <cellStyle name="Labels - Opmaakprofiel3 2 20 3 4 6" xfId="48271"/>
    <cellStyle name="Labels - Opmaakprofiel3 2 20 3 5" xfId="5077"/>
    <cellStyle name="Labels - Opmaakprofiel3 2 20 3 5 2" xfId="9296"/>
    <cellStyle name="Labels - Opmaakprofiel3 2 20 3 5 2 2" xfId="21594"/>
    <cellStyle name="Labels - Opmaakprofiel3 2 20 3 5 2 3" xfId="33646"/>
    <cellStyle name="Labels - Opmaakprofiel3 2 20 3 5 2 4" xfId="42751"/>
    <cellStyle name="Labels - Opmaakprofiel3 2 20 3 5 2 5" xfId="54261"/>
    <cellStyle name="Labels - Opmaakprofiel3 2 20 3 5 3" xfId="14675"/>
    <cellStyle name="Labels - Opmaakprofiel3 2 20 3 5 4" xfId="26727"/>
    <cellStyle name="Labels - Opmaakprofiel3 2 20 3 5 5" xfId="39836"/>
    <cellStyle name="Labels - Opmaakprofiel3 2 20 3 5 6" xfId="48272"/>
    <cellStyle name="Labels - Opmaakprofiel3 2 20 3 6" xfId="5078"/>
    <cellStyle name="Labels - Opmaakprofiel3 2 20 3 6 2" xfId="9297"/>
    <cellStyle name="Labels - Opmaakprofiel3 2 20 3 6 2 2" xfId="21595"/>
    <cellStyle name="Labels - Opmaakprofiel3 2 20 3 6 2 3" xfId="33647"/>
    <cellStyle name="Labels - Opmaakprofiel3 2 20 3 6 2 4" xfId="27788"/>
    <cellStyle name="Labels - Opmaakprofiel3 2 20 3 6 2 5" xfId="54262"/>
    <cellStyle name="Labels - Opmaakprofiel3 2 20 3 6 3" xfId="14676"/>
    <cellStyle name="Labels - Opmaakprofiel3 2 20 3 6 4" xfId="26728"/>
    <cellStyle name="Labels - Opmaakprofiel3 2 20 3 6 5" xfId="39835"/>
    <cellStyle name="Labels - Opmaakprofiel3 2 20 3 6 6" xfId="48273"/>
    <cellStyle name="Labels - Opmaakprofiel3 2 20 3 7" xfId="5079"/>
    <cellStyle name="Labels - Opmaakprofiel3 2 20 3 7 2" xfId="14677"/>
    <cellStyle name="Labels - Opmaakprofiel3 2 20 3 7 3" xfId="26729"/>
    <cellStyle name="Labels - Opmaakprofiel3 2 20 3 7 4" xfId="39834"/>
    <cellStyle name="Labels - Opmaakprofiel3 2 20 3 7 5" xfId="48274"/>
    <cellStyle name="Labels - Opmaakprofiel3 2 20 3 8" xfId="7278"/>
    <cellStyle name="Labels - Opmaakprofiel3 2 20 3 8 2" xfId="19576"/>
    <cellStyle name="Labels - Opmaakprofiel3 2 20 3 8 3" xfId="41379"/>
    <cellStyle name="Labels - Opmaakprofiel3 2 20 3 8 4" xfId="43576"/>
    <cellStyle name="Labels - Opmaakprofiel3 2 20 3 8 5" xfId="52248"/>
    <cellStyle name="Labels - Opmaakprofiel3 2 20 3 9" xfId="14671"/>
    <cellStyle name="Labels - Opmaakprofiel3 2 20 4" xfId="563"/>
    <cellStyle name="Labels - Opmaakprofiel3 2 20 4 2" xfId="1813"/>
    <cellStyle name="Labels - Opmaakprofiel3 2 20 4 2 2" xfId="9298"/>
    <cellStyle name="Labels - Opmaakprofiel3 2 20 4 2 2 2" xfId="21596"/>
    <cellStyle name="Labels - Opmaakprofiel3 2 20 4 2 2 3" xfId="33648"/>
    <cellStyle name="Labels - Opmaakprofiel3 2 20 4 2 2 4" xfId="42750"/>
    <cellStyle name="Labels - Opmaakprofiel3 2 20 4 2 2 5" xfId="54263"/>
    <cellStyle name="Labels - Opmaakprofiel3 2 20 4 2 3" xfId="14679"/>
    <cellStyle name="Labels - Opmaakprofiel3 2 20 4 2 4" xfId="26731"/>
    <cellStyle name="Labels - Opmaakprofiel3 2 20 4 2 5" xfId="39833"/>
    <cellStyle name="Labels - Opmaakprofiel3 2 20 4 2 6" xfId="48275"/>
    <cellStyle name="Labels - Opmaakprofiel3 2 20 4 3" xfId="2634"/>
    <cellStyle name="Labels - Opmaakprofiel3 2 20 4 3 2" xfId="9299"/>
    <cellStyle name="Labels - Opmaakprofiel3 2 20 4 3 2 2" xfId="21597"/>
    <cellStyle name="Labels - Opmaakprofiel3 2 20 4 3 2 3" xfId="33649"/>
    <cellStyle name="Labels - Opmaakprofiel3 2 20 4 3 2 4" xfId="27789"/>
    <cellStyle name="Labels - Opmaakprofiel3 2 20 4 3 2 5" xfId="54264"/>
    <cellStyle name="Labels - Opmaakprofiel3 2 20 4 3 3" xfId="14680"/>
    <cellStyle name="Labels - Opmaakprofiel3 2 20 4 3 4" xfId="26732"/>
    <cellStyle name="Labels - Opmaakprofiel3 2 20 4 3 5" xfId="45586"/>
    <cellStyle name="Labels - Opmaakprofiel3 2 20 4 3 6" xfId="48276"/>
    <cellStyle name="Labels - Opmaakprofiel3 2 20 4 4" xfId="3512"/>
    <cellStyle name="Labels - Opmaakprofiel3 2 20 4 4 2" xfId="9300"/>
    <cellStyle name="Labels - Opmaakprofiel3 2 20 4 4 2 2" xfId="21598"/>
    <cellStyle name="Labels - Opmaakprofiel3 2 20 4 4 2 3" xfId="33650"/>
    <cellStyle name="Labels - Opmaakprofiel3 2 20 4 4 2 4" xfId="42749"/>
    <cellStyle name="Labels - Opmaakprofiel3 2 20 4 4 2 5" xfId="54265"/>
    <cellStyle name="Labels - Opmaakprofiel3 2 20 4 4 3" xfId="14681"/>
    <cellStyle name="Labels - Opmaakprofiel3 2 20 4 4 4" xfId="26733"/>
    <cellStyle name="Labels - Opmaakprofiel3 2 20 4 4 5" xfId="39832"/>
    <cellStyle name="Labels - Opmaakprofiel3 2 20 4 4 6" xfId="48277"/>
    <cellStyle name="Labels - Opmaakprofiel3 2 20 4 5" xfId="5080"/>
    <cellStyle name="Labels - Opmaakprofiel3 2 20 4 5 2" xfId="9301"/>
    <cellStyle name="Labels - Opmaakprofiel3 2 20 4 5 2 2" xfId="21599"/>
    <cellStyle name="Labels - Opmaakprofiel3 2 20 4 5 2 3" xfId="33651"/>
    <cellStyle name="Labels - Opmaakprofiel3 2 20 4 5 2 4" xfId="31990"/>
    <cellStyle name="Labels - Opmaakprofiel3 2 20 4 5 2 5" xfId="54266"/>
    <cellStyle name="Labels - Opmaakprofiel3 2 20 4 5 3" xfId="14682"/>
    <cellStyle name="Labels - Opmaakprofiel3 2 20 4 5 4" xfId="26734"/>
    <cellStyle name="Labels - Opmaakprofiel3 2 20 4 5 5" xfId="45585"/>
    <cellStyle name="Labels - Opmaakprofiel3 2 20 4 5 6" xfId="48278"/>
    <cellStyle name="Labels - Opmaakprofiel3 2 20 4 6" xfId="5081"/>
    <cellStyle name="Labels - Opmaakprofiel3 2 20 4 6 2" xfId="9302"/>
    <cellStyle name="Labels - Opmaakprofiel3 2 20 4 6 2 2" xfId="21600"/>
    <cellStyle name="Labels - Opmaakprofiel3 2 20 4 6 2 3" xfId="33652"/>
    <cellStyle name="Labels - Opmaakprofiel3 2 20 4 6 2 4" xfId="31798"/>
    <cellStyle name="Labels - Opmaakprofiel3 2 20 4 6 2 5" xfId="54267"/>
    <cellStyle name="Labels - Opmaakprofiel3 2 20 4 6 3" xfId="14683"/>
    <cellStyle name="Labels - Opmaakprofiel3 2 20 4 6 4" xfId="26735"/>
    <cellStyle name="Labels - Opmaakprofiel3 2 20 4 6 5" xfId="39831"/>
    <cellStyle name="Labels - Opmaakprofiel3 2 20 4 6 6" xfId="48279"/>
    <cellStyle name="Labels - Opmaakprofiel3 2 20 4 7" xfId="5082"/>
    <cellStyle name="Labels - Opmaakprofiel3 2 20 4 7 2" xfId="14684"/>
    <cellStyle name="Labels - Opmaakprofiel3 2 20 4 7 3" xfId="26736"/>
    <cellStyle name="Labels - Opmaakprofiel3 2 20 4 7 4" xfId="45584"/>
    <cellStyle name="Labels - Opmaakprofiel3 2 20 4 7 5" xfId="48280"/>
    <cellStyle name="Labels - Opmaakprofiel3 2 20 4 8" xfId="7606"/>
    <cellStyle name="Labels - Opmaakprofiel3 2 20 4 8 2" xfId="19904"/>
    <cellStyle name="Labels - Opmaakprofiel3 2 20 4 8 3" xfId="41707"/>
    <cellStyle name="Labels - Opmaakprofiel3 2 20 4 8 4" xfId="31627"/>
    <cellStyle name="Labels - Opmaakprofiel3 2 20 4 8 5" xfId="52576"/>
    <cellStyle name="Labels - Opmaakprofiel3 2 20 4 9" xfId="14678"/>
    <cellStyle name="Labels - Opmaakprofiel3 2 20 5" xfId="1218"/>
    <cellStyle name="Labels - Opmaakprofiel3 2 20 5 2" xfId="1689"/>
    <cellStyle name="Labels - Opmaakprofiel3 2 20 5 2 2" xfId="9303"/>
    <cellStyle name="Labels - Opmaakprofiel3 2 20 5 2 2 2" xfId="21601"/>
    <cellStyle name="Labels - Opmaakprofiel3 2 20 5 2 2 3" xfId="33653"/>
    <cellStyle name="Labels - Opmaakprofiel3 2 20 5 2 2 4" xfId="27794"/>
    <cellStyle name="Labels - Opmaakprofiel3 2 20 5 2 2 5" xfId="54268"/>
    <cellStyle name="Labels - Opmaakprofiel3 2 20 5 2 3" xfId="14686"/>
    <cellStyle name="Labels - Opmaakprofiel3 2 20 5 2 4" xfId="26738"/>
    <cellStyle name="Labels - Opmaakprofiel3 2 20 5 2 5" xfId="45583"/>
    <cellStyle name="Labels - Opmaakprofiel3 2 20 5 2 6" xfId="48281"/>
    <cellStyle name="Labels - Opmaakprofiel3 2 20 5 3" xfId="3229"/>
    <cellStyle name="Labels - Opmaakprofiel3 2 20 5 3 2" xfId="9304"/>
    <cellStyle name="Labels - Opmaakprofiel3 2 20 5 3 2 2" xfId="21602"/>
    <cellStyle name="Labels - Opmaakprofiel3 2 20 5 3 2 3" xfId="33654"/>
    <cellStyle name="Labels - Opmaakprofiel3 2 20 5 3 2 4" xfId="42748"/>
    <cellStyle name="Labels - Opmaakprofiel3 2 20 5 3 2 5" xfId="54269"/>
    <cellStyle name="Labels - Opmaakprofiel3 2 20 5 3 3" xfId="14687"/>
    <cellStyle name="Labels - Opmaakprofiel3 2 20 5 3 4" xfId="26739"/>
    <cellStyle name="Labels - Opmaakprofiel3 2 20 5 3 5" xfId="39829"/>
    <cellStyle name="Labels - Opmaakprofiel3 2 20 5 3 6" xfId="48282"/>
    <cellStyle name="Labels - Opmaakprofiel3 2 20 5 4" xfId="4044"/>
    <cellStyle name="Labels - Opmaakprofiel3 2 20 5 4 2" xfId="9305"/>
    <cellStyle name="Labels - Opmaakprofiel3 2 20 5 4 2 2" xfId="21603"/>
    <cellStyle name="Labels - Opmaakprofiel3 2 20 5 4 2 3" xfId="33655"/>
    <cellStyle name="Labels - Opmaakprofiel3 2 20 5 4 2 4" xfId="27795"/>
    <cellStyle name="Labels - Opmaakprofiel3 2 20 5 4 2 5" xfId="54270"/>
    <cellStyle name="Labels - Opmaakprofiel3 2 20 5 4 3" xfId="14688"/>
    <cellStyle name="Labels - Opmaakprofiel3 2 20 5 4 4" xfId="26740"/>
    <cellStyle name="Labels - Opmaakprofiel3 2 20 5 4 5" xfId="39828"/>
    <cellStyle name="Labels - Opmaakprofiel3 2 20 5 4 6" xfId="48283"/>
    <cellStyle name="Labels - Opmaakprofiel3 2 20 5 5" xfId="5083"/>
    <cellStyle name="Labels - Opmaakprofiel3 2 20 5 5 2" xfId="9306"/>
    <cellStyle name="Labels - Opmaakprofiel3 2 20 5 5 2 2" xfId="21604"/>
    <cellStyle name="Labels - Opmaakprofiel3 2 20 5 5 2 3" xfId="33656"/>
    <cellStyle name="Labels - Opmaakprofiel3 2 20 5 5 2 4" xfId="42747"/>
    <cellStyle name="Labels - Opmaakprofiel3 2 20 5 5 2 5" xfId="54271"/>
    <cellStyle name="Labels - Opmaakprofiel3 2 20 5 5 3" xfId="14689"/>
    <cellStyle name="Labels - Opmaakprofiel3 2 20 5 5 4" xfId="26741"/>
    <cellStyle name="Labels - Opmaakprofiel3 2 20 5 5 5" xfId="39827"/>
    <cellStyle name="Labels - Opmaakprofiel3 2 20 5 5 6" xfId="48284"/>
    <cellStyle name="Labels - Opmaakprofiel3 2 20 5 6" xfId="5084"/>
    <cellStyle name="Labels - Opmaakprofiel3 2 20 5 6 2" xfId="9307"/>
    <cellStyle name="Labels - Opmaakprofiel3 2 20 5 6 2 2" xfId="21605"/>
    <cellStyle name="Labels - Opmaakprofiel3 2 20 5 6 2 3" xfId="33657"/>
    <cellStyle name="Labels - Opmaakprofiel3 2 20 5 6 2 4" xfId="27796"/>
    <cellStyle name="Labels - Opmaakprofiel3 2 20 5 6 2 5" xfId="54272"/>
    <cellStyle name="Labels - Opmaakprofiel3 2 20 5 6 3" xfId="14690"/>
    <cellStyle name="Labels - Opmaakprofiel3 2 20 5 6 4" xfId="26742"/>
    <cellStyle name="Labels - Opmaakprofiel3 2 20 5 6 5" xfId="45582"/>
    <cellStyle name="Labels - Opmaakprofiel3 2 20 5 6 6" xfId="48285"/>
    <cellStyle name="Labels - Opmaakprofiel3 2 20 5 7" xfId="5085"/>
    <cellStyle name="Labels - Opmaakprofiel3 2 20 5 7 2" xfId="14691"/>
    <cellStyle name="Labels - Opmaakprofiel3 2 20 5 7 3" xfId="26743"/>
    <cellStyle name="Labels - Opmaakprofiel3 2 20 5 7 4" xfId="39826"/>
    <cellStyle name="Labels - Opmaakprofiel3 2 20 5 7 5" xfId="48286"/>
    <cellStyle name="Labels - Opmaakprofiel3 2 20 5 8" xfId="7156"/>
    <cellStyle name="Labels - Opmaakprofiel3 2 20 5 8 2" xfId="19454"/>
    <cellStyle name="Labels - Opmaakprofiel3 2 20 5 8 3" xfId="41257"/>
    <cellStyle name="Labels - Opmaakprofiel3 2 20 5 8 4" xfId="36943"/>
    <cellStyle name="Labels - Opmaakprofiel3 2 20 5 8 5" xfId="52126"/>
    <cellStyle name="Labels - Opmaakprofiel3 2 20 5 9" xfId="14685"/>
    <cellStyle name="Labels - Opmaakprofiel3 2 20 6" xfId="674"/>
    <cellStyle name="Labels - Opmaakprofiel3 2 20 6 2" xfId="1668"/>
    <cellStyle name="Labels - Opmaakprofiel3 2 20 6 2 2" xfId="9308"/>
    <cellStyle name="Labels - Opmaakprofiel3 2 20 6 2 2 2" xfId="21606"/>
    <cellStyle name="Labels - Opmaakprofiel3 2 20 6 2 2 3" xfId="33658"/>
    <cellStyle name="Labels - Opmaakprofiel3 2 20 6 2 2 4" xfId="42746"/>
    <cellStyle name="Labels - Opmaakprofiel3 2 20 6 2 2 5" xfId="54273"/>
    <cellStyle name="Labels - Opmaakprofiel3 2 20 6 2 3" xfId="14693"/>
    <cellStyle name="Labels - Opmaakprofiel3 2 20 6 2 4" xfId="26745"/>
    <cellStyle name="Labels - Opmaakprofiel3 2 20 6 2 5" xfId="39825"/>
    <cellStyle name="Labels - Opmaakprofiel3 2 20 6 2 6" xfId="48287"/>
    <cellStyle name="Labels - Opmaakprofiel3 2 20 6 3" xfId="2740"/>
    <cellStyle name="Labels - Opmaakprofiel3 2 20 6 3 2" xfId="9309"/>
    <cellStyle name="Labels - Opmaakprofiel3 2 20 6 3 2 2" xfId="21607"/>
    <cellStyle name="Labels - Opmaakprofiel3 2 20 6 3 2 3" xfId="33659"/>
    <cellStyle name="Labels - Opmaakprofiel3 2 20 6 3 2 4" xfId="31469"/>
    <cellStyle name="Labels - Opmaakprofiel3 2 20 6 3 2 5" xfId="54274"/>
    <cellStyle name="Labels - Opmaakprofiel3 2 20 6 3 3" xfId="14694"/>
    <cellStyle name="Labels - Opmaakprofiel3 2 20 6 3 4" xfId="26746"/>
    <cellStyle name="Labels - Opmaakprofiel3 2 20 6 3 5" xfId="45581"/>
    <cellStyle name="Labels - Opmaakprofiel3 2 20 6 3 6" xfId="48288"/>
    <cellStyle name="Labels - Opmaakprofiel3 2 20 6 4" xfId="3607"/>
    <cellStyle name="Labels - Opmaakprofiel3 2 20 6 4 2" xfId="9310"/>
    <cellStyle name="Labels - Opmaakprofiel3 2 20 6 4 2 2" xfId="21608"/>
    <cellStyle name="Labels - Opmaakprofiel3 2 20 6 4 2 3" xfId="33660"/>
    <cellStyle name="Labels - Opmaakprofiel3 2 20 6 4 2 4" xfId="42745"/>
    <cellStyle name="Labels - Opmaakprofiel3 2 20 6 4 2 5" xfId="54275"/>
    <cellStyle name="Labels - Opmaakprofiel3 2 20 6 4 3" xfId="14695"/>
    <cellStyle name="Labels - Opmaakprofiel3 2 20 6 4 4" xfId="26747"/>
    <cellStyle name="Labels - Opmaakprofiel3 2 20 6 4 5" xfId="39824"/>
    <cellStyle name="Labels - Opmaakprofiel3 2 20 6 4 6" xfId="48289"/>
    <cellStyle name="Labels - Opmaakprofiel3 2 20 6 5" xfId="5086"/>
    <cellStyle name="Labels - Opmaakprofiel3 2 20 6 5 2" xfId="9311"/>
    <cellStyle name="Labels - Opmaakprofiel3 2 20 6 5 2 2" xfId="21609"/>
    <cellStyle name="Labels - Opmaakprofiel3 2 20 6 5 2 3" xfId="33661"/>
    <cellStyle name="Labels - Opmaakprofiel3 2 20 6 5 2 4" xfId="31822"/>
    <cellStyle name="Labels - Opmaakprofiel3 2 20 6 5 2 5" xfId="54276"/>
    <cellStyle name="Labels - Opmaakprofiel3 2 20 6 5 3" xfId="14696"/>
    <cellStyle name="Labels - Opmaakprofiel3 2 20 6 5 4" xfId="26748"/>
    <cellStyle name="Labels - Opmaakprofiel3 2 20 6 5 5" xfId="45580"/>
    <cellStyle name="Labels - Opmaakprofiel3 2 20 6 5 6" xfId="48290"/>
    <cellStyle name="Labels - Opmaakprofiel3 2 20 6 6" xfId="5087"/>
    <cellStyle name="Labels - Opmaakprofiel3 2 20 6 6 2" xfId="9312"/>
    <cellStyle name="Labels - Opmaakprofiel3 2 20 6 6 2 2" xfId="21610"/>
    <cellStyle name="Labels - Opmaakprofiel3 2 20 6 6 2 3" xfId="33662"/>
    <cellStyle name="Labels - Opmaakprofiel3 2 20 6 6 2 4" xfId="42744"/>
    <cellStyle name="Labels - Opmaakprofiel3 2 20 6 6 2 5" xfId="54277"/>
    <cellStyle name="Labels - Opmaakprofiel3 2 20 6 6 3" xfId="14697"/>
    <cellStyle name="Labels - Opmaakprofiel3 2 20 6 6 4" xfId="26749"/>
    <cellStyle name="Labels - Opmaakprofiel3 2 20 6 6 5" xfId="39823"/>
    <cellStyle name="Labels - Opmaakprofiel3 2 20 6 6 6" xfId="48291"/>
    <cellStyle name="Labels - Opmaakprofiel3 2 20 6 7" xfId="5088"/>
    <cellStyle name="Labels - Opmaakprofiel3 2 20 6 7 2" xfId="14698"/>
    <cellStyle name="Labels - Opmaakprofiel3 2 20 6 7 3" xfId="26750"/>
    <cellStyle name="Labels - Opmaakprofiel3 2 20 6 7 4" xfId="45579"/>
    <cellStyle name="Labels - Opmaakprofiel3 2 20 6 7 5" xfId="48292"/>
    <cellStyle name="Labels - Opmaakprofiel3 2 20 6 8" xfId="7533"/>
    <cellStyle name="Labels - Opmaakprofiel3 2 20 6 8 2" xfId="19831"/>
    <cellStyle name="Labels - Opmaakprofiel3 2 20 6 8 3" xfId="41634"/>
    <cellStyle name="Labels - Opmaakprofiel3 2 20 6 8 4" xfId="12508"/>
    <cellStyle name="Labels - Opmaakprofiel3 2 20 6 8 5" xfId="52503"/>
    <cellStyle name="Labels - Opmaakprofiel3 2 20 6 9" xfId="14692"/>
    <cellStyle name="Labels - Opmaakprofiel3 2 20 7" xfId="1647"/>
    <cellStyle name="Labels - Opmaakprofiel3 2 20 7 2" xfId="9313"/>
    <cellStyle name="Labels - Opmaakprofiel3 2 20 7 2 2" xfId="21611"/>
    <cellStyle name="Labels - Opmaakprofiel3 2 20 7 2 3" xfId="33663"/>
    <cellStyle name="Labels - Opmaakprofiel3 2 20 7 2 4" xfId="27801"/>
    <cellStyle name="Labels - Opmaakprofiel3 2 20 7 2 5" xfId="54278"/>
    <cellStyle name="Labels - Opmaakprofiel3 2 20 7 3" xfId="14699"/>
    <cellStyle name="Labels - Opmaakprofiel3 2 20 7 4" xfId="26751"/>
    <cellStyle name="Labels - Opmaakprofiel3 2 20 7 5" xfId="39822"/>
    <cellStyle name="Labels - Opmaakprofiel3 2 20 7 6" xfId="48293"/>
    <cellStyle name="Labels - Opmaakprofiel3 2 20 8" xfId="2816"/>
    <cellStyle name="Labels - Opmaakprofiel3 2 20 8 2" xfId="9314"/>
    <cellStyle name="Labels - Opmaakprofiel3 2 20 8 2 2" xfId="21612"/>
    <cellStyle name="Labels - Opmaakprofiel3 2 20 8 2 3" xfId="33664"/>
    <cellStyle name="Labels - Opmaakprofiel3 2 20 8 2 4" xfId="27802"/>
    <cellStyle name="Labels - Opmaakprofiel3 2 20 8 2 5" xfId="54279"/>
    <cellStyle name="Labels - Opmaakprofiel3 2 20 8 3" xfId="14700"/>
    <cellStyle name="Labels - Opmaakprofiel3 2 20 8 4" xfId="26752"/>
    <cellStyle name="Labels - Opmaakprofiel3 2 20 8 5" xfId="39821"/>
    <cellStyle name="Labels - Opmaakprofiel3 2 20 8 6" xfId="48294"/>
    <cellStyle name="Labels - Opmaakprofiel3 2 20 9" xfId="3675"/>
    <cellStyle name="Labels - Opmaakprofiel3 2 20 9 2" xfId="9315"/>
    <cellStyle name="Labels - Opmaakprofiel3 2 20 9 2 2" xfId="21613"/>
    <cellStyle name="Labels - Opmaakprofiel3 2 20 9 2 3" xfId="33665"/>
    <cellStyle name="Labels - Opmaakprofiel3 2 20 9 2 4" xfId="34251"/>
    <cellStyle name="Labels - Opmaakprofiel3 2 20 9 2 5" xfId="54280"/>
    <cellStyle name="Labels - Opmaakprofiel3 2 20 9 3" xfId="14701"/>
    <cellStyle name="Labels - Opmaakprofiel3 2 20 9 4" xfId="26753"/>
    <cellStyle name="Labels - Opmaakprofiel3 2 20 9 5" xfId="39820"/>
    <cellStyle name="Labels - Opmaakprofiel3 2 20 9 6" xfId="48295"/>
    <cellStyle name="Labels - Opmaakprofiel3 2 21" xfId="711"/>
    <cellStyle name="Labels - Opmaakprofiel3 2 21 10" xfId="5089"/>
    <cellStyle name="Labels - Opmaakprofiel3 2 21 10 2" xfId="9316"/>
    <cellStyle name="Labels - Opmaakprofiel3 2 21 10 2 2" xfId="21614"/>
    <cellStyle name="Labels - Opmaakprofiel3 2 21 10 2 3" xfId="33666"/>
    <cellStyle name="Labels - Opmaakprofiel3 2 21 10 2 4" xfId="42743"/>
    <cellStyle name="Labels - Opmaakprofiel3 2 21 10 2 5" xfId="54281"/>
    <cellStyle name="Labels - Opmaakprofiel3 2 21 10 3" xfId="14703"/>
    <cellStyle name="Labels - Opmaakprofiel3 2 21 10 4" xfId="26755"/>
    <cellStyle name="Labels - Opmaakprofiel3 2 21 10 5" xfId="39819"/>
    <cellStyle name="Labels - Opmaakprofiel3 2 21 10 6" xfId="48296"/>
    <cellStyle name="Labels - Opmaakprofiel3 2 21 11" xfId="5090"/>
    <cellStyle name="Labels - Opmaakprofiel3 2 21 11 2" xfId="9317"/>
    <cellStyle name="Labels - Opmaakprofiel3 2 21 11 2 2" xfId="21615"/>
    <cellStyle name="Labels - Opmaakprofiel3 2 21 11 2 3" xfId="33667"/>
    <cellStyle name="Labels - Opmaakprofiel3 2 21 11 2 4" xfId="34509"/>
    <cellStyle name="Labels - Opmaakprofiel3 2 21 11 2 5" xfId="54282"/>
    <cellStyle name="Labels - Opmaakprofiel3 2 21 11 3" xfId="14704"/>
    <cellStyle name="Labels - Opmaakprofiel3 2 21 11 4" xfId="26756"/>
    <cellStyle name="Labels - Opmaakprofiel3 2 21 11 5" xfId="45577"/>
    <cellStyle name="Labels - Opmaakprofiel3 2 21 11 6" xfId="48297"/>
    <cellStyle name="Labels - Opmaakprofiel3 2 21 12" xfId="5091"/>
    <cellStyle name="Labels - Opmaakprofiel3 2 21 12 2" xfId="14705"/>
    <cellStyle name="Labels - Opmaakprofiel3 2 21 12 3" xfId="26757"/>
    <cellStyle name="Labels - Opmaakprofiel3 2 21 12 4" xfId="39818"/>
    <cellStyle name="Labels - Opmaakprofiel3 2 21 12 5" xfId="48298"/>
    <cellStyle name="Labels - Opmaakprofiel3 2 21 13" xfId="7506"/>
    <cellStyle name="Labels - Opmaakprofiel3 2 21 13 2" xfId="19804"/>
    <cellStyle name="Labels - Opmaakprofiel3 2 21 13 3" xfId="41607"/>
    <cellStyle name="Labels - Opmaakprofiel3 2 21 13 4" xfId="43480"/>
    <cellStyle name="Labels - Opmaakprofiel3 2 21 13 5" xfId="52476"/>
    <cellStyle name="Labels - Opmaakprofiel3 2 21 14" xfId="14702"/>
    <cellStyle name="Labels - Opmaakprofiel3 2 21 2" xfId="884"/>
    <cellStyle name="Labels - Opmaakprofiel3 2 21 2 2" xfId="1565"/>
    <cellStyle name="Labels - Opmaakprofiel3 2 21 2 2 2" xfId="9318"/>
    <cellStyle name="Labels - Opmaakprofiel3 2 21 2 2 2 2" xfId="21616"/>
    <cellStyle name="Labels - Opmaakprofiel3 2 21 2 2 2 3" xfId="33668"/>
    <cellStyle name="Labels - Opmaakprofiel3 2 21 2 2 2 4" xfId="42742"/>
    <cellStyle name="Labels - Opmaakprofiel3 2 21 2 2 2 5" xfId="54283"/>
    <cellStyle name="Labels - Opmaakprofiel3 2 21 2 2 3" xfId="14707"/>
    <cellStyle name="Labels - Opmaakprofiel3 2 21 2 2 4" xfId="26759"/>
    <cellStyle name="Labels - Opmaakprofiel3 2 21 2 2 5" xfId="39817"/>
    <cellStyle name="Labels - Opmaakprofiel3 2 21 2 2 6" xfId="48299"/>
    <cellStyle name="Labels - Opmaakprofiel3 2 21 2 3" xfId="2895"/>
    <cellStyle name="Labels - Opmaakprofiel3 2 21 2 3 2" xfId="9319"/>
    <cellStyle name="Labels - Opmaakprofiel3 2 21 2 3 2 2" xfId="21617"/>
    <cellStyle name="Labels - Opmaakprofiel3 2 21 2 3 2 3" xfId="33669"/>
    <cellStyle name="Labels - Opmaakprofiel3 2 21 2 3 2 4" xfId="27807"/>
    <cellStyle name="Labels - Opmaakprofiel3 2 21 2 3 2 5" xfId="54284"/>
    <cellStyle name="Labels - Opmaakprofiel3 2 21 2 3 3" xfId="14708"/>
    <cellStyle name="Labels - Opmaakprofiel3 2 21 2 3 4" xfId="26760"/>
    <cellStyle name="Labels - Opmaakprofiel3 2 21 2 3 5" xfId="45575"/>
    <cellStyle name="Labels - Opmaakprofiel3 2 21 2 3 6" xfId="48300"/>
    <cellStyle name="Labels - Opmaakprofiel3 2 21 2 4" xfId="3748"/>
    <cellStyle name="Labels - Opmaakprofiel3 2 21 2 4 2" xfId="9320"/>
    <cellStyle name="Labels - Opmaakprofiel3 2 21 2 4 2 2" xfId="21618"/>
    <cellStyle name="Labels - Opmaakprofiel3 2 21 2 4 2 3" xfId="33670"/>
    <cellStyle name="Labels - Opmaakprofiel3 2 21 2 4 2 4" xfId="42741"/>
    <cellStyle name="Labels - Opmaakprofiel3 2 21 2 4 2 5" xfId="54285"/>
    <cellStyle name="Labels - Opmaakprofiel3 2 21 2 4 3" xfId="14709"/>
    <cellStyle name="Labels - Opmaakprofiel3 2 21 2 4 4" xfId="26761"/>
    <cellStyle name="Labels - Opmaakprofiel3 2 21 2 4 5" xfId="39816"/>
    <cellStyle name="Labels - Opmaakprofiel3 2 21 2 4 6" xfId="48301"/>
    <cellStyle name="Labels - Opmaakprofiel3 2 21 2 5" xfId="5092"/>
    <cellStyle name="Labels - Opmaakprofiel3 2 21 2 5 2" xfId="9321"/>
    <cellStyle name="Labels - Opmaakprofiel3 2 21 2 5 2 2" xfId="21619"/>
    <cellStyle name="Labels - Opmaakprofiel3 2 21 2 5 2 3" xfId="33671"/>
    <cellStyle name="Labels - Opmaakprofiel3 2 21 2 5 2 4" xfId="27808"/>
    <cellStyle name="Labels - Opmaakprofiel3 2 21 2 5 2 5" xfId="54286"/>
    <cellStyle name="Labels - Opmaakprofiel3 2 21 2 5 3" xfId="14710"/>
    <cellStyle name="Labels - Opmaakprofiel3 2 21 2 5 4" xfId="26762"/>
    <cellStyle name="Labels - Opmaakprofiel3 2 21 2 5 5" xfId="45574"/>
    <cellStyle name="Labels - Opmaakprofiel3 2 21 2 5 6" xfId="48302"/>
    <cellStyle name="Labels - Opmaakprofiel3 2 21 2 6" xfId="5093"/>
    <cellStyle name="Labels - Opmaakprofiel3 2 21 2 6 2" xfId="9322"/>
    <cellStyle name="Labels - Opmaakprofiel3 2 21 2 6 2 2" xfId="21620"/>
    <cellStyle name="Labels - Opmaakprofiel3 2 21 2 6 2 3" xfId="33672"/>
    <cellStyle name="Labels - Opmaakprofiel3 2 21 2 6 2 4" xfId="42740"/>
    <cellStyle name="Labels - Opmaakprofiel3 2 21 2 6 2 5" xfId="54287"/>
    <cellStyle name="Labels - Opmaakprofiel3 2 21 2 6 3" xfId="14711"/>
    <cellStyle name="Labels - Opmaakprofiel3 2 21 2 6 4" xfId="26763"/>
    <cellStyle name="Labels - Opmaakprofiel3 2 21 2 6 5" xfId="39815"/>
    <cellStyle name="Labels - Opmaakprofiel3 2 21 2 6 6" xfId="48303"/>
    <cellStyle name="Labels - Opmaakprofiel3 2 21 2 7" xfId="5094"/>
    <cellStyle name="Labels - Opmaakprofiel3 2 21 2 7 2" xfId="14712"/>
    <cellStyle name="Labels - Opmaakprofiel3 2 21 2 7 3" xfId="26764"/>
    <cellStyle name="Labels - Opmaakprofiel3 2 21 2 7 4" xfId="39814"/>
    <cellStyle name="Labels - Opmaakprofiel3 2 21 2 7 5" xfId="48304"/>
    <cellStyle name="Labels - Opmaakprofiel3 2 21 2 8" xfId="7389"/>
    <cellStyle name="Labels - Opmaakprofiel3 2 21 2 8 2" xfId="19687"/>
    <cellStyle name="Labels - Opmaakprofiel3 2 21 2 8 3" xfId="41490"/>
    <cellStyle name="Labels - Opmaakprofiel3 2 21 2 8 4" xfId="15583"/>
    <cellStyle name="Labels - Opmaakprofiel3 2 21 2 8 5" xfId="52359"/>
    <cellStyle name="Labels - Opmaakprofiel3 2 21 2 9" xfId="14706"/>
    <cellStyle name="Labels - Opmaakprofiel3 2 21 3" xfId="984"/>
    <cellStyle name="Labels - Opmaakprofiel3 2 21 3 2" xfId="2261"/>
    <cellStyle name="Labels - Opmaakprofiel3 2 21 3 2 2" xfId="9323"/>
    <cellStyle name="Labels - Opmaakprofiel3 2 21 3 2 2 2" xfId="21621"/>
    <cellStyle name="Labels - Opmaakprofiel3 2 21 3 2 2 3" xfId="33673"/>
    <cellStyle name="Labels - Opmaakprofiel3 2 21 3 2 2 4" xfId="31595"/>
    <cellStyle name="Labels - Opmaakprofiel3 2 21 3 2 2 5" xfId="54288"/>
    <cellStyle name="Labels - Opmaakprofiel3 2 21 3 2 3" xfId="14714"/>
    <cellStyle name="Labels - Opmaakprofiel3 2 21 3 2 4" xfId="26766"/>
    <cellStyle name="Labels - Opmaakprofiel3 2 21 3 2 5" xfId="45573"/>
    <cellStyle name="Labels - Opmaakprofiel3 2 21 3 2 6" xfId="48305"/>
    <cellStyle name="Labels - Opmaakprofiel3 2 21 3 3" xfId="2995"/>
    <cellStyle name="Labels - Opmaakprofiel3 2 21 3 3 2" xfId="9324"/>
    <cellStyle name="Labels - Opmaakprofiel3 2 21 3 3 2 2" xfId="21622"/>
    <cellStyle name="Labels - Opmaakprofiel3 2 21 3 3 2 3" xfId="33674"/>
    <cellStyle name="Labels - Opmaakprofiel3 2 21 3 3 2 4" xfId="42739"/>
    <cellStyle name="Labels - Opmaakprofiel3 2 21 3 3 2 5" xfId="54289"/>
    <cellStyle name="Labels - Opmaakprofiel3 2 21 3 3 3" xfId="14715"/>
    <cellStyle name="Labels - Opmaakprofiel3 2 21 3 3 4" xfId="26767"/>
    <cellStyle name="Labels - Opmaakprofiel3 2 21 3 3 5" xfId="39812"/>
    <cellStyle name="Labels - Opmaakprofiel3 2 21 3 3 6" xfId="48306"/>
    <cellStyle name="Labels - Opmaakprofiel3 2 21 3 4" xfId="3841"/>
    <cellStyle name="Labels - Opmaakprofiel3 2 21 3 4 2" xfId="9325"/>
    <cellStyle name="Labels - Opmaakprofiel3 2 21 3 4 2 2" xfId="21623"/>
    <cellStyle name="Labels - Opmaakprofiel3 2 21 3 4 2 3" xfId="33675"/>
    <cellStyle name="Labels - Opmaakprofiel3 2 21 3 4 2 4" xfId="31814"/>
    <cellStyle name="Labels - Opmaakprofiel3 2 21 3 4 2 5" xfId="54290"/>
    <cellStyle name="Labels - Opmaakprofiel3 2 21 3 4 3" xfId="14716"/>
    <cellStyle name="Labels - Opmaakprofiel3 2 21 3 4 4" xfId="26768"/>
    <cellStyle name="Labels - Opmaakprofiel3 2 21 3 4 5" xfId="45572"/>
    <cellStyle name="Labels - Opmaakprofiel3 2 21 3 4 6" xfId="48307"/>
    <cellStyle name="Labels - Opmaakprofiel3 2 21 3 5" xfId="5095"/>
    <cellStyle name="Labels - Opmaakprofiel3 2 21 3 5 2" xfId="9326"/>
    <cellStyle name="Labels - Opmaakprofiel3 2 21 3 5 2 2" xfId="21624"/>
    <cellStyle name="Labels - Opmaakprofiel3 2 21 3 5 2 3" xfId="33676"/>
    <cellStyle name="Labels - Opmaakprofiel3 2 21 3 5 2 4" xfId="32143"/>
    <cellStyle name="Labels - Opmaakprofiel3 2 21 3 5 2 5" xfId="54291"/>
    <cellStyle name="Labels - Opmaakprofiel3 2 21 3 5 3" xfId="14717"/>
    <cellStyle name="Labels - Opmaakprofiel3 2 21 3 5 4" xfId="26769"/>
    <cellStyle name="Labels - Opmaakprofiel3 2 21 3 5 5" xfId="39811"/>
    <cellStyle name="Labels - Opmaakprofiel3 2 21 3 5 6" xfId="48308"/>
    <cellStyle name="Labels - Opmaakprofiel3 2 21 3 6" xfId="5096"/>
    <cellStyle name="Labels - Opmaakprofiel3 2 21 3 6 2" xfId="9327"/>
    <cellStyle name="Labels - Opmaakprofiel3 2 21 3 6 2 2" xfId="21625"/>
    <cellStyle name="Labels - Opmaakprofiel3 2 21 3 6 2 3" xfId="33677"/>
    <cellStyle name="Labels - Opmaakprofiel3 2 21 3 6 2 4" xfId="27818"/>
    <cellStyle name="Labels - Opmaakprofiel3 2 21 3 6 2 5" xfId="54292"/>
    <cellStyle name="Labels - Opmaakprofiel3 2 21 3 6 3" xfId="14718"/>
    <cellStyle name="Labels - Opmaakprofiel3 2 21 3 6 4" xfId="26770"/>
    <cellStyle name="Labels - Opmaakprofiel3 2 21 3 6 5" xfId="45571"/>
    <cellStyle name="Labels - Opmaakprofiel3 2 21 3 6 6" xfId="48309"/>
    <cellStyle name="Labels - Opmaakprofiel3 2 21 3 7" xfId="5097"/>
    <cellStyle name="Labels - Opmaakprofiel3 2 21 3 7 2" xfId="14719"/>
    <cellStyle name="Labels - Opmaakprofiel3 2 21 3 7 3" xfId="26771"/>
    <cellStyle name="Labels - Opmaakprofiel3 2 21 3 7 4" xfId="39810"/>
    <cellStyle name="Labels - Opmaakprofiel3 2 21 3 7 5" xfId="48310"/>
    <cellStyle name="Labels - Opmaakprofiel3 2 21 3 8" xfId="10009"/>
    <cellStyle name="Labels - Opmaakprofiel3 2 21 3 8 2" xfId="22307"/>
    <cellStyle name="Labels - Opmaakprofiel3 2 21 3 8 3" xfId="44072"/>
    <cellStyle name="Labels - Opmaakprofiel3 2 21 3 8 4" xfId="28429"/>
    <cellStyle name="Labels - Opmaakprofiel3 2 21 3 8 5" xfId="54974"/>
    <cellStyle name="Labels - Opmaakprofiel3 2 21 3 9" xfId="14713"/>
    <cellStyle name="Labels - Opmaakprofiel3 2 21 4" xfId="954"/>
    <cellStyle name="Labels - Opmaakprofiel3 2 21 4 2" xfId="2350"/>
    <cellStyle name="Labels - Opmaakprofiel3 2 21 4 2 2" xfId="9328"/>
    <cellStyle name="Labels - Opmaakprofiel3 2 21 4 2 2 2" xfId="21626"/>
    <cellStyle name="Labels - Opmaakprofiel3 2 21 4 2 2 3" xfId="33678"/>
    <cellStyle name="Labels - Opmaakprofiel3 2 21 4 2 2 4" xfId="42738"/>
    <cellStyle name="Labels - Opmaakprofiel3 2 21 4 2 2 5" xfId="54293"/>
    <cellStyle name="Labels - Opmaakprofiel3 2 21 4 2 3" xfId="14721"/>
    <cellStyle name="Labels - Opmaakprofiel3 2 21 4 2 4" xfId="26773"/>
    <cellStyle name="Labels - Opmaakprofiel3 2 21 4 2 5" xfId="39809"/>
    <cellStyle name="Labels - Opmaakprofiel3 2 21 4 2 6" xfId="48311"/>
    <cellStyle name="Labels - Opmaakprofiel3 2 21 4 3" xfId="2965"/>
    <cellStyle name="Labels - Opmaakprofiel3 2 21 4 3 2" xfId="9329"/>
    <cellStyle name="Labels - Opmaakprofiel3 2 21 4 3 2 2" xfId="21627"/>
    <cellStyle name="Labels - Opmaakprofiel3 2 21 4 3 2 3" xfId="33679"/>
    <cellStyle name="Labels - Opmaakprofiel3 2 21 4 3 2 4" xfId="32142"/>
    <cellStyle name="Labels - Opmaakprofiel3 2 21 4 3 2 5" xfId="54294"/>
    <cellStyle name="Labels - Opmaakprofiel3 2 21 4 3 3" xfId="14722"/>
    <cellStyle name="Labels - Opmaakprofiel3 2 21 4 3 4" xfId="26774"/>
    <cellStyle name="Labels - Opmaakprofiel3 2 21 4 3 5" xfId="45569"/>
    <cellStyle name="Labels - Opmaakprofiel3 2 21 4 3 6" xfId="48312"/>
    <cellStyle name="Labels - Opmaakprofiel3 2 21 4 4" xfId="3811"/>
    <cellStyle name="Labels - Opmaakprofiel3 2 21 4 4 2" xfId="9330"/>
    <cellStyle name="Labels - Opmaakprofiel3 2 21 4 4 2 2" xfId="21628"/>
    <cellStyle name="Labels - Opmaakprofiel3 2 21 4 4 2 3" xfId="33680"/>
    <cellStyle name="Labels - Opmaakprofiel3 2 21 4 4 2 4" xfId="42737"/>
    <cellStyle name="Labels - Opmaakprofiel3 2 21 4 4 2 5" xfId="54295"/>
    <cellStyle name="Labels - Opmaakprofiel3 2 21 4 4 3" xfId="14723"/>
    <cellStyle name="Labels - Opmaakprofiel3 2 21 4 4 4" xfId="26775"/>
    <cellStyle name="Labels - Opmaakprofiel3 2 21 4 4 5" xfId="39808"/>
    <cellStyle name="Labels - Opmaakprofiel3 2 21 4 4 6" xfId="48313"/>
    <cellStyle name="Labels - Opmaakprofiel3 2 21 4 5" xfId="5098"/>
    <cellStyle name="Labels - Opmaakprofiel3 2 21 4 5 2" xfId="9331"/>
    <cellStyle name="Labels - Opmaakprofiel3 2 21 4 5 2 2" xfId="21629"/>
    <cellStyle name="Labels - Opmaakprofiel3 2 21 4 5 2 3" xfId="33681"/>
    <cellStyle name="Labels - Opmaakprofiel3 2 21 4 5 2 4" xfId="27824"/>
    <cellStyle name="Labels - Opmaakprofiel3 2 21 4 5 2 5" xfId="54296"/>
    <cellStyle name="Labels - Opmaakprofiel3 2 21 4 5 3" xfId="14724"/>
    <cellStyle name="Labels - Opmaakprofiel3 2 21 4 5 4" xfId="26776"/>
    <cellStyle name="Labels - Opmaakprofiel3 2 21 4 5 5" xfId="39807"/>
    <cellStyle name="Labels - Opmaakprofiel3 2 21 4 5 6" xfId="48314"/>
    <cellStyle name="Labels - Opmaakprofiel3 2 21 4 6" xfId="5099"/>
    <cellStyle name="Labels - Opmaakprofiel3 2 21 4 6 2" xfId="9332"/>
    <cellStyle name="Labels - Opmaakprofiel3 2 21 4 6 2 2" xfId="21630"/>
    <cellStyle name="Labels - Opmaakprofiel3 2 21 4 6 2 3" xfId="33682"/>
    <cellStyle name="Labels - Opmaakprofiel3 2 21 4 6 2 4" xfId="42736"/>
    <cellStyle name="Labels - Opmaakprofiel3 2 21 4 6 2 5" xfId="54297"/>
    <cellStyle name="Labels - Opmaakprofiel3 2 21 4 6 3" xfId="14725"/>
    <cellStyle name="Labels - Opmaakprofiel3 2 21 4 6 4" xfId="26777"/>
    <cellStyle name="Labels - Opmaakprofiel3 2 21 4 6 5" xfId="39806"/>
    <cellStyle name="Labels - Opmaakprofiel3 2 21 4 6 6" xfId="48315"/>
    <cellStyle name="Labels - Opmaakprofiel3 2 21 4 7" xfId="5100"/>
    <cellStyle name="Labels - Opmaakprofiel3 2 21 4 7 2" xfId="14726"/>
    <cellStyle name="Labels - Opmaakprofiel3 2 21 4 7 3" xfId="26778"/>
    <cellStyle name="Labels - Opmaakprofiel3 2 21 4 7 4" xfId="45568"/>
    <cellStyle name="Labels - Opmaakprofiel3 2 21 4 7 5" xfId="48316"/>
    <cellStyle name="Labels - Opmaakprofiel3 2 21 4 8" xfId="10033"/>
    <cellStyle name="Labels - Opmaakprofiel3 2 21 4 8 2" xfId="22331"/>
    <cellStyle name="Labels - Opmaakprofiel3 2 21 4 8 3" xfId="44095"/>
    <cellStyle name="Labels - Opmaakprofiel3 2 21 4 8 4" xfId="31854"/>
    <cellStyle name="Labels - Opmaakprofiel3 2 21 4 8 5" xfId="54998"/>
    <cellStyle name="Labels - Opmaakprofiel3 2 21 4 9" xfId="14720"/>
    <cellStyle name="Labels - Opmaakprofiel3 2 21 5" xfId="1158"/>
    <cellStyle name="Labels - Opmaakprofiel3 2 21 5 2" xfId="2024"/>
    <cellStyle name="Labels - Opmaakprofiel3 2 21 5 2 2" xfId="9333"/>
    <cellStyle name="Labels - Opmaakprofiel3 2 21 5 2 2 2" xfId="21631"/>
    <cellStyle name="Labels - Opmaakprofiel3 2 21 5 2 2 3" xfId="33683"/>
    <cellStyle name="Labels - Opmaakprofiel3 2 21 5 2 2 4" xfId="32134"/>
    <cellStyle name="Labels - Opmaakprofiel3 2 21 5 2 2 5" xfId="54298"/>
    <cellStyle name="Labels - Opmaakprofiel3 2 21 5 2 3" xfId="14728"/>
    <cellStyle name="Labels - Opmaakprofiel3 2 21 5 2 4" xfId="26780"/>
    <cellStyle name="Labels - Opmaakprofiel3 2 21 5 2 5" xfId="45567"/>
    <cellStyle name="Labels - Opmaakprofiel3 2 21 5 2 6" xfId="48317"/>
    <cellStyle name="Labels - Opmaakprofiel3 2 21 5 3" xfId="3169"/>
    <cellStyle name="Labels - Opmaakprofiel3 2 21 5 3 2" xfId="9334"/>
    <cellStyle name="Labels - Opmaakprofiel3 2 21 5 3 2 2" xfId="21632"/>
    <cellStyle name="Labels - Opmaakprofiel3 2 21 5 3 2 3" xfId="33684"/>
    <cellStyle name="Labels - Opmaakprofiel3 2 21 5 3 2 4" xfId="42735"/>
    <cellStyle name="Labels - Opmaakprofiel3 2 21 5 3 2 5" xfId="54299"/>
    <cellStyle name="Labels - Opmaakprofiel3 2 21 5 3 3" xfId="14729"/>
    <cellStyle name="Labels - Opmaakprofiel3 2 21 5 3 4" xfId="26781"/>
    <cellStyle name="Labels - Opmaakprofiel3 2 21 5 3 5" xfId="39804"/>
    <cellStyle name="Labels - Opmaakprofiel3 2 21 5 3 6" xfId="48318"/>
    <cellStyle name="Labels - Opmaakprofiel3 2 21 5 4" xfId="3991"/>
    <cellStyle name="Labels - Opmaakprofiel3 2 21 5 4 2" xfId="9335"/>
    <cellStyle name="Labels - Opmaakprofiel3 2 21 5 4 2 2" xfId="21633"/>
    <cellStyle name="Labels - Opmaakprofiel3 2 21 5 4 2 3" xfId="33685"/>
    <cellStyle name="Labels - Opmaakprofiel3 2 21 5 4 2 4" xfId="27829"/>
    <cellStyle name="Labels - Opmaakprofiel3 2 21 5 4 2 5" xfId="54300"/>
    <cellStyle name="Labels - Opmaakprofiel3 2 21 5 4 3" xfId="14730"/>
    <cellStyle name="Labels - Opmaakprofiel3 2 21 5 4 4" xfId="26782"/>
    <cellStyle name="Labels - Opmaakprofiel3 2 21 5 4 5" xfId="39803"/>
    <cellStyle name="Labels - Opmaakprofiel3 2 21 5 4 6" xfId="48319"/>
    <cellStyle name="Labels - Opmaakprofiel3 2 21 5 5" xfId="5101"/>
    <cellStyle name="Labels - Opmaakprofiel3 2 21 5 5 2" xfId="9336"/>
    <cellStyle name="Labels - Opmaakprofiel3 2 21 5 5 2 2" xfId="21634"/>
    <cellStyle name="Labels - Opmaakprofiel3 2 21 5 5 2 3" xfId="33686"/>
    <cellStyle name="Labels - Opmaakprofiel3 2 21 5 5 2 4" xfId="42734"/>
    <cellStyle name="Labels - Opmaakprofiel3 2 21 5 5 2 5" xfId="54301"/>
    <cellStyle name="Labels - Opmaakprofiel3 2 21 5 5 3" xfId="14731"/>
    <cellStyle name="Labels - Opmaakprofiel3 2 21 5 5 4" xfId="26783"/>
    <cellStyle name="Labels - Opmaakprofiel3 2 21 5 5 5" xfId="45566"/>
    <cellStyle name="Labels - Opmaakprofiel3 2 21 5 5 6" xfId="48320"/>
    <cellStyle name="Labels - Opmaakprofiel3 2 21 5 6" xfId="5102"/>
    <cellStyle name="Labels - Opmaakprofiel3 2 21 5 6 2" xfId="9337"/>
    <cellStyle name="Labels - Opmaakprofiel3 2 21 5 6 2 2" xfId="21635"/>
    <cellStyle name="Labels - Opmaakprofiel3 2 21 5 6 2 3" xfId="33687"/>
    <cellStyle name="Labels - Opmaakprofiel3 2 21 5 6 2 4" xfId="27830"/>
    <cellStyle name="Labels - Opmaakprofiel3 2 21 5 6 2 5" xfId="54302"/>
    <cellStyle name="Labels - Opmaakprofiel3 2 21 5 6 3" xfId="14732"/>
    <cellStyle name="Labels - Opmaakprofiel3 2 21 5 6 4" xfId="26784"/>
    <cellStyle name="Labels - Opmaakprofiel3 2 21 5 6 5" xfId="39802"/>
    <cellStyle name="Labels - Opmaakprofiel3 2 21 5 6 6" xfId="48321"/>
    <cellStyle name="Labels - Opmaakprofiel3 2 21 5 7" xfId="5103"/>
    <cellStyle name="Labels - Opmaakprofiel3 2 21 5 7 2" xfId="14733"/>
    <cellStyle name="Labels - Opmaakprofiel3 2 21 5 7 3" xfId="26785"/>
    <cellStyle name="Labels - Opmaakprofiel3 2 21 5 7 4" xfId="45565"/>
    <cellStyle name="Labels - Opmaakprofiel3 2 21 5 7 5" xfId="48322"/>
    <cellStyle name="Labels - Opmaakprofiel3 2 21 5 8" xfId="7204"/>
    <cellStyle name="Labels - Opmaakprofiel3 2 21 5 8 2" xfId="19502"/>
    <cellStyle name="Labels - Opmaakprofiel3 2 21 5 8 3" xfId="41305"/>
    <cellStyle name="Labels - Opmaakprofiel3 2 21 5 8 4" xfId="36915"/>
    <cellStyle name="Labels - Opmaakprofiel3 2 21 5 8 5" xfId="52174"/>
    <cellStyle name="Labels - Opmaakprofiel3 2 21 5 9" xfId="14727"/>
    <cellStyle name="Labels - Opmaakprofiel3 2 21 6" xfId="1195"/>
    <cellStyle name="Labels - Opmaakprofiel3 2 21 6 2" xfId="1797"/>
    <cellStyle name="Labels - Opmaakprofiel3 2 21 6 2 2" xfId="9338"/>
    <cellStyle name="Labels - Opmaakprofiel3 2 21 6 2 2 2" xfId="21636"/>
    <cellStyle name="Labels - Opmaakprofiel3 2 21 6 2 2 3" xfId="33688"/>
    <cellStyle name="Labels - Opmaakprofiel3 2 21 6 2 2 4" xfId="27831"/>
    <cellStyle name="Labels - Opmaakprofiel3 2 21 6 2 2 5" xfId="54303"/>
    <cellStyle name="Labels - Opmaakprofiel3 2 21 6 2 3" xfId="14735"/>
    <cellStyle name="Labels - Opmaakprofiel3 2 21 6 2 4" xfId="26787"/>
    <cellStyle name="Labels - Opmaakprofiel3 2 21 6 2 5" xfId="45564"/>
    <cellStyle name="Labels - Opmaakprofiel3 2 21 6 2 6" xfId="48323"/>
    <cellStyle name="Labels - Opmaakprofiel3 2 21 6 3" xfId="3206"/>
    <cellStyle name="Labels - Opmaakprofiel3 2 21 6 3 2" xfId="9339"/>
    <cellStyle name="Labels - Opmaakprofiel3 2 21 6 3 2 2" xfId="21637"/>
    <cellStyle name="Labels - Opmaakprofiel3 2 21 6 3 2 3" xfId="33689"/>
    <cellStyle name="Labels - Opmaakprofiel3 2 21 6 3 2 4" xfId="34629"/>
    <cellStyle name="Labels - Opmaakprofiel3 2 21 6 3 2 5" xfId="54304"/>
    <cellStyle name="Labels - Opmaakprofiel3 2 21 6 3 3" xfId="14736"/>
    <cellStyle name="Labels - Opmaakprofiel3 2 21 6 3 4" xfId="26788"/>
    <cellStyle name="Labels - Opmaakprofiel3 2 21 6 3 5" xfId="39800"/>
    <cellStyle name="Labels - Opmaakprofiel3 2 21 6 3 6" xfId="48324"/>
    <cellStyle name="Labels - Opmaakprofiel3 2 21 6 4" xfId="4024"/>
    <cellStyle name="Labels - Opmaakprofiel3 2 21 6 4 2" xfId="9340"/>
    <cellStyle name="Labels - Opmaakprofiel3 2 21 6 4 2 2" xfId="21638"/>
    <cellStyle name="Labels - Opmaakprofiel3 2 21 6 4 2 3" xfId="33690"/>
    <cellStyle name="Labels - Opmaakprofiel3 2 21 6 4 2 4" xfId="42733"/>
    <cellStyle name="Labels - Opmaakprofiel3 2 21 6 4 2 5" xfId="54305"/>
    <cellStyle name="Labels - Opmaakprofiel3 2 21 6 4 3" xfId="14737"/>
    <cellStyle name="Labels - Opmaakprofiel3 2 21 6 4 4" xfId="26789"/>
    <cellStyle name="Labels - Opmaakprofiel3 2 21 6 4 5" xfId="39799"/>
    <cellStyle name="Labels - Opmaakprofiel3 2 21 6 4 6" xfId="48325"/>
    <cellStyle name="Labels - Opmaakprofiel3 2 21 6 5" xfId="5104"/>
    <cellStyle name="Labels - Opmaakprofiel3 2 21 6 5 2" xfId="9341"/>
    <cellStyle name="Labels - Opmaakprofiel3 2 21 6 5 2 2" xfId="21639"/>
    <cellStyle name="Labels - Opmaakprofiel3 2 21 6 5 2 3" xfId="33691"/>
    <cellStyle name="Labels - Opmaakprofiel3 2 21 6 5 2 4" xfId="27834"/>
    <cellStyle name="Labels - Opmaakprofiel3 2 21 6 5 2 5" xfId="54306"/>
    <cellStyle name="Labels - Opmaakprofiel3 2 21 6 5 3" xfId="14738"/>
    <cellStyle name="Labels - Opmaakprofiel3 2 21 6 5 4" xfId="26790"/>
    <cellStyle name="Labels - Opmaakprofiel3 2 21 6 5 5" xfId="45563"/>
    <cellStyle name="Labels - Opmaakprofiel3 2 21 6 5 6" xfId="48326"/>
    <cellStyle name="Labels - Opmaakprofiel3 2 21 6 6" xfId="5105"/>
    <cellStyle name="Labels - Opmaakprofiel3 2 21 6 6 2" xfId="9342"/>
    <cellStyle name="Labels - Opmaakprofiel3 2 21 6 6 2 2" xfId="21640"/>
    <cellStyle name="Labels - Opmaakprofiel3 2 21 6 6 2 3" xfId="33692"/>
    <cellStyle name="Labels - Opmaakprofiel3 2 21 6 6 2 4" xfId="42732"/>
    <cellStyle name="Labels - Opmaakprofiel3 2 21 6 6 2 5" xfId="54307"/>
    <cellStyle name="Labels - Opmaakprofiel3 2 21 6 6 3" xfId="14739"/>
    <cellStyle name="Labels - Opmaakprofiel3 2 21 6 6 4" xfId="26791"/>
    <cellStyle name="Labels - Opmaakprofiel3 2 21 6 6 5" xfId="39798"/>
    <cellStyle name="Labels - Opmaakprofiel3 2 21 6 6 6" xfId="48327"/>
    <cellStyle name="Labels - Opmaakprofiel3 2 21 6 7" xfId="5106"/>
    <cellStyle name="Labels - Opmaakprofiel3 2 21 6 7 2" xfId="14740"/>
    <cellStyle name="Labels - Opmaakprofiel3 2 21 6 7 3" xfId="26792"/>
    <cellStyle name="Labels - Opmaakprofiel3 2 21 6 7 4" xfId="45562"/>
    <cellStyle name="Labels - Opmaakprofiel3 2 21 6 7 5" xfId="48328"/>
    <cellStyle name="Labels - Opmaakprofiel3 2 21 6 8" xfId="7177"/>
    <cellStyle name="Labels - Opmaakprofiel3 2 21 6 8 2" xfId="19475"/>
    <cellStyle name="Labels - Opmaakprofiel3 2 21 6 8 3" xfId="41278"/>
    <cellStyle name="Labels - Opmaakprofiel3 2 21 6 8 4" xfId="36931"/>
    <cellStyle name="Labels - Opmaakprofiel3 2 21 6 8 5" xfId="52147"/>
    <cellStyle name="Labels - Opmaakprofiel3 2 21 6 9" xfId="14734"/>
    <cellStyle name="Labels - Opmaakprofiel3 2 21 7" xfId="1962"/>
    <cellStyle name="Labels - Opmaakprofiel3 2 21 7 2" xfId="9343"/>
    <cellStyle name="Labels - Opmaakprofiel3 2 21 7 2 2" xfId="21641"/>
    <cellStyle name="Labels - Opmaakprofiel3 2 21 7 2 3" xfId="33693"/>
    <cellStyle name="Labels - Opmaakprofiel3 2 21 7 2 4" xfId="31396"/>
    <cellStyle name="Labels - Opmaakprofiel3 2 21 7 2 5" xfId="54308"/>
    <cellStyle name="Labels - Opmaakprofiel3 2 21 7 3" xfId="14741"/>
    <cellStyle name="Labels - Opmaakprofiel3 2 21 7 4" xfId="26793"/>
    <cellStyle name="Labels - Opmaakprofiel3 2 21 7 5" xfId="39797"/>
    <cellStyle name="Labels - Opmaakprofiel3 2 21 7 6" xfId="48329"/>
    <cellStyle name="Labels - Opmaakprofiel3 2 21 8" xfId="2770"/>
    <cellStyle name="Labels - Opmaakprofiel3 2 21 8 2" xfId="9344"/>
    <cellStyle name="Labels - Opmaakprofiel3 2 21 8 2 2" xfId="21642"/>
    <cellStyle name="Labels - Opmaakprofiel3 2 21 8 2 3" xfId="33694"/>
    <cellStyle name="Labels - Opmaakprofiel3 2 21 8 2 4" xfId="42731"/>
    <cellStyle name="Labels - Opmaakprofiel3 2 21 8 2 5" xfId="54309"/>
    <cellStyle name="Labels - Opmaakprofiel3 2 21 8 3" xfId="14742"/>
    <cellStyle name="Labels - Opmaakprofiel3 2 21 8 4" xfId="26794"/>
    <cellStyle name="Labels - Opmaakprofiel3 2 21 8 5" xfId="45561"/>
    <cellStyle name="Labels - Opmaakprofiel3 2 21 8 6" xfId="48330"/>
    <cellStyle name="Labels - Opmaakprofiel3 2 21 9" xfId="3632"/>
    <cellStyle name="Labels - Opmaakprofiel3 2 21 9 2" xfId="9345"/>
    <cellStyle name="Labels - Opmaakprofiel3 2 21 9 2 2" xfId="21643"/>
    <cellStyle name="Labels - Opmaakprofiel3 2 21 9 2 3" xfId="33695"/>
    <cellStyle name="Labels - Opmaakprofiel3 2 21 9 2 4" xfId="32071"/>
    <cellStyle name="Labels - Opmaakprofiel3 2 21 9 2 5" xfId="54310"/>
    <cellStyle name="Labels - Opmaakprofiel3 2 21 9 3" xfId="14743"/>
    <cellStyle name="Labels - Opmaakprofiel3 2 21 9 4" xfId="26795"/>
    <cellStyle name="Labels - Opmaakprofiel3 2 21 9 5" xfId="39796"/>
    <cellStyle name="Labels - Opmaakprofiel3 2 21 9 6" xfId="48331"/>
    <cellStyle name="Labels - Opmaakprofiel3 2 22" xfId="712"/>
    <cellStyle name="Labels - Opmaakprofiel3 2 22 10" xfId="5107"/>
    <cellStyle name="Labels - Opmaakprofiel3 2 22 10 2" xfId="9346"/>
    <cellStyle name="Labels - Opmaakprofiel3 2 22 10 2 2" xfId="21644"/>
    <cellStyle name="Labels - Opmaakprofiel3 2 22 10 2 3" xfId="33696"/>
    <cellStyle name="Labels - Opmaakprofiel3 2 22 10 2 4" xfId="42730"/>
    <cellStyle name="Labels - Opmaakprofiel3 2 22 10 2 5" xfId="54311"/>
    <cellStyle name="Labels - Opmaakprofiel3 2 22 10 3" xfId="14745"/>
    <cellStyle name="Labels - Opmaakprofiel3 2 22 10 4" xfId="26797"/>
    <cellStyle name="Labels - Opmaakprofiel3 2 22 10 5" xfId="39795"/>
    <cellStyle name="Labels - Opmaakprofiel3 2 22 10 6" xfId="48332"/>
    <cellStyle name="Labels - Opmaakprofiel3 2 22 11" xfId="5108"/>
    <cellStyle name="Labels - Opmaakprofiel3 2 22 11 2" xfId="9347"/>
    <cellStyle name="Labels - Opmaakprofiel3 2 22 11 2 2" xfId="21645"/>
    <cellStyle name="Labels - Opmaakprofiel3 2 22 11 2 3" xfId="33697"/>
    <cellStyle name="Labels - Opmaakprofiel3 2 22 11 2 4" xfId="27839"/>
    <cellStyle name="Labels - Opmaakprofiel3 2 22 11 2 5" xfId="54312"/>
    <cellStyle name="Labels - Opmaakprofiel3 2 22 11 3" xfId="14746"/>
    <cellStyle name="Labels - Opmaakprofiel3 2 22 11 4" xfId="26798"/>
    <cellStyle name="Labels - Opmaakprofiel3 2 22 11 5" xfId="45560"/>
    <cellStyle name="Labels - Opmaakprofiel3 2 22 11 6" xfId="48333"/>
    <cellStyle name="Labels - Opmaakprofiel3 2 22 12" xfId="5109"/>
    <cellStyle name="Labels - Opmaakprofiel3 2 22 12 2" xfId="14747"/>
    <cellStyle name="Labels - Opmaakprofiel3 2 22 12 3" xfId="26799"/>
    <cellStyle name="Labels - Opmaakprofiel3 2 22 12 4" xfId="39794"/>
    <cellStyle name="Labels - Opmaakprofiel3 2 22 12 5" xfId="48334"/>
    <cellStyle name="Labels - Opmaakprofiel3 2 22 13" xfId="10196"/>
    <cellStyle name="Labels - Opmaakprofiel3 2 22 13 2" xfId="22494"/>
    <cellStyle name="Labels - Opmaakprofiel3 2 22 13 3" xfId="44257"/>
    <cellStyle name="Labels - Opmaakprofiel3 2 22 13 4" xfId="28808"/>
    <cellStyle name="Labels - Opmaakprofiel3 2 22 13 5" xfId="55161"/>
    <cellStyle name="Labels - Opmaakprofiel3 2 22 14" xfId="14744"/>
    <cellStyle name="Labels - Opmaakprofiel3 2 22 2" xfId="885"/>
    <cellStyle name="Labels - Opmaakprofiel3 2 22 2 2" xfId="1501"/>
    <cellStyle name="Labels - Opmaakprofiel3 2 22 2 2 2" xfId="9348"/>
    <cellStyle name="Labels - Opmaakprofiel3 2 22 2 2 2 2" xfId="21646"/>
    <cellStyle name="Labels - Opmaakprofiel3 2 22 2 2 2 3" xfId="33698"/>
    <cellStyle name="Labels - Opmaakprofiel3 2 22 2 2 2 4" xfId="42729"/>
    <cellStyle name="Labels - Opmaakprofiel3 2 22 2 2 2 5" xfId="54313"/>
    <cellStyle name="Labels - Opmaakprofiel3 2 22 2 2 3" xfId="14749"/>
    <cellStyle name="Labels - Opmaakprofiel3 2 22 2 2 4" xfId="26801"/>
    <cellStyle name="Labels - Opmaakprofiel3 2 22 2 2 5" xfId="39792"/>
    <cellStyle name="Labels - Opmaakprofiel3 2 22 2 2 6" xfId="48335"/>
    <cellStyle name="Labels - Opmaakprofiel3 2 22 2 3" xfId="2896"/>
    <cellStyle name="Labels - Opmaakprofiel3 2 22 2 3 2" xfId="9349"/>
    <cellStyle name="Labels - Opmaakprofiel3 2 22 2 3 2 2" xfId="21647"/>
    <cellStyle name="Labels - Opmaakprofiel3 2 22 2 3 2 3" xfId="33699"/>
    <cellStyle name="Labels - Opmaakprofiel3 2 22 2 3 2 4" xfId="27840"/>
    <cellStyle name="Labels - Opmaakprofiel3 2 22 2 3 2 5" xfId="54314"/>
    <cellStyle name="Labels - Opmaakprofiel3 2 22 2 3 3" xfId="14750"/>
    <cellStyle name="Labels - Opmaakprofiel3 2 22 2 3 4" xfId="26802"/>
    <cellStyle name="Labels - Opmaakprofiel3 2 22 2 3 5" xfId="45559"/>
    <cellStyle name="Labels - Opmaakprofiel3 2 22 2 3 6" xfId="48336"/>
    <cellStyle name="Labels - Opmaakprofiel3 2 22 2 4" xfId="3749"/>
    <cellStyle name="Labels - Opmaakprofiel3 2 22 2 4 2" xfId="9350"/>
    <cellStyle name="Labels - Opmaakprofiel3 2 22 2 4 2 2" xfId="21648"/>
    <cellStyle name="Labels - Opmaakprofiel3 2 22 2 4 2 3" xfId="33700"/>
    <cellStyle name="Labels - Opmaakprofiel3 2 22 2 4 2 4" xfId="31697"/>
    <cellStyle name="Labels - Opmaakprofiel3 2 22 2 4 2 5" xfId="54315"/>
    <cellStyle name="Labels - Opmaakprofiel3 2 22 2 4 3" xfId="14751"/>
    <cellStyle name="Labels - Opmaakprofiel3 2 22 2 4 4" xfId="26803"/>
    <cellStyle name="Labels - Opmaakprofiel3 2 22 2 4 5" xfId="39791"/>
    <cellStyle name="Labels - Opmaakprofiel3 2 22 2 4 6" xfId="48337"/>
    <cellStyle name="Labels - Opmaakprofiel3 2 22 2 5" xfId="5110"/>
    <cellStyle name="Labels - Opmaakprofiel3 2 22 2 5 2" xfId="9351"/>
    <cellStyle name="Labels - Opmaakprofiel3 2 22 2 5 2 2" xfId="21649"/>
    <cellStyle name="Labels - Opmaakprofiel3 2 22 2 5 2 3" xfId="33701"/>
    <cellStyle name="Labels - Opmaakprofiel3 2 22 2 5 2 4" xfId="27843"/>
    <cellStyle name="Labels - Opmaakprofiel3 2 22 2 5 2 5" xfId="54316"/>
    <cellStyle name="Labels - Opmaakprofiel3 2 22 2 5 3" xfId="14752"/>
    <cellStyle name="Labels - Opmaakprofiel3 2 22 2 5 4" xfId="26804"/>
    <cellStyle name="Labels - Opmaakprofiel3 2 22 2 5 5" xfId="45558"/>
    <cellStyle name="Labels - Opmaakprofiel3 2 22 2 5 6" xfId="48338"/>
    <cellStyle name="Labels - Opmaakprofiel3 2 22 2 6" xfId="5111"/>
    <cellStyle name="Labels - Opmaakprofiel3 2 22 2 6 2" xfId="9352"/>
    <cellStyle name="Labels - Opmaakprofiel3 2 22 2 6 2 2" xfId="21650"/>
    <cellStyle name="Labels - Opmaakprofiel3 2 22 2 6 2 3" xfId="33702"/>
    <cellStyle name="Labels - Opmaakprofiel3 2 22 2 6 2 4" xfId="42728"/>
    <cellStyle name="Labels - Opmaakprofiel3 2 22 2 6 2 5" xfId="54317"/>
    <cellStyle name="Labels - Opmaakprofiel3 2 22 2 6 3" xfId="14753"/>
    <cellStyle name="Labels - Opmaakprofiel3 2 22 2 6 4" xfId="26805"/>
    <cellStyle name="Labels - Opmaakprofiel3 2 22 2 6 5" xfId="39790"/>
    <cellStyle name="Labels - Opmaakprofiel3 2 22 2 6 6" xfId="48339"/>
    <cellStyle name="Labels - Opmaakprofiel3 2 22 2 7" xfId="5112"/>
    <cellStyle name="Labels - Opmaakprofiel3 2 22 2 7 2" xfId="14754"/>
    <cellStyle name="Labels - Opmaakprofiel3 2 22 2 7 3" xfId="26806"/>
    <cellStyle name="Labels - Opmaakprofiel3 2 22 2 7 4" xfId="45557"/>
    <cellStyle name="Labels - Opmaakprofiel3 2 22 2 7 5" xfId="48340"/>
    <cellStyle name="Labels - Opmaakprofiel3 2 22 2 8" xfId="7388"/>
    <cellStyle name="Labels - Opmaakprofiel3 2 22 2 8 2" xfId="19686"/>
    <cellStyle name="Labels - Opmaakprofiel3 2 22 2 8 3" xfId="41489"/>
    <cellStyle name="Labels - Opmaakprofiel3 2 22 2 8 4" xfId="43529"/>
    <cellStyle name="Labels - Opmaakprofiel3 2 22 2 8 5" xfId="52358"/>
    <cellStyle name="Labels - Opmaakprofiel3 2 22 2 9" xfId="14748"/>
    <cellStyle name="Labels - Opmaakprofiel3 2 22 3" xfId="985"/>
    <cellStyle name="Labels - Opmaakprofiel3 2 22 3 2" xfId="2138"/>
    <cellStyle name="Labels - Opmaakprofiel3 2 22 3 2 2" xfId="9353"/>
    <cellStyle name="Labels - Opmaakprofiel3 2 22 3 2 2 2" xfId="21651"/>
    <cellStyle name="Labels - Opmaakprofiel3 2 22 3 2 2 3" xfId="33703"/>
    <cellStyle name="Labels - Opmaakprofiel3 2 22 3 2 2 4" xfId="31426"/>
    <cellStyle name="Labels - Opmaakprofiel3 2 22 3 2 2 5" xfId="54318"/>
    <cellStyle name="Labels - Opmaakprofiel3 2 22 3 2 3" xfId="14756"/>
    <cellStyle name="Labels - Opmaakprofiel3 2 22 3 2 4" xfId="26808"/>
    <cellStyle name="Labels - Opmaakprofiel3 2 22 3 2 5" xfId="45556"/>
    <cellStyle name="Labels - Opmaakprofiel3 2 22 3 2 6" xfId="48341"/>
    <cellStyle name="Labels - Opmaakprofiel3 2 22 3 3" xfId="2996"/>
    <cellStyle name="Labels - Opmaakprofiel3 2 22 3 3 2" xfId="9354"/>
    <cellStyle name="Labels - Opmaakprofiel3 2 22 3 3 2 2" xfId="21652"/>
    <cellStyle name="Labels - Opmaakprofiel3 2 22 3 3 2 3" xfId="33704"/>
    <cellStyle name="Labels - Opmaakprofiel3 2 22 3 3 2 4" xfId="42727"/>
    <cellStyle name="Labels - Opmaakprofiel3 2 22 3 3 2 5" xfId="54319"/>
    <cellStyle name="Labels - Opmaakprofiel3 2 22 3 3 3" xfId="14757"/>
    <cellStyle name="Labels - Opmaakprofiel3 2 22 3 3 4" xfId="26809"/>
    <cellStyle name="Labels - Opmaakprofiel3 2 22 3 3 5" xfId="39788"/>
    <cellStyle name="Labels - Opmaakprofiel3 2 22 3 3 6" xfId="48342"/>
    <cellStyle name="Labels - Opmaakprofiel3 2 22 3 4" xfId="3842"/>
    <cellStyle name="Labels - Opmaakprofiel3 2 22 3 4 2" xfId="9355"/>
    <cellStyle name="Labels - Opmaakprofiel3 2 22 3 4 2 2" xfId="21653"/>
    <cellStyle name="Labels - Opmaakprofiel3 2 22 3 4 2 3" xfId="33705"/>
    <cellStyle name="Labels - Opmaakprofiel3 2 22 3 4 2 4" xfId="32080"/>
    <cellStyle name="Labels - Opmaakprofiel3 2 22 3 4 2 5" xfId="54320"/>
    <cellStyle name="Labels - Opmaakprofiel3 2 22 3 4 3" xfId="14758"/>
    <cellStyle name="Labels - Opmaakprofiel3 2 22 3 4 4" xfId="26810"/>
    <cellStyle name="Labels - Opmaakprofiel3 2 22 3 4 5" xfId="45555"/>
    <cellStyle name="Labels - Opmaakprofiel3 2 22 3 4 6" xfId="48343"/>
    <cellStyle name="Labels - Opmaakprofiel3 2 22 3 5" xfId="5113"/>
    <cellStyle name="Labels - Opmaakprofiel3 2 22 3 5 2" xfId="9356"/>
    <cellStyle name="Labels - Opmaakprofiel3 2 22 3 5 2 2" xfId="21654"/>
    <cellStyle name="Labels - Opmaakprofiel3 2 22 3 5 2 3" xfId="33706"/>
    <cellStyle name="Labels - Opmaakprofiel3 2 22 3 5 2 4" xfId="42726"/>
    <cellStyle name="Labels - Opmaakprofiel3 2 22 3 5 2 5" xfId="54321"/>
    <cellStyle name="Labels - Opmaakprofiel3 2 22 3 5 3" xfId="14759"/>
    <cellStyle name="Labels - Opmaakprofiel3 2 22 3 5 4" xfId="26811"/>
    <cellStyle name="Labels - Opmaakprofiel3 2 22 3 5 5" xfId="39787"/>
    <cellStyle name="Labels - Opmaakprofiel3 2 22 3 5 6" xfId="48344"/>
    <cellStyle name="Labels - Opmaakprofiel3 2 22 3 6" xfId="5114"/>
    <cellStyle name="Labels - Opmaakprofiel3 2 22 3 6 2" xfId="9357"/>
    <cellStyle name="Labels - Opmaakprofiel3 2 22 3 6 2 2" xfId="21655"/>
    <cellStyle name="Labels - Opmaakprofiel3 2 22 3 6 2 3" xfId="33707"/>
    <cellStyle name="Labels - Opmaakprofiel3 2 22 3 6 2 4" xfId="27848"/>
    <cellStyle name="Labels - Opmaakprofiel3 2 22 3 6 2 5" xfId="54322"/>
    <cellStyle name="Labels - Opmaakprofiel3 2 22 3 6 3" xfId="14760"/>
    <cellStyle name="Labels - Opmaakprofiel3 2 22 3 6 4" xfId="26812"/>
    <cellStyle name="Labels - Opmaakprofiel3 2 22 3 6 5" xfId="39786"/>
    <cellStyle name="Labels - Opmaakprofiel3 2 22 3 6 6" xfId="48345"/>
    <cellStyle name="Labels - Opmaakprofiel3 2 22 3 7" xfId="5115"/>
    <cellStyle name="Labels - Opmaakprofiel3 2 22 3 7 2" xfId="14761"/>
    <cellStyle name="Labels - Opmaakprofiel3 2 22 3 7 3" xfId="26813"/>
    <cellStyle name="Labels - Opmaakprofiel3 2 22 3 7 4" xfId="39785"/>
    <cellStyle name="Labels - Opmaakprofiel3 2 22 3 7 5" xfId="48346"/>
    <cellStyle name="Labels - Opmaakprofiel3 2 22 3 8" xfId="7322"/>
    <cellStyle name="Labels - Opmaakprofiel3 2 22 3 8 2" xfId="19620"/>
    <cellStyle name="Labels - Opmaakprofiel3 2 22 3 8 3" xfId="41423"/>
    <cellStyle name="Labels - Opmaakprofiel3 2 22 3 8 4" xfId="43557"/>
    <cellStyle name="Labels - Opmaakprofiel3 2 22 3 8 5" xfId="52292"/>
    <cellStyle name="Labels - Opmaakprofiel3 2 22 3 9" xfId="14755"/>
    <cellStyle name="Labels - Opmaakprofiel3 2 22 4" xfId="1134"/>
    <cellStyle name="Labels - Opmaakprofiel3 2 22 4 2" xfId="1785"/>
    <cellStyle name="Labels - Opmaakprofiel3 2 22 4 2 2" xfId="9358"/>
    <cellStyle name="Labels - Opmaakprofiel3 2 22 4 2 2 2" xfId="21656"/>
    <cellStyle name="Labels - Opmaakprofiel3 2 22 4 2 2 3" xfId="33708"/>
    <cellStyle name="Labels - Opmaakprofiel3 2 22 4 2 2 4" xfId="42725"/>
    <cellStyle name="Labels - Opmaakprofiel3 2 22 4 2 2 5" xfId="54323"/>
    <cellStyle name="Labels - Opmaakprofiel3 2 22 4 2 3" xfId="14763"/>
    <cellStyle name="Labels - Opmaakprofiel3 2 22 4 2 4" xfId="26815"/>
    <cellStyle name="Labels - Opmaakprofiel3 2 22 4 2 5" xfId="39784"/>
    <cellStyle name="Labels - Opmaakprofiel3 2 22 4 2 6" xfId="48347"/>
    <cellStyle name="Labels - Opmaakprofiel3 2 22 4 3" xfId="3145"/>
    <cellStyle name="Labels - Opmaakprofiel3 2 22 4 3 2" xfId="9359"/>
    <cellStyle name="Labels - Opmaakprofiel3 2 22 4 3 2 2" xfId="21657"/>
    <cellStyle name="Labels - Opmaakprofiel3 2 22 4 3 2 3" xfId="33709"/>
    <cellStyle name="Labels - Opmaakprofiel3 2 22 4 3 2 4" xfId="27849"/>
    <cellStyle name="Labels - Opmaakprofiel3 2 22 4 3 2 5" xfId="54324"/>
    <cellStyle name="Labels - Opmaakprofiel3 2 22 4 3 3" xfId="14764"/>
    <cellStyle name="Labels - Opmaakprofiel3 2 22 4 3 4" xfId="26816"/>
    <cellStyle name="Labels - Opmaakprofiel3 2 22 4 3 5" xfId="45553"/>
    <cellStyle name="Labels - Opmaakprofiel3 2 22 4 3 6" xfId="48348"/>
    <cellStyle name="Labels - Opmaakprofiel3 2 22 4 4" xfId="3973"/>
    <cellStyle name="Labels - Opmaakprofiel3 2 22 4 4 2" xfId="9360"/>
    <cellStyle name="Labels - Opmaakprofiel3 2 22 4 4 2 2" xfId="21658"/>
    <cellStyle name="Labels - Opmaakprofiel3 2 22 4 4 2 3" xfId="33710"/>
    <cellStyle name="Labels - Opmaakprofiel3 2 22 4 4 2 4" xfId="42724"/>
    <cellStyle name="Labels - Opmaakprofiel3 2 22 4 4 2 5" xfId="54325"/>
    <cellStyle name="Labels - Opmaakprofiel3 2 22 4 4 3" xfId="14765"/>
    <cellStyle name="Labels - Opmaakprofiel3 2 22 4 4 4" xfId="26817"/>
    <cellStyle name="Labels - Opmaakprofiel3 2 22 4 4 5" xfId="39783"/>
    <cellStyle name="Labels - Opmaakprofiel3 2 22 4 4 6" xfId="48349"/>
    <cellStyle name="Labels - Opmaakprofiel3 2 22 4 5" xfId="5116"/>
    <cellStyle name="Labels - Opmaakprofiel3 2 22 4 5 2" xfId="9361"/>
    <cellStyle name="Labels - Opmaakprofiel3 2 22 4 5 2 2" xfId="21659"/>
    <cellStyle name="Labels - Opmaakprofiel3 2 22 4 5 2 3" xfId="33711"/>
    <cellStyle name="Labels - Opmaakprofiel3 2 22 4 5 2 4" xfId="31914"/>
    <cellStyle name="Labels - Opmaakprofiel3 2 22 4 5 2 5" xfId="54326"/>
    <cellStyle name="Labels - Opmaakprofiel3 2 22 4 5 3" xfId="14766"/>
    <cellStyle name="Labels - Opmaakprofiel3 2 22 4 5 4" xfId="26818"/>
    <cellStyle name="Labels - Opmaakprofiel3 2 22 4 5 5" xfId="45552"/>
    <cellStyle name="Labels - Opmaakprofiel3 2 22 4 5 6" xfId="48350"/>
    <cellStyle name="Labels - Opmaakprofiel3 2 22 4 6" xfId="5117"/>
    <cellStyle name="Labels - Opmaakprofiel3 2 22 4 6 2" xfId="9362"/>
    <cellStyle name="Labels - Opmaakprofiel3 2 22 4 6 2 2" xfId="21660"/>
    <cellStyle name="Labels - Opmaakprofiel3 2 22 4 6 2 3" xfId="33712"/>
    <cellStyle name="Labels - Opmaakprofiel3 2 22 4 6 2 4" xfId="27852"/>
    <cellStyle name="Labels - Opmaakprofiel3 2 22 4 6 2 5" xfId="54327"/>
    <cellStyle name="Labels - Opmaakprofiel3 2 22 4 6 3" xfId="14767"/>
    <cellStyle name="Labels - Opmaakprofiel3 2 22 4 6 4" xfId="26819"/>
    <cellStyle name="Labels - Opmaakprofiel3 2 22 4 6 5" xfId="39782"/>
    <cellStyle name="Labels - Opmaakprofiel3 2 22 4 6 6" xfId="48351"/>
    <cellStyle name="Labels - Opmaakprofiel3 2 22 4 7" xfId="5118"/>
    <cellStyle name="Labels - Opmaakprofiel3 2 22 4 7 2" xfId="14768"/>
    <cellStyle name="Labels - Opmaakprofiel3 2 22 4 7 3" xfId="26820"/>
    <cellStyle name="Labels - Opmaakprofiel3 2 22 4 7 4" xfId="45551"/>
    <cellStyle name="Labels - Opmaakprofiel3 2 22 4 7 5" xfId="48352"/>
    <cellStyle name="Labels - Opmaakprofiel3 2 22 4 8" xfId="9908"/>
    <cellStyle name="Labels - Opmaakprofiel3 2 22 4 8 2" xfId="22206"/>
    <cellStyle name="Labels - Opmaakprofiel3 2 22 4 8 3" xfId="43973"/>
    <cellStyle name="Labels - Opmaakprofiel3 2 22 4 8 4" xfId="42496"/>
    <cellStyle name="Labels - Opmaakprofiel3 2 22 4 8 5" xfId="54873"/>
    <cellStyle name="Labels - Opmaakprofiel3 2 22 4 9" xfId="14762"/>
    <cellStyle name="Labels - Opmaakprofiel3 2 22 5" xfId="1159"/>
    <cellStyle name="Labels - Opmaakprofiel3 2 22 5 2" xfId="1672"/>
    <cellStyle name="Labels - Opmaakprofiel3 2 22 5 2 2" xfId="9363"/>
    <cellStyle name="Labels - Opmaakprofiel3 2 22 5 2 2 2" xfId="21661"/>
    <cellStyle name="Labels - Opmaakprofiel3 2 22 5 2 2 3" xfId="33713"/>
    <cellStyle name="Labels - Opmaakprofiel3 2 22 5 2 2 4" xfId="31431"/>
    <cellStyle name="Labels - Opmaakprofiel3 2 22 5 2 2 5" xfId="54328"/>
    <cellStyle name="Labels - Opmaakprofiel3 2 22 5 2 3" xfId="14770"/>
    <cellStyle name="Labels - Opmaakprofiel3 2 22 5 2 4" xfId="26822"/>
    <cellStyle name="Labels - Opmaakprofiel3 2 22 5 2 5" xfId="45550"/>
    <cellStyle name="Labels - Opmaakprofiel3 2 22 5 2 6" xfId="48353"/>
    <cellStyle name="Labels - Opmaakprofiel3 2 22 5 3" xfId="3170"/>
    <cellStyle name="Labels - Opmaakprofiel3 2 22 5 3 2" xfId="9364"/>
    <cellStyle name="Labels - Opmaakprofiel3 2 22 5 3 2 2" xfId="21662"/>
    <cellStyle name="Labels - Opmaakprofiel3 2 22 5 3 2 3" xfId="33714"/>
    <cellStyle name="Labels - Opmaakprofiel3 2 22 5 3 2 4" xfId="42723"/>
    <cellStyle name="Labels - Opmaakprofiel3 2 22 5 3 2 5" xfId="54329"/>
    <cellStyle name="Labels - Opmaakprofiel3 2 22 5 3 3" xfId="14771"/>
    <cellStyle name="Labels - Opmaakprofiel3 2 22 5 3 4" xfId="26823"/>
    <cellStyle name="Labels - Opmaakprofiel3 2 22 5 3 5" xfId="39780"/>
    <cellStyle name="Labels - Opmaakprofiel3 2 22 5 3 6" xfId="48354"/>
    <cellStyle name="Labels - Opmaakprofiel3 2 22 5 4" xfId="3992"/>
    <cellStyle name="Labels - Opmaakprofiel3 2 22 5 4 2" xfId="9365"/>
    <cellStyle name="Labels - Opmaakprofiel3 2 22 5 4 2 2" xfId="21663"/>
    <cellStyle name="Labels - Opmaakprofiel3 2 22 5 4 2 3" xfId="33715"/>
    <cellStyle name="Labels - Opmaakprofiel3 2 22 5 4 2 4" xfId="34791"/>
    <cellStyle name="Labels - Opmaakprofiel3 2 22 5 4 2 5" xfId="54330"/>
    <cellStyle name="Labels - Opmaakprofiel3 2 22 5 4 3" xfId="14772"/>
    <cellStyle name="Labels - Opmaakprofiel3 2 22 5 4 4" xfId="26824"/>
    <cellStyle name="Labels - Opmaakprofiel3 2 22 5 4 5" xfId="39779"/>
    <cellStyle name="Labels - Opmaakprofiel3 2 22 5 4 6" xfId="48355"/>
    <cellStyle name="Labels - Opmaakprofiel3 2 22 5 5" xfId="5119"/>
    <cellStyle name="Labels - Opmaakprofiel3 2 22 5 5 2" xfId="9366"/>
    <cellStyle name="Labels - Opmaakprofiel3 2 22 5 5 2 2" xfId="21664"/>
    <cellStyle name="Labels - Opmaakprofiel3 2 22 5 5 2 3" xfId="33716"/>
    <cellStyle name="Labels - Opmaakprofiel3 2 22 5 5 2 4" xfId="42722"/>
    <cellStyle name="Labels - Opmaakprofiel3 2 22 5 5 2 5" xfId="54331"/>
    <cellStyle name="Labels - Opmaakprofiel3 2 22 5 5 3" xfId="14773"/>
    <cellStyle name="Labels - Opmaakprofiel3 2 22 5 5 4" xfId="26825"/>
    <cellStyle name="Labels - Opmaakprofiel3 2 22 5 5 5" xfId="39778"/>
    <cellStyle name="Labels - Opmaakprofiel3 2 22 5 5 6" xfId="48356"/>
    <cellStyle name="Labels - Opmaakprofiel3 2 22 5 6" xfId="5120"/>
    <cellStyle name="Labels - Opmaakprofiel3 2 22 5 6 2" xfId="9367"/>
    <cellStyle name="Labels - Opmaakprofiel3 2 22 5 6 2 2" xfId="21665"/>
    <cellStyle name="Labels - Opmaakprofiel3 2 22 5 6 2 3" xfId="33717"/>
    <cellStyle name="Labels - Opmaakprofiel3 2 22 5 6 2 4" xfId="27857"/>
    <cellStyle name="Labels - Opmaakprofiel3 2 22 5 6 2 5" xfId="54332"/>
    <cellStyle name="Labels - Opmaakprofiel3 2 22 5 6 3" xfId="14774"/>
    <cellStyle name="Labels - Opmaakprofiel3 2 22 5 6 4" xfId="26826"/>
    <cellStyle name="Labels - Opmaakprofiel3 2 22 5 6 5" xfId="45549"/>
    <cellStyle name="Labels - Opmaakprofiel3 2 22 5 6 6" xfId="48357"/>
    <cellStyle name="Labels - Opmaakprofiel3 2 22 5 7" xfId="5121"/>
    <cellStyle name="Labels - Opmaakprofiel3 2 22 5 7 2" xfId="14775"/>
    <cellStyle name="Labels - Opmaakprofiel3 2 22 5 7 3" xfId="26827"/>
    <cellStyle name="Labels - Opmaakprofiel3 2 22 5 7 4" xfId="39777"/>
    <cellStyle name="Labels - Opmaakprofiel3 2 22 5 7 5" xfId="48358"/>
    <cellStyle name="Labels - Opmaakprofiel3 2 22 5 8" xfId="9894"/>
    <cellStyle name="Labels - Opmaakprofiel3 2 22 5 8 2" xfId="22192"/>
    <cellStyle name="Labels - Opmaakprofiel3 2 22 5 8 3" xfId="43959"/>
    <cellStyle name="Labels - Opmaakprofiel3 2 22 5 8 4" xfId="42502"/>
    <cellStyle name="Labels - Opmaakprofiel3 2 22 5 8 5" xfId="54859"/>
    <cellStyle name="Labels - Opmaakprofiel3 2 22 5 9" xfId="14769"/>
    <cellStyle name="Labels - Opmaakprofiel3 2 22 6" xfId="656"/>
    <cellStyle name="Labels - Opmaakprofiel3 2 22 6 2" xfId="1531"/>
    <cellStyle name="Labels - Opmaakprofiel3 2 22 6 2 2" xfId="9368"/>
    <cellStyle name="Labels - Opmaakprofiel3 2 22 6 2 2 2" xfId="21666"/>
    <cellStyle name="Labels - Opmaakprofiel3 2 22 6 2 2 3" xfId="33718"/>
    <cellStyle name="Labels - Opmaakprofiel3 2 22 6 2 2 4" xfId="42721"/>
    <cellStyle name="Labels - Opmaakprofiel3 2 22 6 2 2 5" xfId="54333"/>
    <cellStyle name="Labels - Opmaakprofiel3 2 22 6 2 3" xfId="14777"/>
    <cellStyle name="Labels - Opmaakprofiel3 2 22 6 2 4" xfId="26829"/>
    <cellStyle name="Labels - Opmaakprofiel3 2 22 6 2 5" xfId="39776"/>
    <cellStyle name="Labels - Opmaakprofiel3 2 22 6 2 6" xfId="48359"/>
    <cellStyle name="Labels - Opmaakprofiel3 2 22 6 3" xfId="2722"/>
    <cellStyle name="Labels - Opmaakprofiel3 2 22 6 3 2" xfId="9369"/>
    <cellStyle name="Labels - Opmaakprofiel3 2 22 6 3 2 2" xfId="21667"/>
    <cellStyle name="Labels - Opmaakprofiel3 2 22 6 3 2 3" xfId="33719"/>
    <cellStyle name="Labels - Opmaakprofiel3 2 22 6 3 2 4" xfId="32042"/>
    <cellStyle name="Labels - Opmaakprofiel3 2 22 6 3 2 5" xfId="54334"/>
    <cellStyle name="Labels - Opmaakprofiel3 2 22 6 3 3" xfId="14778"/>
    <cellStyle name="Labels - Opmaakprofiel3 2 22 6 3 4" xfId="26830"/>
    <cellStyle name="Labels - Opmaakprofiel3 2 22 6 3 5" xfId="45547"/>
    <cellStyle name="Labels - Opmaakprofiel3 2 22 6 3 6" xfId="48360"/>
    <cellStyle name="Labels - Opmaakprofiel3 2 22 6 4" xfId="3589"/>
    <cellStyle name="Labels - Opmaakprofiel3 2 22 6 4 2" xfId="9370"/>
    <cellStyle name="Labels - Opmaakprofiel3 2 22 6 4 2 2" xfId="21668"/>
    <cellStyle name="Labels - Opmaakprofiel3 2 22 6 4 2 3" xfId="33720"/>
    <cellStyle name="Labels - Opmaakprofiel3 2 22 6 4 2 4" xfId="32120"/>
    <cellStyle name="Labels - Opmaakprofiel3 2 22 6 4 2 5" xfId="54335"/>
    <cellStyle name="Labels - Opmaakprofiel3 2 22 6 4 3" xfId="14779"/>
    <cellStyle name="Labels - Opmaakprofiel3 2 22 6 4 4" xfId="26831"/>
    <cellStyle name="Labels - Opmaakprofiel3 2 22 6 4 5" xfId="39775"/>
    <cellStyle name="Labels - Opmaakprofiel3 2 22 6 4 6" xfId="48361"/>
    <cellStyle name="Labels - Opmaakprofiel3 2 22 6 5" xfId="5122"/>
    <cellStyle name="Labels - Opmaakprofiel3 2 22 6 5 2" xfId="9371"/>
    <cellStyle name="Labels - Opmaakprofiel3 2 22 6 5 2 2" xfId="21669"/>
    <cellStyle name="Labels - Opmaakprofiel3 2 22 6 5 2 3" xfId="33721"/>
    <cellStyle name="Labels - Opmaakprofiel3 2 22 6 5 2 4" xfId="42720"/>
    <cellStyle name="Labels - Opmaakprofiel3 2 22 6 5 2 5" xfId="54336"/>
    <cellStyle name="Labels - Opmaakprofiel3 2 22 6 5 3" xfId="14780"/>
    <cellStyle name="Labels - Opmaakprofiel3 2 22 6 5 4" xfId="26832"/>
    <cellStyle name="Labels - Opmaakprofiel3 2 22 6 5 5" xfId="45546"/>
    <cellStyle name="Labels - Opmaakprofiel3 2 22 6 5 6" xfId="48362"/>
    <cellStyle name="Labels - Opmaakprofiel3 2 22 6 6" xfId="5123"/>
    <cellStyle name="Labels - Opmaakprofiel3 2 22 6 6 2" xfId="9372"/>
    <cellStyle name="Labels - Opmaakprofiel3 2 22 6 6 2 2" xfId="21670"/>
    <cellStyle name="Labels - Opmaakprofiel3 2 22 6 6 2 3" xfId="33722"/>
    <cellStyle name="Labels - Opmaakprofiel3 2 22 6 6 2 4" xfId="27862"/>
    <cellStyle name="Labels - Opmaakprofiel3 2 22 6 6 2 5" xfId="54337"/>
    <cellStyle name="Labels - Opmaakprofiel3 2 22 6 6 3" xfId="14781"/>
    <cellStyle name="Labels - Opmaakprofiel3 2 22 6 6 4" xfId="26833"/>
    <cellStyle name="Labels - Opmaakprofiel3 2 22 6 6 5" xfId="39774"/>
    <cellStyle name="Labels - Opmaakprofiel3 2 22 6 6 6" xfId="48363"/>
    <cellStyle name="Labels - Opmaakprofiel3 2 22 6 7" xfId="5124"/>
    <cellStyle name="Labels - Opmaakprofiel3 2 22 6 7 2" xfId="14782"/>
    <cellStyle name="Labels - Opmaakprofiel3 2 22 6 7 3" xfId="26834"/>
    <cellStyle name="Labels - Opmaakprofiel3 2 22 6 7 4" xfId="45545"/>
    <cellStyle name="Labels - Opmaakprofiel3 2 22 6 7 5" xfId="48364"/>
    <cellStyle name="Labels - Opmaakprofiel3 2 22 6 8" xfId="10235"/>
    <cellStyle name="Labels - Opmaakprofiel3 2 22 6 8 2" xfId="22533"/>
    <cellStyle name="Labels - Opmaakprofiel3 2 22 6 8 3" xfId="44295"/>
    <cellStyle name="Labels - Opmaakprofiel3 2 22 6 8 4" xfId="31909"/>
    <cellStyle name="Labels - Opmaakprofiel3 2 22 6 8 5" xfId="55200"/>
    <cellStyle name="Labels - Opmaakprofiel3 2 22 6 9" xfId="14776"/>
    <cellStyle name="Labels - Opmaakprofiel3 2 22 7" xfId="2266"/>
    <cellStyle name="Labels - Opmaakprofiel3 2 22 7 2" xfId="9373"/>
    <cellStyle name="Labels - Opmaakprofiel3 2 22 7 2 2" xfId="21671"/>
    <cellStyle name="Labels - Opmaakprofiel3 2 22 7 2 3" xfId="33723"/>
    <cellStyle name="Labels - Opmaakprofiel3 2 22 7 2 4" xfId="42719"/>
    <cellStyle name="Labels - Opmaakprofiel3 2 22 7 2 5" xfId="54338"/>
    <cellStyle name="Labels - Opmaakprofiel3 2 22 7 3" xfId="14783"/>
    <cellStyle name="Labels - Opmaakprofiel3 2 22 7 4" xfId="26835"/>
    <cellStyle name="Labels - Opmaakprofiel3 2 22 7 5" xfId="39773"/>
    <cellStyle name="Labels - Opmaakprofiel3 2 22 7 6" xfId="48365"/>
    <cellStyle name="Labels - Opmaakprofiel3 2 22 8" xfId="2771"/>
    <cellStyle name="Labels - Opmaakprofiel3 2 22 8 2" xfId="9374"/>
    <cellStyle name="Labels - Opmaakprofiel3 2 22 8 2 2" xfId="21672"/>
    <cellStyle name="Labels - Opmaakprofiel3 2 22 8 2 3" xfId="33724"/>
    <cellStyle name="Labels - Opmaakprofiel3 2 22 8 2 4" xfId="27863"/>
    <cellStyle name="Labels - Opmaakprofiel3 2 22 8 2 5" xfId="54339"/>
    <cellStyle name="Labels - Opmaakprofiel3 2 22 8 3" xfId="14784"/>
    <cellStyle name="Labels - Opmaakprofiel3 2 22 8 4" xfId="26836"/>
    <cellStyle name="Labels - Opmaakprofiel3 2 22 8 5" xfId="39772"/>
    <cellStyle name="Labels - Opmaakprofiel3 2 22 8 6" xfId="48366"/>
    <cellStyle name="Labels - Opmaakprofiel3 2 22 9" xfId="3633"/>
    <cellStyle name="Labels - Opmaakprofiel3 2 22 9 2" xfId="9375"/>
    <cellStyle name="Labels - Opmaakprofiel3 2 22 9 2 2" xfId="21673"/>
    <cellStyle name="Labels - Opmaakprofiel3 2 22 9 2 3" xfId="33725"/>
    <cellStyle name="Labels - Opmaakprofiel3 2 22 9 2 4" xfId="42718"/>
    <cellStyle name="Labels - Opmaakprofiel3 2 22 9 2 5" xfId="54340"/>
    <cellStyle name="Labels - Opmaakprofiel3 2 22 9 3" xfId="14785"/>
    <cellStyle name="Labels - Opmaakprofiel3 2 22 9 4" xfId="26837"/>
    <cellStyle name="Labels - Opmaakprofiel3 2 22 9 5" xfId="39771"/>
    <cellStyle name="Labels - Opmaakprofiel3 2 22 9 6" xfId="48367"/>
    <cellStyle name="Labels - Opmaakprofiel3 2 23" xfId="819"/>
    <cellStyle name="Labels - Opmaakprofiel3 2 23 10" xfId="5125"/>
    <cellStyle name="Labels - Opmaakprofiel3 2 23 10 2" xfId="9376"/>
    <cellStyle name="Labels - Opmaakprofiel3 2 23 10 2 2" xfId="21674"/>
    <cellStyle name="Labels - Opmaakprofiel3 2 23 10 2 3" xfId="33726"/>
    <cellStyle name="Labels - Opmaakprofiel3 2 23 10 2 4" xfId="27864"/>
    <cellStyle name="Labels - Opmaakprofiel3 2 23 10 2 5" xfId="54341"/>
    <cellStyle name="Labels - Opmaakprofiel3 2 23 10 3" xfId="14787"/>
    <cellStyle name="Labels - Opmaakprofiel3 2 23 10 4" xfId="26839"/>
    <cellStyle name="Labels - Opmaakprofiel3 2 23 10 5" xfId="39770"/>
    <cellStyle name="Labels - Opmaakprofiel3 2 23 10 6" xfId="48368"/>
    <cellStyle name="Labels - Opmaakprofiel3 2 23 11" xfId="5126"/>
    <cellStyle name="Labels - Opmaakprofiel3 2 23 11 2" xfId="9377"/>
    <cellStyle name="Labels - Opmaakprofiel3 2 23 11 2 2" xfId="21675"/>
    <cellStyle name="Labels - Opmaakprofiel3 2 23 11 2 3" xfId="33727"/>
    <cellStyle name="Labels - Opmaakprofiel3 2 23 11 2 4" xfId="42717"/>
    <cellStyle name="Labels - Opmaakprofiel3 2 23 11 2 5" xfId="54342"/>
    <cellStyle name="Labels - Opmaakprofiel3 2 23 11 3" xfId="14788"/>
    <cellStyle name="Labels - Opmaakprofiel3 2 23 11 4" xfId="26840"/>
    <cellStyle name="Labels - Opmaakprofiel3 2 23 11 5" xfId="45543"/>
    <cellStyle name="Labels - Opmaakprofiel3 2 23 11 6" xfId="48369"/>
    <cellStyle name="Labels - Opmaakprofiel3 2 23 12" xfId="5127"/>
    <cellStyle name="Labels - Opmaakprofiel3 2 23 12 2" xfId="14789"/>
    <cellStyle name="Labels - Opmaakprofiel3 2 23 12 3" xfId="26841"/>
    <cellStyle name="Labels - Opmaakprofiel3 2 23 12 4" xfId="39769"/>
    <cellStyle name="Labels - Opmaakprofiel3 2 23 12 5" xfId="48370"/>
    <cellStyle name="Labels - Opmaakprofiel3 2 23 13" xfId="10125"/>
    <cellStyle name="Labels - Opmaakprofiel3 2 23 13 2" xfId="22423"/>
    <cellStyle name="Labels - Opmaakprofiel3 2 23 13 3" xfId="44187"/>
    <cellStyle name="Labels - Opmaakprofiel3 2 23 13 4" xfId="42405"/>
    <cellStyle name="Labels - Opmaakprofiel3 2 23 13 5" xfId="55090"/>
    <cellStyle name="Labels - Opmaakprofiel3 2 23 14" xfId="14786"/>
    <cellStyle name="Labels - Opmaakprofiel3 2 23 2" xfId="977"/>
    <cellStyle name="Labels - Opmaakprofiel3 2 23 2 2" xfId="2347"/>
    <cellStyle name="Labels - Opmaakprofiel3 2 23 2 2 2" xfId="9378"/>
    <cellStyle name="Labels - Opmaakprofiel3 2 23 2 2 2 2" xfId="21676"/>
    <cellStyle name="Labels - Opmaakprofiel3 2 23 2 2 2 3" xfId="33728"/>
    <cellStyle name="Labels - Opmaakprofiel3 2 23 2 2 2 4" xfId="34710"/>
    <cellStyle name="Labels - Opmaakprofiel3 2 23 2 2 2 5" xfId="54343"/>
    <cellStyle name="Labels - Opmaakprofiel3 2 23 2 2 3" xfId="14791"/>
    <cellStyle name="Labels - Opmaakprofiel3 2 23 2 2 4" xfId="26843"/>
    <cellStyle name="Labels - Opmaakprofiel3 2 23 2 2 5" xfId="39768"/>
    <cellStyle name="Labels - Opmaakprofiel3 2 23 2 2 6" xfId="48371"/>
    <cellStyle name="Labels - Opmaakprofiel3 2 23 2 3" xfId="2988"/>
    <cellStyle name="Labels - Opmaakprofiel3 2 23 2 3 2" xfId="9379"/>
    <cellStyle name="Labels - Opmaakprofiel3 2 23 2 3 2 2" xfId="21677"/>
    <cellStyle name="Labels - Opmaakprofiel3 2 23 2 3 2 3" xfId="33729"/>
    <cellStyle name="Labels - Opmaakprofiel3 2 23 2 3 2 4" xfId="42716"/>
    <cellStyle name="Labels - Opmaakprofiel3 2 23 2 3 2 5" xfId="54344"/>
    <cellStyle name="Labels - Opmaakprofiel3 2 23 2 3 3" xfId="14792"/>
    <cellStyle name="Labels - Opmaakprofiel3 2 23 2 3 4" xfId="26844"/>
    <cellStyle name="Labels - Opmaakprofiel3 2 23 2 3 5" xfId="45542"/>
    <cellStyle name="Labels - Opmaakprofiel3 2 23 2 3 6" xfId="48372"/>
    <cellStyle name="Labels - Opmaakprofiel3 2 23 2 4" xfId="3834"/>
    <cellStyle name="Labels - Opmaakprofiel3 2 23 2 4 2" xfId="9380"/>
    <cellStyle name="Labels - Opmaakprofiel3 2 23 2 4 2 2" xfId="21678"/>
    <cellStyle name="Labels - Opmaakprofiel3 2 23 2 4 2 3" xfId="33730"/>
    <cellStyle name="Labels - Opmaakprofiel3 2 23 2 4 2 4" xfId="27867"/>
    <cellStyle name="Labels - Opmaakprofiel3 2 23 2 4 2 5" xfId="54345"/>
    <cellStyle name="Labels - Opmaakprofiel3 2 23 2 4 3" xfId="14793"/>
    <cellStyle name="Labels - Opmaakprofiel3 2 23 2 4 4" xfId="26845"/>
    <cellStyle name="Labels - Opmaakprofiel3 2 23 2 4 5" xfId="39767"/>
    <cellStyle name="Labels - Opmaakprofiel3 2 23 2 4 6" xfId="48373"/>
    <cellStyle name="Labels - Opmaakprofiel3 2 23 2 5" xfId="5128"/>
    <cellStyle name="Labels - Opmaakprofiel3 2 23 2 5 2" xfId="9381"/>
    <cellStyle name="Labels - Opmaakprofiel3 2 23 2 5 2 2" xfId="21679"/>
    <cellStyle name="Labels - Opmaakprofiel3 2 23 2 5 2 3" xfId="33731"/>
    <cellStyle name="Labels - Opmaakprofiel3 2 23 2 5 2 4" xfId="31394"/>
    <cellStyle name="Labels - Opmaakprofiel3 2 23 2 5 2 5" xfId="54346"/>
    <cellStyle name="Labels - Opmaakprofiel3 2 23 2 5 3" xfId="14794"/>
    <cellStyle name="Labels - Opmaakprofiel3 2 23 2 5 4" xfId="26846"/>
    <cellStyle name="Labels - Opmaakprofiel3 2 23 2 5 5" xfId="45541"/>
    <cellStyle name="Labels - Opmaakprofiel3 2 23 2 5 6" xfId="48374"/>
    <cellStyle name="Labels - Opmaakprofiel3 2 23 2 6" xfId="5129"/>
    <cellStyle name="Labels - Opmaakprofiel3 2 23 2 6 2" xfId="9382"/>
    <cellStyle name="Labels - Opmaakprofiel3 2 23 2 6 2 2" xfId="21680"/>
    <cellStyle name="Labels - Opmaakprofiel3 2 23 2 6 2 3" xfId="33732"/>
    <cellStyle name="Labels - Opmaakprofiel3 2 23 2 6 2 4" xfId="34754"/>
    <cellStyle name="Labels - Opmaakprofiel3 2 23 2 6 2 5" xfId="54347"/>
    <cellStyle name="Labels - Opmaakprofiel3 2 23 2 6 3" xfId="14795"/>
    <cellStyle name="Labels - Opmaakprofiel3 2 23 2 6 4" xfId="26847"/>
    <cellStyle name="Labels - Opmaakprofiel3 2 23 2 6 5" xfId="39766"/>
    <cellStyle name="Labels - Opmaakprofiel3 2 23 2 6 6" xfId="48375"/>
    <cellStyle name="Labels - Opmaakprofiel3 2 23 2 7" xfId="5130"/>
    <cellStyle name="Labels - Opmaakprofiel3 2 23 2 7 2" xfId="14796"/>
    <cellStyle name="Labels - Opmaakprofiel3 2 23 2 7 3" xfId="26848"/>
    <cellStyle name="Labels - Opmaakprofiel3 2 23 2 7 4" xfId="39765"/>
    <cellStyle name="Labels - Opmaakprofiel3 2 23 2 7 5" xfId="48376"/>
    <cellStyle name="Labels - Opmaakprofiel3 2 23 2 8" xfId="10018"/>
    <cellStyle name="Labels - Opmaakprofiel3 2 23 2 8 2" xfId="22316"/>
    <cellStyle name="Labels - Opmaakprofiel3 2 23 2 8 3" xfId="44080"/>
    <cellStyle name="Labels - Opmaakprofiel3 2 23 2 8 4" xfId="42450"/>
    <cellStyle name="Labels - Opmaakprofiel3 2 23 2 8 5" xfId="54983"/>
    <cellStyle name="Labels - Opmaakprofiel3 2 23 2 9" xfId="14790"/>
    <cellStyle name="Labels - Opmaakprofiel3 2 23 3" xfId="1073"/>
    <cellStyle name="Labels - Opmaakprofiel3 2 23 3 2" xfId="2278"/>
    <cellStyle name="Labels - Opmaakprofiel3 2 23 3 2 2" xfId="9383"/>
    <cellStyle name="Labels - Opmaakprofiel3 2 23 3 2 2 2" xfId="21681"/>
    <cellStyle name="Labels - Opmaakprofiel3 2 23 3 2 2 3" xfId="33733"/>
    <cellStyle name="Labels - Opmaakprofiel3 2 23 3 2 2 4" xfId="42715"/>
    <cellStyle name="Labels - Opmaakprofiel3 2 23 3 2 2 5" xfId="54348"/>
    <cellStyle name="Labels - Opmaakprofiel3 2 23 3 2 3" xfId="14798"/>
    <cellStyle name="Labels - Opmaakprofiel3 2 23 3 2 4" xfId="26850"/>
    <cellStyle name="Labels - Opmaakprofiel3 2 23 3 2 5" xfId="45540"/>
    <cellStyle name="Labels - Opmaakprofiel3 2 23 3 2 6" xfId="48377"/>
    <cellStyle name="Labels - Opmaakprofiel3 2 23 3 3" xfId="3084"/>
    <cellStyle name="Labels - Opmaakprofiel3 2 23 3 3 2" xfId="9384"/>
    <cellStyle name="Labels - Opmaakprofiel3 2 23 3 3 2 2" xfId="21682"/>
    <cellStyle name="Labels - Opmaakprofiel3 2 23 3 3 2 3" xfId="33734"/>
    <cellStyle name="Labels - Opmaakprofiel3 2 23 3 3 2 4" xfId="34788"/>
    <cellStyle name="Labels - Opmaakprofiel3 2 23 3 3 2 5" xfId="54349"/>
    <cellStyle name="Labels - Opmaakprofiel3 2 23 3 3 3" xfId="14799"/>
    <cellStyle name="Labels - Opmaakprofiel3 2 23 3 3 4" xfId="26851"/>
    <cellStyle name="Labels - Opmaakprofiel3 2 23 3 3 5" xfId="39763"/>
    <cellStyle name="Labels - Opmaakprofiel3 2 23 3 3 6" xfId="48378"/>
    <cellStyle name="Labels - Opmaakprofiel3 2 23 3 4" xfId="3923"/>
    <cellStyle name="Labels - Opmaakprofiel3 2 23 3 4 2" xfId="9385"/>
    <cellStyle name="Labels - Opmaakprofiel3 2 23 3 4 2 2" xfId="21683"/>
    <cellStyle name="Labels - Opmaakprofiel3 2 23 3 4 2 3" xfId="33735"/>
    <cellStyle name="Labels - Opmaakprofiel3 2 23 3 4 2 4" xfId="42714"/>
    <cellStyle name="Labels - Opmaakprofiel3 2 23 3 4 2 5" xfId="54350"/>
    <cellStyle name="Labels - Opmaakprofiel3 2 23 3 4 3" xfId="14800"/>
    <cellStyle name="Labels - Opmaakprofiel3 2 23 3 4 4" xfId="26852"/>
    <cellStyle name="Labels - Opmaakprofiel3 2 23 3 4 5" xfId="45539"/>
    <cellStyle name="Labels - Opmaakprofiel3 2 23 3 4 6" xfId="48379"/>
    <cellStyle name="Labels - Opmaakprofiel3 2 23 3 5" xfId="5131"/>
    <cellStyle name="Labels - Opmaakprofiel3 2 23 3 5 2" xfId="9386"/>
    <cellStyle name="Labels - Opmaakprofiel3 2 23 3 5 2 2" xfId="21684"/>
    <cellStyle name="Labels - Opmaakprofiel3 2 23 3 5 2 3" xfId="33736"/>
    <cellStyle name="Labels - Opmaakprofiel3 2 23 3 5 2 4" xfId="27874"/>
    <cellStyle name="Labels - Opmaakprofiel3 2 23 3 5 2 5" xfId="54351"/>
    <cellStyle name="Labels - Opmaakprofiel3 2 23 3 5 3" xfId="14801"/>
    <cellStyle name="Labels - Opmaakprofiel3 2 23 3 5 4" xfId="26853"/>
    <cellStyle name="Labels - Opmaakprofiel3 2 23 3 5 5" xfId="39762"/>
    <cellStyle name="Labels - Opmaakprofiel3 2 23 3 5 6" xfId="48380"/>
    <cellStyle name="Labels - Opmaakprofiel3 2 23 3 6" xfId="5132"/>
    <cellStyle name="Labels - Opmaakprofiel3 2 23 3 6 2" xfId="9387"/>
    <cellStyle name="Labels - Opmaakprofiel3 2 23 3 6 2 2" xfId="21685"/>
    <cellStyle name="Labels - Opmaakprofiel3 2 23 3 6 2 3" xfId="33737"/>
    <cellStyle name="Labels - Opmaakprofiel3 2 23 3 6 2 4" xfId="42713"/>
    <cellStyle name="Labels - Opmaakprofiel3 2 23 3 6 2 5" xfId="54352"/>
    <cellStyle name="Labels - Opmaakprofiel3 2 23 3 6 3" xfId="14802"/>
    <cellStyle name="Labels - Opmaakprofiel3 2 23 3 6 4" xfId="26854"/>
    <cellStyle name="Labels - Opmaakprofiel3 2 23 3 6 5" xfId="39761"/>
    <cellStyle name="Labels - Opmaakprofiel3 2 23 3 6 6" xfId="48381"/>
    <cellStyle name="Labels - Opmaakprofiel3 2 23 3 7" xfId="5133"/>
    <cellStyle name="Labels - Opmaakprofiel3 2 23 3 7 2" xfId="14803"/>
    <cellStyle name="Labels - Opmaakprofiel3 2 23 3 7 3" xfId="26855"/>
    <cellStyle name="Labels - Opmaakprofiel3 2 23 3 7 4" xfId="39760"/>
    <cellStyle name="Labels - Opmaakprofiel3 2 23 3 7 5" xfId="48382"/>
    <cellStyle name="Labels - Opmaakprofiel3 2 23 3 8" xfId="7260"/>
    <cellStyle name="Labels - Opmaakprofiel3 2 23 3 8 2" xfId="19558"/>
    <cellStyle name="Labels - Opmaakprofiel3 2 23 3 8 3" xfId="41361"/>
    <cellStyle name="Labels - Opmaakprofiel3 2 23 3 8 4" xfId="43583"/>
    <cellStyle name="Labels - Opmaakprofiel3 2 23 3 8 5" xfId="52230"/>
    <cellStyle name="Labels - Opmaakprofiel3 2 23 3 9" xfId="14797"/>
    <cellStyle name="Labels - Opmaakprofiel3 2 23 4" xfId="668"/>
    <cellStyle name="Labels - Opmaakprofiel3 2 23 4 2" xfId="1912"/>
    <cellStyle name="Labels - Opmaakprofiel3 2 23 4 2 2" xfId="9388"/>
    <cellStyle name="Labels - Opmaakprofiel3 2 23 4 2 2 2" xfId="21686"/>
    <cellStyle name="Labels - Opmaakprofiel3 2 23 4 2 2 3" xfId="33738"/>
    <cellStyle name="Labels - Opmaakprofiel3 2 23 4 2 2 4" xfId="27875"/>
    <cellStyle name="Labels - Opmaakprofiel3 2 23 4 2 2 5" xfId="54353"/>
    <cellStyle name="Labels - Opmaakprofiel3 2 23 4 2 3" xfId="14805"/>
    <cellStyle name="Labels - Opmaakprofiel3 2 23 4 2 4" xfId="26857"/>
    <cellStyle name="Labels - Opmaakprofiel3 2 23 4 2 5" xfId="39758"/>
    <cellStyle name="Labels - Opmaakprofiel3 2 23 4 2 6" xfId="48383"/>
    <cellStyle name="Labels - Opmaakprofiel3 2 23 4 3" xfId="2734"/>
    <cellStyle name="Labels - Opmaakprofiel3 2 23 4 3 2" xfId="9389"/>
    <cellStyle name="Labels - Opmaakprofiel3 2 23 4 3 2 2" xfId="21687"/>
    <cellStyle name="Labels - Opmaakprofiel3 2 23 4 3 2 3" xfId="33739"/>
    <cellStyle name="Labels - Opmaakprofiel3 2 23 4 3 2 4" xfId="42712"/>
    <cellStyle name="Labels - Opmaakprofiel3 2 23 4 3 2 5" xfId="54354"/>
    <cellStyle name="Labels - Opmaakprofiel3 2 23 4 3 3" xfId="14806"/>
    <cellStyle name="Labels - Opmaakprofiel3 2 23 4 3 4" xfId="26858"/>
    <cellStyle name="Labels - Opmaakprofiel3 2 23 4 3 5" xfId="39757"/>
    <cellStyle name="Labels - Opmaakprofiel3 2 23 4 3 6" xfId="48384"/>
    <cellStyle name="Labels - Opmaakprofiel3 2 23 4 4" xfId="3601"/>
    <cellStyle name="Labels - Opmaakprofiel3 2 23 4 4 2" xfId="9390"/>
    <cellStyle name="Labels - Opmaakprofiel3 2 23 4 4 2 2" xfId="21688"/>
    <cellStyle name="Labels - Opmaakprofiel3 2 23 4 4 2 3" xfId="33740"/>
    <cellStyle name="Labels - Opmaakprofiel3 2 23 4 4 2 4" xfId="31710"/>
    <cellStyle name="Labels - Opmaakprofiel3 2 23 4 4 2 5" xfId="54355"/>
    <cellStyle name="Labels - Opmaakprofiel3 2 23 4 4 3" xfId="14807"/>
    <cellStyle name="Labels - Opmaakprofiel3 2 23 4 4 4" xfId="26859"/>
    <cellStyle name="Labels - Opmaakprofiel3 2 23 4 4 5" xfId="39756"/>
    <cellStyle name="Labels - Opmaakprofiel3 2 23 4 4 6" xfId="48385"/>
    <cellStyle name="Labels - Opmaakprofiel3 2 23 4 5" xfId="5134"/>
    <cellStyle name="Labels - Opmaakprofiel3 2 23 4 5 2" xfId="9391"/>
    <cellStyle name="Labels - Opmaakprofiel3 2 23 4 5 2 2" xfId="21689"/>
    <cellStyle name="Labels - Opmaakprofiel3 2 23 4 5 2 3" xfId="33741"/>
    <cellStyle name="Labels - Opmaakprofiel3 2 23 4 5 2 4" xfId="42711"/>
    <cellStyle name="Labels - Opmaakprofiel3 2 23 4 5 2 5" xfId="54356"/>
    <cellStyle name="Labels - Opmaakprofiel3 2 23 4 5 3" xfId="14808"/>
    <cellStyle name="Labels - Opmaakprofiel3 2 23 4 5 4" xfId="26860"/>
    <cellStyle name="Labels - Opmaakprofiel3 2 23 4 5 5" xfId="39755"/>
    <cellStyle name="Labels - Opmaakprofiel3 2 23 4 5 6" xfId="48386"/>
    <cellStyle name="Labels - Opmaakprofiel3 2 23 4 6" xfId="5135"/>
    <cellStyle name="Labels - Opmaakprofiel3 2 23 4 6 2" xfId="9392"/>
    <cellStyle name="Labels - Opmaakprofiel3 2 23 4 6 2 2" xfId="21690"/>
    <cellStyle name="Labels - Opmaakprofiel3 2 23 4 6 2 3" xfId="33742"/>
    <cellStyle name="Labels - Opmaakprofiel3 2 23 4 6 2 4" xfId="34550"/>
    <cellStyle name="Labels - Opmaakprofiel3 2 23 4 6 2 5" xfId="54357"/>
    <cellStyle name="Labels - Opmaakprofiel3 2 23 4 6 3" xfId="14809"/>
    <cellStyle name="Labels - Opmaakprofiel3 2 23 4 6 4" xfId="26861"/>
    <cellStyle name="Labels - Opmaakprofiel3 2 23 4 6 5" xfId="39754"/>
    <cellStyle name="Labels - Opmaakprofiel3 2 23 4 6 6" xfId="48387"/>
    <cellStyle name="Labels - Opmaakprofiel3 2 23 4 7" xfId="5136"/>
    <cellStyle name="Labels - Opmaakprofiel3 2 23 4 7 2" xfId="14810"/>
    <cellStyle name="Labels - Opmaakprofiel3 2 23 4 7 3" xfId="26862"/>
    <cellStyle name="Labels - Opmaakprofiel3 2 23 4 7 4" xfId="39753"/>
    <cellStyle name="Labels - Opmaakprofiel3 2 23 4 7 5" xfId="48388"/>
    <cellStyle name="Labels - Opmaakprofiel3 2 23 4 8" xfId="10223"/>
    <cellStyle name="Labels - Opmaakprofiel3 2 23 4 8 2" xfId="22521"/>
    <cellStyle name="Labels - Opmaakprofiel3 2 23 4 8 3" xfId="44283"/>
    <cellStyle name="Labels - Opmaakprofiel3 2 23 4 8 4" xfId="28864"/>
    <cellStyle name="Labels - Opmaakprofiel3 2 23 4 8 5" xfId="55188"/>
    <cellStyle name="Labels - Opmaakprofiel3 2 23 4 9" xfId="14804"/>
    <cellStyle name="Labels - Opmaakprofiel3 2 23 5" xfId="1241"/>
    <cellStyle name="Labels - Opmaakprofiel3 2 23 5 2" xfId="2184"/>
    <cellStyle name="Labels - Opmaakprofiel3 2 23 5 2 2" xfId="9393"/>
    <cellStyle name="Labels - Opmaakprofiel3 2 23 5 2 2 2" xfId="21691"/>
    <cellStyle name="Labels - Opmaakprofiel3 2 23 5 2 2 3" xfId="33743"/>
    <cellStyle name="Labels - Opmaakprofiel3 2 23 5 2 2 4" xfId="27880"/>
    <cellStyle name="Labels - Opmaakprofiel3 2 23 5 2 2 5" xfId="54358"/>
    <cellStyle name="Labels - Opmaakprofiel3 2 23 5 2 3" xfId="14812"/>
    <cellStyle name="Labels - Opmaakprofiel3 2 23 5 2 4" xfId="26864"/>
    <cellStyle name="Labels - Opmaakprofiel3 2 23 5 2 5" xfId="39751"/>
    <cellStyle name="Labels - Opmaakprofiel3 2 23 5 2 6" xfId="48389"/>
    <cellStyle name="Labels - Opmaakprofiel3 2 23 5 3" xfId="3252"/>
    <cellStyle name="Labels - Opmaakprofiel3 2 23 5 3 2" xfId="9394"/>
    <cellStyle name="Labels - Opmaakprofiel3 2 23 5 3 2 2" xfId="21692"/>
    <cellStyle name="Labels - Opmaakprofiel3 2 23 5 3 2 3" xfId="33744"/>
    <cellStyle name="Labels - Opmaakprofiel3 2 23 5 3 2 4" xfId="27881"/>
    <cellStyle name="Labels - Opmaakprofiel3 2 23 5 3 2 5" xfId="54359"/>
    <cellStyle name="Labels - Opmaakprofiel3 2 23 5 3 3" xfId="14813"/>
    <cellStyle name="Labels - Opmaakprofiel3 2 23 5 3 4" xfId="26865"/>
    <cellStyle name="Labels - Opmaakprofiel3 2 23 5 3 5" xfId="39750"/>
    <cellStyle name="Labels - Opmaakprofiel3 2 23 5 3 6" xfId="48390"/>
    <cellStyle name="Labels - Opmaakprofiel3 2 23 5 4" xfId="4065"/>
    <cellStyle name="Labels - Opmaakprofiel3 2 23 5 4 2" xfId="9395"/>
    <cellStyle name="Labels - Opmaakprofiel3 2 23 5 4 2 2" xfId="21693"/>
    <cellStyle name="Labels - Opmaakprofiel3 2 23 5 4 2 3" xfId="33745"/>
    <cellStyle name="Labels - Opmaakprofiel3 2 23 5 4 2 4" xfId="42710"/>
    <cellStyle name="Labels - Opmaakprofiel3 2 23 5 4 2 5" xfId="54360"/>
    <cellStyle name="Labels - Opmaakprofiel3 2 23 5 4 3" xfId="14814"/>
    <cellStyle name="Labels - Opmaakprofiel3 2 23 5 4 4" xfId="26866"/>
    <cellStyle name="Labels - Opmaakprofiel3 2 23 5 4 5" xfId="45537"/>
    <cellStyle name="Labels - Opmaakprofiel3 2 23 5 4 6" xfId="48391"/>
    <cellStyle name="Labels - Opmaakprofiel3 2 23 5 5" xfId="5137"/>
    <cellStyle name="Labels - Opmaakprofiel3 2 23 5 5 2" xfId="9396"/>
    <cellStyle name="Labels - Opmaakprofiel3 2 23 5 5 2 2" xfId="21694"/>
    <cellStyle name="Labels - Opmaakprofiel3 2 23 5 5 2 3" xfId="33746"/>
    <cellStyle name="Labels - Opmaakprofiel3 2 23 5 5 2 4" xfId="32045"/>
    <cellStyle name="Labels - Opmaakprofiel3 2 23 5 5 2 5" xfId="54361"/>
    <cellStyle name="Labels - Opmaakprofiel3 2 23 5 5 3" xfId="14815"/>
    <cellStyle name="Labels - Opmaakprofiel3 2 23 5 5 4" xfId="26867"/>
    <cellStyle name="Labels - Opmaakprofiel3 2 23 5 5 5" xfId="39749"/>
    <cellStyle name="Labels - Opmaakprofiel3 2 23 5 5 6" xfId="48392"/>
    <cellStyle name="Labels - Opmaakprofiel3 2 23 5 6" xfId="5138"/>
    <cellStyle name="Labels - Opmaakprofiel3 2 23 5 6 2" xfId="9397"/>
    <cellStyle name="Labels - Opmaakprofiel3 2 23 5 6 2 2" xfId="21695"/>
    <cellStyle name="Labels - Opmaakprofiel3 2 23 5 6 2 3" xfId="33747"/>
    <cellStyle name="Labels - Opmaakprofiel3 2 23 5 6 2 4" xfId="42709"/>
    <cellStyle name="Labels - Opmaakprofiel3 2 23 5 6 2 5" xfId="54362"/>
    <cellStyle name="Labels - Opmaakprofiel3 2 23 5 6 3" xfId="14816"/>
    <cellStyle name="Labels - Opmaakprofiel3 2 23 5 6 4" xfId="26868"/>
    <cellStyle name="Labels - Opmaakprofiel3 2 23 5 6 5" xfId="45536"/>
    <cellStyle name="Labels - Opmaakprofiel3 2 23 5 6 6" xfId="48393"/>
    <cellStyle name="Labels - Opmaakprofiel3 2 23 5 7" xfId="5139"/>
    <cellStyle name="Labels - Opmaakprofiel3 2 23 5 7 2" xfId="14817"/>
    <cellStyle name="Labels - Opmaakprofiel3 2 23 5 7 3" xfId="26869"/>
    <cellStyle name="Labels - Opmaakprofiel3 2 23 5 7 4" xfId="39748"/>
    <cellStyle name="Labels - Opmaakprofiel3 2 23 5 7 5" xfId="48394"/>
    <cellStyle name="Labels - Opmaakprofiel3 2 23 5 8" xfId="7133"/>
    <cellStyle name="Labels - Opmaakprofiel3 2 23 5 8 2" xfId="19431"/>
    <cellStyle name="Labels - Opmaakprofiel3 2 23 5 8 3" xfId="41234"/>
    <cellStyle name="Labels - Opmaakprofiel3 2 23 5 8 4" xfId="36956"/>
    <cellStyle name="Labels - Opmaakprofiel3 2 23 5 8 5" xfId="52103"/>
    <cellStyle name="Labels - Opmaakprofiel3 2 23 5 9" xfId="14811"/>
    <cellStyle name="Labels - Opmaakprofiel3 2 23 6" xfId="1286"/>
    <cellStyle name="Labels - Opmaakprofiel3 2 23 6 2" xfId="2014"/>
    <cellStyle name="Labels - Opmaakprofiel3 2 23 6 2 2" xfId="9398"/>
    <cellStyle name="Labels - Opmaakprofiel3 2 23 6 2 2 2" xfId="21696"/>
    <cellStyle name="Labels - Opmaakprofiel3 2 23 6 2 2 3" xfId="33748"/>
    <cellStyle name="Labels - Opmaakprofiel3 2 23 6 2 2 4" xfId="31839"/>
    <cellStyle name="Labels - Opmaakprofiel3 2 23 6 2 2 5" xfId="54363"/>
    <cellStyle name="Labels - Opmaakprofiel3 2 23 6 2 3" xfId="14819"/>
    <cellStyle name="Labels - Opmaakprofiel3 2 23 6 2 4" xfId="26871"/>
    <cellStyle name="Labels - Opmaakprofiel3 2 23 6 2 5" xfId="45535"/>
    <cellStyle name="Labels - Opmaakprofiel3 2 23 6 2 6" xfId="48395"/>
    <cellStyle name="Labels - Opmaakprofiel3 2 23 6 3" xfId="3297"/>
    <cellStyle name="Labels - Opmaakprofiel3 2 23 6 3 2" xfId="9399"/>
    <cellStyle name="Labels - Opmaakprofiel3 2 23 6 3 2 2" xfId="21697"/>
    <cellStyle name="Labels - Opmaakprofiel3 2 23 6 3 2 3" xfId="33749"/>
    <cellStyle name="Labels - Opmaakprofiel3 2 23 6 3 2 4" xfId="42708"/>
    <cellStyle name="Labels - Opmaakprofiel3 2 23 6 3 2 5" xfId="54364"/>
    <cellStyle name="Labels - Opmaakprofiel3 2 23 6 3 3" xfId="14820"/>
    <cellStyle name="Labels - Opmaakprofiel3 2 23 6 3 4" xfId="26872"/>
    <cellStyle name="Labels - Opmaakprofiel3 2 23 6 3 5" xfId="39746"/>
    <cellStyle name="Labels - Opmaakprofiel3 2 23 6 3 6" xfId="48396"/>
    <cellStyle name="Labels - Opmaakprofiel3 2 23 6 4" xfId="4092"/>
    <cellStyle name="Labels - Opmaakprofiel3 2 23 6 4 2" xfId="9400"/>
    <cellStyle name="Labels - Opmaakprofiel3 2 23 6 4 2 2" xfId="21698"/>
    <cellStyle name="Labels - Opmaakprofiel3 2 23 6 4 2 3" xfId="33750"/>
    <cellStyle name="Labels - Opmaakprofiel3 2 23 6 4 2 4" xfId="27886"/>
    <cellStyle name="Labels - Opmaakprofiel3 2 23 6 4 2 5" xfId="54365"/>
    <cellStyle name="Labels - Opmaakprofiel3 2 23 6 4 3" xfId="14821"/>
    <cellStyle name="Labels - Opmaakprofiel3 2 23 6 4 4" xfId="26873"/>
    <cellStyle name="Labels - Opmaakprofiel3 2 23 6 4 5" xfId="45534"/>
    <cellStyle name="Labels - Opmaakprofiel3 2 23 6 4 6" xfId="48397"/>
    <cellStyle name="Labels - Opmaakprofiel3 2 23 6 5" xfId="5140"/>
    <cellStyle name="Labels - Opmaakprofiel3 2 23 6 5 2" xfId="9401"/>
    <cellStyle name="Labels - Opmaakprofiel3 2 23 6 5 2 2" xfId="21699"/>
    <cellStyle name="Labels - Opmaakprofiel3 2 23 6 5 2 3" xfId="33751"/>
    <cellStyle name="Labels - Opmaakprofiel3 2 23 6 5 2 4" xfId="42707"/>
    <cellStyle name="Labels - Opmaakprofiel3 2 23 6 5 2 5" xfId="54366"/>
    <cellStyle name="Labels - Opmaakprofiel3 2 23 6 5 3" xfId="14822"/>
    <cellStyle name="Labels - Opmaakprofiel3 2 23 6 5 4" xfId="26874"/>
    <cellStyle name="Labels - Opmaakprofiel3 2 23 6 5 5" xfId="39745"/>
    <cellStyle name="Labels - Opmaakprofiel3 2 23 6 5 6" xfId="48398"/>
    <cellStyle name="Labels - Opmaakprofiel3 2 23 6 6" xfId="5141"/>
    <cellStyle name="Labels - Opmaakprofiel3 2 23 6 6 2" xfId="9402"/>
    <cellStyle name="Labels - Opmaakprofiel3 2 23 6 6 2 2" xfId="21700"/>
    <cellStyle name="Labels - Opmaakprofiel3 2 23 6 6 2 3" xfId="33752"/>
    <cellStyle name="Labels - Opmaakprofiel3 2 23 6 6 2 4" xfId="27887"/>
    <cellStyle name="Labels - Opmaakprofiel3 2 23 6 6 2 5" xfId="54367"/>
    <cellStyle name="Labels - Opmaakprofiel3 2 23 6 6 3" xfId="14823"/>
    <cellStyle name="Labels - Opmaakprofiel3 2 23 6 6 4" xfId="26875"/>
    <cellStyle name="Labels - Opmaakprofiel3 2 23 6 6 5" xfId="45533"/>
    <cellStyle name="Labels - Opmaakprofiel3 2 23 6 6 6" xfId="48399"/>
    <cellStyle name="Labels - Opmaakprofiel3 2 23 6 7" xfId="5142"/>
    <cellStyle name="Labels - Opmaakprofiel3 2 23 6 7 2" xfId="14824"/>
    <cellStyle name="Labels - Opmaakprofiel3 2 23 6 7 3" xfId="26876"/>
    <cellStyle name="Labels - Opmaakprofiel3 2 23 6 7 4" xfId="39744"/>
    <cellStyle name="Labels - Opmaakprofiel3 2 23 6 7 5" xfId="48400"/>
    <cellStyle name="Labels - Opmaakprofiel3 2 23 6 8" xfId="7090"/>
    <cellStyle name="Labels - Opmaakprofiel3 2 23 6 8 2" xfId="19388"/>
    <cellStyle name="Labels - Opmaakprofiel3 2 23 6 8 3" xfId="41191"/>
    <cellStyle name="Labels - Opmaakprofiel3 2 23 6 8 4" xfId="43654"/>
    <cellStyle name="Labels - Opmaakprofiel3 2 23 6 8 5" xfId="52061"/>
    <cellStyle name="Labels - Opmaakprofiel3 2 23 6 9" xfId="14818"/>
    <cellStyle name="Labels - Opmaakprofiel3 2 23 7" xfId="1576"/>
    <cellStyle name="Labels - Opmaakprofiel3 2 23 7 2" xfId="9403"/>
    <cellStyle name="Labels - Opmaakprofiel3 2 23 7 2 2" xfId="21701"/>
    <cellStyle name="Labels - Opmaakprofiel3 2 23 7 2 3" xfId="33753"/>
    <cellStyle name="Labels - Opmaakprofiel3 2 23 7 2 4" xfId="42706"/>
    <cellStyle name="Labels - Opmaakprofiel3 2 23 7 2 5" xfId="54368"/>
    <cellStyle name="Labels - Opmaakprofiel3 2 23 7 3" xfId="14825"/>
    <cellStyle name="Labels - Opmaakprofiel3 2 23 7 4" xfId="26877"/>
    <cellStyle name="Labels - Opmaakprofiel3 2 23 7 5" xfId="45532"/>
    <cellStyle name="Labels - Opmaakprofiel3 2 23 7 6" xfId="48401"/>
    <cellStyle name="Labels - Opmaakprofiel3 2 23 8" xfId="2833"/>
    <cellStyle name="Labels - Opmaakprofiel3 2 23 8 2" xfId="9404"/>
    <cellStyle name="Labels - Opmaakprofiel3 2 23 8 2 2" xfId="21702"/>
    <cellStyle name="Labels - Opmaakprofiel3 2 23 8 2 3" xfId="33754"/>
    <cellStyle name="Labels - Opmaakprofiel3 2 23 8 2 4" xfId="34743"/>
    <cellStyle name="Labels - Opmaakprofiel3 2 23 8 2 5" xfId="54369"/>
    <cellStyle name="Labels - Opmaakprofiel3 2 23 8 3" xfId="14826"/>
    <cellStyle name="Labels - Opmaakprofiel3 2 23 8 4" xfId="26878"/>
    <cellStyle name="Labels - Opmaakprofiel3 2 23 8 5" xfId="39743"/>
    <cellStyle name="Labels - Opmaakprofiel3 2 23 8 6" xfId="48402"/>
    <cellStyle name="Labels - Opmaakprofiel3 2 23 9" xfId="3691"/>
    <cellStyle name="Labels - Opmaakprofiel3 2 23 9 2" xfId="9405"/>
    <cellStyle name="Labels - Opmaakprofiel3 2 23 9 2 2" xfId="21703"/>
    <cellStyle name="Labels - Opmaakprofiel3 2 23 9 2 3" xfId="33755"/>
    <cellStyle name="Labels - Opmaakprofiel3 2 23 9 2 4" xfId="31801"/>
    <cellStyle name="Labels - Opmaakprofiel3 2 23 9 2 5" xfId="54370"/>
    <cellStyle name="Labels - Opmaakprofiel3 2 23 9 3" xfId="14827"/>
    <cellStyle name="Labels - Opmaakprofiel3 2 23 9 4" xfId="26879"/>
    <cellStyle name="Labels - Opmaakprofiel3 2 23 9 5" xfId="45531"/>
    <cellStyle name="Labels - Opmaakprofiel3 2 23 9 6" xfId="48403"/>
    <cellStyle name="Labels - Opmaakprofiel3 2 24" xfId="769"/>
    <cellStyle name="Labels - Opmaakprofiel3 2 24 10" xfId="5143"/>
    <cellStyle name="Labels - Opmaakprofiel3 2 24 10 2" xfId="9406"/>
    <cellStyle name="Labels - Opmaakprofiel3 2 24 10 2 2" xfId="21704"/>
    <cellStyle name="Labels - Opmaakprofiel3 2 24 10 2 3" xfId="33756"/>
    <cellStyle name="Labels - Opmaakprofiel3 2 24 10 2 4" xfId="27892"/>
    <cellStyle name="Labels - Opmaakprofiel3 2 24 10 2 5" xfId="54371"/>
    <cellStyle name="Labels - Opmaakprofiel3 2 24 10 3" xfId="14829"/>
    <cellStyle name="Labels - Opmaakprofiel3 2 24 10 4" xfId="26881"/>
    <cellStyle name="Labels - Opmaakprofiel3 2 24 10 5" xfId="39741"/>
    <cellStyle name="Labels - Opmaakprofiel3 2 24 10 6" xfId="48404"/>
    <cellStyle name="Labels - Opmaakprofiel3 2 24 11" xfId="5144"/>
    <cellStyle name="Labels - Opmaakprofiel3 2 24 11 2" xfId="9407"/>
    <cellStyle name="Labels - Opmaakprofiel3 2 24 11 2 2" xfId="21705"/>
    <cellStyle name="Labels - Opmaakprofiel3 2 24 11 2 3" xfId="33757"/>
    <cellStyle name="Labels - Opmaakprofiel3 2 24 11 2 4" xfId="42705"/>
    <cellStyle name="Labels - Opmaakprofiel3 2 24 11 2 5" xfId="54372"/>
    <cellStyle name="Labels - Opmaakprofiel3 2 24 11 3" xfId="14830"/>
    <cellStyle name="Labels - Opmaakprofiel3 2 24 11 4" xfId="26882"/>
    <cellStyle name="Labels - Opmaakprofiel3 2 24 11 5" xfId="39740"/>
    <cellStyle name="Labels - Opmaakprofiel3 2 24 11 6" xfId="48405"/>
    <cellStyle name="Labels - Opmaakprofiel3 2 24 12" xfId="5145"/>
    <cellStyle name="Labels - Opmaakprofiel3 2 24 12 2" xfId="14831"/>
    <cellStyle name="Labels - Opmaakprofiel3 2 24 12 3" xfId="26883"/>
    <cellStyle name="Labels - Opmaakprofiel3 2 24 12 4" xfId="45530"/>
    <cellStyle name="Labels - Opmaakprofiel3 2 24 12 5" xfId="48406"/>
    <cellStyle name="Labels - Opmaakprofiel3 2 24 13" xfId="7467"/>
    <cellStyle name="Labels - Opmaakprofiel3 2 24 13 2" xfId="19765"/>
    <cellStyle name="Labels - Opmaakprofiel3 2 24 13 3" xfId="41568"/>
    <cellStyle name="Labels - Opmaakprofiel3 2 24 13 4" xfId="15525"/>
    <cellStyle name="Labels - Opmaakprofiel3 2 24 13 5" xfId="52437"/>
    <cellStyle name="Labels - Opmaakprofiel3 2 24 14" xfId="14828"/>
    <cellStyle name="Labels - Opmaakprofiel3 2 24 2" xfId="934"/>
    <cellStyle name="Labels - Opmaakprofiel3 2 24 2 2" xfId="2235"/>
    <cellStyle name="Labels - Opmaakprofiel3 2 24 2 2 2" xfId="9408"/>
    <cellStyle name="Labels - Opmaakprofiel3 2 24 2 2 2 2" xfId="21706"/>
    <cellStyle name="Labels - Opmaakprofiel3 2 24 2 2 2 3" xfId="33758"/>
    <cellStyle name="Labels - Opmaakprofiel3 2 24 2 2 2 4" xfId="27893"/>
    <cellStyle name="Labels - Opmaakprofiel3 2 24 2 2 2 5" xfId="54373"/>
    <cellStyle name="Labels - Opmaakprofiel3 2 24 2 2 3" xfId="14833"/>
    <cellStyle name="Labels - Opmaakprofiel3 2 24 2 2 4" xfId="26885"/>
    <cellStyle name="Labels - Opmaakprofiel3 2 24 2 2 5" xfId="45529"/>
    <cellStyle name="Labels - Opmaakprofiel3 2 24 2 2 6" xfId="48407"/>
    <cellStyle name="Labels - Opmaakprofiel3 2 24 2 3" xfId="2945"/>
    <cellStyle name="Labels - Opmaakprofiel3 2 24 2 3 2" xfId="9409"/>
    <cellStyle name="Labels - Opmaakprofiel3 2 24 2 3 2 2" xfId="21707"/>
    <cellStyle name="Labels - Opmaakprofiel3 2 24 2 3 2 3" xfId="33759"/>
    <cellStyle name="Labels - Opmaakprofiel3 2 24 2 3 2 4" xfId="42704"/>
    <cellStyle name="Labels - Opmaakprofiel3 2 24 2 3 2 5" xfId="54374"/>
    <cellStyle name="Labels - Opmaakprofiel3 2 24 2 3 3" xfId="14834"/>
    <cellStyle name="Labels - Opmaakprofiel3 2 24 2 3 4" xfId="26886"/>
    <cellStyle name="Labels - Opmaakprofiel3 2 24 2 3 5" xfId="39738"/>
    <cellStyle name="Labels - Opmaakprofiel3 2 24 2 3 6" xfId="48408"/>
    <cellStyle name="Labels - Opmaakprofiel3 2 24 2 4" xfId="3793"/>
    <cellStyle name="Labels - Opmaakprofiel3 2 24 2 4 2" xfId="9410"/>
    <cellStyle name="Labels - Opmaakprofiel3 2 24 2 4 2 2" xfId="21708"/>
    <cellStyle name="Labels - Opmaakprofiel3 2 24 2 4 2 3" xfId="33760"/>
    <cellStyle name="Labels - Opmaakprofiel3 2 24 2 4 2 4" xfId="31564"/>
    <cellStyle name="Labels - Opmaakprofiel3 2 24 2 4 2 5" xfId="54375"/>
    <cellStyle name="Labels - Opmaakprofiel3 2 24 2 4 3" xfId="14835"/>
    <cellStyle name="Labels - Opmaakprofiel3 2 24 2 4 4" xfId="26887"/>
    <cellStyle name="Labels - Opmaakprofiel3 2 24 2 4 5" xfId="45528"/>
    <cellStyle name="Labels - Opmaakprofiel3 2 24 2 4 6" xfId="48409"/>
    <cellStyle name="Labels - Opmaakprofiel3 2 24 2 5" xfId="5146"/>
    <cellStyle name="Labels - Opmaakprofiel3 2 24 2 5 2" xfId="9411"/>
    <cellStyle name="Labels - Opmaakprofiel3 2 24 2 5 2 2" xfId="21709"/>
    <cellStyle name="Labels - Opmaakprofiel3 2 24 2 5 2 3" xfId="33761"/>
    <cellStyle name="Labels - Opmaakprofiel3 2 24 2 5 2 4" xfId="42703"/>
    <cellStyle name="Labels - Opmaakprofiel3 2 24 2 5 2 5" xfId="54376"/>
    <cellStyle name="Labels - Opmaakprofiel3 2 24 2 5 3" xfId="14836"/>
    <cellStyle name="Labels - Opmaakprofiel3 2 24 2 5 4" xfId="26888"/>
    <cellStyle name="Labels - Opmaakprofiel3 2 24 2 5 5" xfId="39737"/>
    <cellStyle name="Labels - Opmaakprofiel3 2 24 2 5 6" xfId="48410"/>
    <cellStyle name="Labels - Opmaakprofiel3 2 24 2 6" xfId="5147"/>
    <cellStyle name="Labels - Opmaakprofiel3 2 24 2 6 2" xfId="9412"/>
    <cellStyle name="Labels - Opmaakprofiel3 2 24 2 6 2 2" xfId="21710"/>
    <cellStyle name="Labels - Opmaakprofiel3 2 24 2 6 2 3" xfId="33762"/>
    <cellStyle name="Labels - Opmaakprofiel3 2 24 2 6 2 4" xfId="34485"/>
    <cellStyle name="Labels - Opmaakprofiel3 2 24 2 6 2 5" xfId="54377"/>
    <cellStyle name="Labels - Opmaakprofiel3 2 24 2 6 3" xfId="14837"/>
    <cellStyle name="Labels - Opmaakprofiel3 2 24 2 6 4" xfId="26889"/>
    <cellStyle name="Labels - Opmaakprofiel3 2 24 2 6 5" xfId="45527"/>
    <cellStyle name="Labels - Opmaakprofiel3 2 24 2 6 6" xfId="48411"/>
    <cellStyle name="Labels - Opmaakprofiel3 2 24 2 7" xfId="5148"/>
    <cellStyle name="Labels - Opmaakprofiel3 2 24 2 7 2" xfId="14838"/>
    <cellStyle name="Labels - Opmaakprofiel3 2 24 2 7 3" xfId="26890"/>
    <cellStyle name="Labels - Opmaakprofiel3 2 24 2 7 4" xfId="39736"/>
    <cellStyle name="Labels - Opmaakprofiel3 2 24 2 7 5" xfId="48412"/>
    <cellStyle name="Labels - Opmaakprofiel3 2 24 2 8" xfId="10044"/>
    <cellStyle name="Labels - Opmaakprofiel3 2 24 2 8 2" xfId="22342"/>
    <cellStyle name="Labels - Opmaakprofiel3 2 24 2 8 3" xfId="44106"/>
    <cellStyle name="Labels - Opmaakprofiel3 2 24 2 8 4" xfId="42439"/>
    <cellStyle name="Labels - Opmaakprofiel3 2 24 2 8 5" xfId="55009"/>
    <cellStyle name="Labels - Opmaakprofiel3 2 24 2 9" xfId="14832"/>
    <cellStyle name="Labels - Opmaakprofiel3 2 24 3" xfId="1030"/>
    <cellStyle name="Labels - Opmaakprofiel3 2 24 3 2" xfId="2260"/>
    <cellStyle name="Labels - Opmaakprofiel3 2 24 3 2 2" xfId="9413"/>
    <cellStyle name="Labels - Opmaakprofiel3 2 24 3 2 2 2" xfId="21711"/>
    <cellStyle name="Labels - Opmaakprofiel3 2 24 3 2 2 3" xfId="33763"/>
    <cellStyle name="Labels - Opmaakprofiel3 2 24 3 2 2 4" xfId="42702"/>
    <cellStyle name="Labels - Opmaakprofiel3 2 24 3 2 2 5" xfId="54378"/>
    <cellStyle name="Labels - Opmaakprofiel3 2 24 3 2 3" xfId="14840"/>
    <cellStyle name="Labels - Opmaakprofiel3 2 24 3 2 4" xfId="26892"/>
    <cellStyle name="Labels - Opmaakprofiel3 2 24 3 2 5" xfId="39735"/>
    <cellStyle name="Labels - Opmaakprofiel3 2 24 3 2 6" xfId="48413"/>
    <cellStyle name="Labels - Opmaakprofiel3 2 24 3 3" xfId="3041"/>
    <cellStyle name="Labels - Opmaakprofiel3 2 24 3 3 2" xfId="9414"/>
    <cellStyle name="Labels - Opmaakprofiel3 2 24 3 3 2 2" xfId="21712"/>
    <cellStyle name="Labels - Opmaakprofiel3 2 24 3 3 2 3" xfId="33764"/>
    <cellStyle name="Labels - Opmaakprofiel3 2 24 3 3 2 4" xfId="27898"/>
    <cellStyle name="Labels - Opmaakprofiel3 2 24 3 3 2 5" xfId="54379"/>
    <cellStyle name="Labels - Opmaakprofiel3 2 24 3 3 3" xfId="14841"/>
    <cellStyle name="Labels - Opmaakprofiel3 2 24 3 3 4" xfId="26893"/>
    <cellStyle name="Labels - Opmaakprofiel3 2 24 3 3 5" xfId="39734"/>
    <cellStyle name="Labels - Opmaakprofiel3 2 24 3 3 6" xfId="48414"/>
    <cellStyle name="Labels - Opmaakprofiel3 2 24 3 4" xfId="3883"/>
    <cellStyle name="Labels - Opmaakprofiel3 2 24 3 4 2" xfId="9415"/>
    <cellStyle name="Labels - Opmaakprofiel3 2 24 3 4 2 2" xfId="21713"/>
    <cellStyle name="Labels - Opmaakprofiel3 2 24 3 4 2 3" xfId="33765"/>
    <cellStyle name="Labels - Opmaakprofiel3 2 24 3 4 2 4" xfId="42701"/>
    <cellStyle name="Labels - Opmaakprofiel3 2 24 3 4 2 5" xfId="54380"/>
    <cellStyle name="Labels - Opmaakprofiel3 2 24 3 4 3" xfId="14842"/>
    <cellStyle name="Labels - Opmaakprofiel3 2 24 3 4 4" xfId="26894"/>
    <cellStyle name="Labels - Opmaakprofiel3 2 24 3 4 5" xfId="39733"/>
    <cellStyle name="Labels - Opmaakprofiel3 2 24 3 4 6" xfId="48415"/>
    <cellStyle name="Labels - Opmaakprofiel3 2 24 3 5" xfId="5149"/>
    <cellStyle name="Labels - Opmaakprofiel3 2 24 3 5 2" xfId="9416"/>
    <cellStyle name="Labels - Opmaakprofiel3 2 24 3 5 2 2" xfId="21714"/>
    <cellStyle name="Labels - Opmaakprofiel3 2 24 3 5 2 3" xfId="33766"/>
    <cellStyle name="Labels - Opmaakprofiel3 2 24 3 5 2 4" xfId="27899"/>
    <cellStyle name="Labels - Opmaakprofiel3 2 24 3 5 2 5" xfId="54381"/>
    <cellStyle name="Labels - Opmaakprofiel3 2 24 3 5 3" xfId="14843"/>
    <cellStyle name="Labels - Opmaakprofiel3 2 24 3 5 4" xfId="26895"/>
    <cellStyle name="Labels - Opmaakprofiel3 2 24 3 5 5" xfId="45526"/>
    <cellStyle name="Labels - Opmaakprofiel3 2 24 3 5 6" xfId="48416"/>
    <cellStyle name="Labels - Opmaakprofiel3 2 24 3 6" xfId="5150"/>
    <cellStyle name="Labels - Opmaakprofiel3 2 24 3 6 2" xfId="9417"/>
    <cellStyle name="Labels - Opmaakprofiel3 2 24 3 6 2 2" xfId="21715"/>
    <cellStyle name="Labels - Opmaakprofiel3 2 24 3 6 2 3" xfId="33767"/>
    <cellStyle name="Labels - Opmaakprofiel3 2 24 3 6 2 4" xfId="34687"/>
    <cellStyle name="Labels - Opmaakprofiel3 2 24 3 6 2 5" xfId="54382"/>
    <cellStyle name="Labels - Opmaakprofiel3 2 24 3 6 3" xfId="14844"/>
    <cellStyle name="Labels - Opmaakprofiel3 2 24 3 6 4" xfId="26896"/>
    <cellStyle name="Labels - Opmaakprofiel3 2 24 3 6 5" xfId="39732"/>
    <cellStyle name="Labels - Opmaakprofiel3 2 24 3 6 6" xfId="48417"/>
    <cellStyle name="Labels - Opmaakprofiel3 2 24 3 7" xfId="5151"/>
    <cellStyle name="Labels - Opmaakprofiel3 2 24 3 7 2" xfId="14845"/>
    <cellStyle name="Labels - Opmaakprofiel3 2 24 3 7 3" xfId="26897"/>
    <cellStyle name="Labels - Opmaakprofiel3 2 24 3 7 4" xfId="45525"/>
    <cellStyle name="Labels - Opmaakprofiel3 2 24 3 7 5" xfId="48418"/>
    <cellStyle name="Labels - Opmaakprofiel3 2 24 3 8" xfId="7289"/>
    <cellStyle name="Labels - Opmaakprofiel3 2 24 3 8 2" xfId="19587"/>
    <cellStyle name="Labels - Opmaakprofiel3 2 24 3 8 3" xfId="41390"/>
    <cellStyle name="Labels - Opmaakprofiel3 2 24 3 8 4" xfId="36865"/>
    <cellStyle name="Labels - Opmaakprofiel3 2 24 3 8 5" xfId="52259"/>
    <cellStyle name="Labels - Opmaakprofiel3 2 24 3 9" xfId="14839"/>
    <cellStyle name="Labels - Opmaakprofiel3 2 24 4" xfId="932"/>
    <cellStyle name="Labels - Opmaakprofiel3 2 24 4 2" xfId="2277"/>
    <cellStyle name="Labels - Opmaakprofiel3 2 24 4 2 2" xfId="9418"/>
    <cellStyle name="Labels - Opmaakprofiel3 2 24 4 2 2 2" xfId="21716"/>
    <cellStyle name="Labels - Opmaakprofiel3 2 24 4 2 2 3" xfId="33768"/>
    <cellStyle name="Labels - Opmaakprofiel3 2 24 4 2 2 4" xfId="34522"/>
    <cellStyle name="Labels - Opmaakprofiel3 2 24 4 2 2 5" xfId="54383"/>
    <cellStyle name="Labels - Opmaakprofiel3 2 24 4 2 3" xfId="14847"/>
    <cellStyle name="Labels - Opmaakprofiel3 2 24 4 2 4" xfId="26899"/>
    <cellStyle name="Labels - Opmaakprofiel3 2 24 4 2 5" xfId="45524"/>
    <cellStyle name="Labels - Opmaakprofiel3 2 24 4 2 6" xfId="48419"/>
    <cellStyle name="Labels - Opmaakprofiel3 2 24 4 3" xfId="2943"/>
    <cellStyle name="Labels - Opmaakprofiel3 2 24 4 3 2" xfId="9419"/>
    <cellStyle name="Labels - Opmaakprofiel3 2 24 4 3 2 2" xfId="21717"/>
    <cellStyle name="Labels - Opmaakprofiel3 2 24 4 3 2 3" xfId="33769"/>
    <cellStyle name="Labels - Opmaakprofiel3 2 24 4 3 2 4" xfId="42700"/>
    <cellStyle name="Labels - Opmaakprofiel3 2 24 4 3 2 5" xfId="54384"/>
    <cellStyle name="Labels - Opmaakprofiel3 2 24 4 3 3" xfId="14848"/>
    <cellStyle name="Labels - Opmaakprofiel3 2 24 4 3 4" xfId="26900"/>
    <cellStyle name="Labels - Opmaakprofiel3 2 24 4 3 5" xfId="39730"/>
    <cellStyle name="Labels - Opmaakprofiel3 2 24 4 3 6" xfId="48420"/>
    <cellStyle name="Labels - Opmaakprofiel3 2 24 4 4" xfId="3791"/>
    <cellStyle name="Labels - Opmaakprofiel3 2 24 4 4 2" xfId="9420"/>
    <cellStyle name="Labels - Opmaakprofiel3 2 24 4 4 2 2" xfId="21718"/>
    <cellStyle name="Labels - Opmaakprofiel3 2 24 4 4 2 3" xfId="33770"/>
    <cellStyle name="Labels - Opmaakprofiel3 2 24 4 4 2 4" xfId="27904"/>
    <cellStyle name="Labels - Opmaakprofiel3 2 24 4 4 2 5" xfId="54385"/>
    <cellStyle name="Labels - Opmaakprofiel3 2 24 4 4 3" xfId="14849"/>
    <cellStyle name="Labels - Opmaakprofiel3 2 24 4 4 4" xfId="26901"/>
    <cellStyle name="Labels - Opmaakprofiel3 2 24 4 4 5" xfId="45523"/>
    <cellStyle name="Labels - Opmaakprofiel3 2 24 4 4 6" xfId="48421"/>
    <cellStyle name="Labels - Opmaakprofiel3 2 24 4 5" xfId="5152"/>
    <cellStyle name="Labels - Opmaakprofiel3 2 24 4 5 2" xfId="9421"/>
    <cellStyle name="Labels - Opmaakprofiel3 2 24 4 5 2 2" xfId="21719"/>
    <cellStyle name="Labels - Opmaakprofiel3 2 24 4 5 2 3" xfId="33771"/>
    <cellStyle name="Labels - Opmaakprofiel3 2 24 4 5 2 4" xfId="42699"/>
    <cellStyle name="Labels - Opmaakprofiel3 2 24 4 5 2 5" xfId="54386"/>
    <cellStyle name="Labels - Opmaakprofiel3 2 24 4 5 3" xfId="14850"/>
    <cellStyle name="Labels - Opmaakprofiel3 2 24 4 5 4" xfId="26902"/>
    <cellStyle name="Labels - Opmaakprofiel3 2 24 4 5 5" xfId="39729"/>
    <cellStyle name="Labels - Opmaakprofiel3 2 24 4 5 6" xfId="48422"/>
    <cellStyle name="Labels - Opmaakprofiel3 2 24 4 6" xfId="5153"/>
    <cellStyle name="Labels - Opmaakprofiel3 2 24 4 6 2" xfId="9422"/>
    <cellStyle name="Labels - Opmaakprofiel3 2 24 4 6 2 2" xfId="21720"/>
    <cellStyle name="Labels - Opmaakprofiel3 2 24 4 6 2 3" xfId="33772"/>
    <cellStyle name="Labels - Opmaakprofiel3 2 24 4 6 2 4" xfId="27905"/>
    <cellStyle name="Labels - Opmaakprofiel3 2 24 4 6 2 5" xfId="54387"/>
    <cellStyle name="Labels - Opmaakprofiel3 2 24 4 6 3" xfId="14851"/>
    <cellStyle name="Labels - Opmaakprofiel3 2 24 4 6 4" xfId="26903"/>
    <cellStyle name="Labels - Opmaakprofiel3 2 24 4 6 5" xfId="45522"/>
    <cellStyle name="Labels - Opmaakprofiel3 2 24 4 6 6" xfId="48423"/>
    <cellStyle name="Labels - Opmaakprofiel3 2 24 4 7" xfId="5154"/>
    <cellStyle name="Labels - Opmaakprofiel3 2 24 4 7 2" xfId="14852"/>
    <cellStyle name="Labels - Opmaakprofiel3 2 24 4 7 3" xfId="26904"/>
    <cellStyle name="Labels - Opmaakprofiel3 2 24 4 7 4" xfId="39728"/>
    <cellStyle name="Labels - Opmaakprofiel3 2 24 4 7 5" xfId="48424"/>
    <cellStyle name="Labels - Opmaakprofiel3 2 24 4 8" xfId="7357"/>
    <cellStyle name="Labels - Opmaakprofiel3 2 24 4 8 2" xfId="19655"/>
    <cellStyle name="Labels - Opmaakprofiel3 2 24 4 8 3" xfId="41458"/>
    <cellStyle name="Labels - Opmaakprofiel3 2 24 4 8 4" xfId="19276"/>
    <cellStyle name="Labels - Opmaakprofiel3 2 24 4 8 5" xfId="52327"/>
    <cellStyle name="Labels - Opmaakprofiel3 2 24 4 9" xfId="14846"/>
    <cellStyle name="Labels - Opmaakprofiel3 2 24 5" xfId="1202"/>
    <cellStyle name="Labels - Opmaakprofiel3 2 24 5 2" xfId="2123"/>
    <cellStyle name="Labels - Opmaakprofiel3 2 24 5 2 2" xfId="9423"/>
    <cellStyle name="Labels - Opmaakprofiel3 2 24 5 2 2 2" xfId="21721"/>
    <cellStyle name="Labels - Opmaakprofiel3 2 24 5 2 2 3" xfId="33773"/>
    <cellStyle name="Labels - Opmaakprofiel3 2 24 5 2 2 4" xfId="42698"/>
    <cellStyle name="Labels - Opmaakprofiel3 2 24 5 2 2 5" xfId="54388"/>
    <cellStyle name="Labels - Opmaakprofiel3 2 24 5 2 3" xfId="14854"/>
    <cellStyle name="Labels - Opmaakprofiel3 2 24 5 2 4" xfId="26906"/>
    <cellStyle name="Labels - Opmaakprofiel3 2 24 5 2 5" xfId="39726"/>
    <cellStyle name="Labels - Opmaakprofiel3 2 24 5 2 6" xfId="48425"/>
    <cellStyle name="Labels - Opmaakprofiel3 2 24 5 3" xfId="3213"/>
    <cellStyle name="Labels - Opmaakprofiel3 2 24 5 3 2" xfId="9424"/>
    <cellStyle name="Labels - Opmaakprofiel3 2 24 5 3 2 2" xfId="21722"/>
    <cellStyle name="Labels - Opmaakprofiel3 2 24 5 3 2 3" xfId="33774"/>
    <cellStyle name="Labels - Opmaakprofiel3 2 24 5 3 2 4" xfId="31460"/>
    <cellStyle name="Labels - Opmaakprofiel3 2 24 5 3 2 5" xfId="54389"/>
    <cellStyle name="Labels - Opmaakprofiel3 2 24 5 3 3" xfId="14855"/>
    <cellStyle name="Labels - Opmaakprofiel3 2 24 5 3 4" xfId="26907"/>
    <cellStyle name="Labels - Opmaakprofiel3 2 24 5 3 5" xfId="45521"/>
    <cellStyle name="Labels - Opmaakprofiel3 2 24 5 3 6" xfId="48426"/>
    <cellStyle name="Labels - Opmaakprofiel3 2 24 5 4" xfId="4028"/>
    <cellStyle name="Labels - Opmaakprofiel3 2 24 5 4 2" xfId="9425"/>
    <cellStyle name="Labels - Opmaakprofiel3 2 24 5 4 2 2" xfId="21723"/>
    <cellStyle name="Labels - Opmaakprofiel3 2 24 5 4 2 3" xfId="33775"/>
    <cellStyle name="Labels - Opmaakprofiel3 2 24 5 4 2 4" xfId="42697"/>
    <cellStyle name="Labels - Opmaakprofiel3 2 24 5 4 2 5" xfId="54390"/>
    <cellStyle name="Labels - Opmaakprofiel3 2 24 5 4 3" xfId="14856"/>
    <cellStyle name="Labels - Opmaakprofiel3 2 24 5 4 4" xfId="26908"/>
    <cellStyle name="Labels - Opmaakprofiel3 2 24 5 4 5" xfId="39725"/>
    <cellStyle name="Labels - Opmaakprofiel3 2 24 5 4 6" xfId="48427"/>
    <cellStyle name="Labels - Opmaakprofiel3 2 24 5 5" xfId="5155"/>
    <cellStyle name="Labels - Opmaakprofiel3 2 24 5 5 2" xfId="9426"/>
    <cellStyle name="Labels - Opmaakprofiel3 2 24 5 5 2 2" xfId="21724"/>
    <cellStyle name="Labels - Opmaakprofiel3 2 24 5 5 2 3" xfId="33776"/>
    <cellStyle name="Labels - Opmaakprofiel3 2 24 5 5 2 4" xfId="31866"/>
    <cellStyle name="Labels - Opmaakprofiel3 2 24 5 5 2 5" xfId="54391"/>
    <cellStyle name="Labels - Opmaakprofiel3 2 24 5 5 3" xfId="14857"/>
    <cellStyle name="Labels - Opmaakprofiel3 2 24 5 5 4" xfId="26909"/>
    <cellStyle name="Labels - Opmaakprofiel3 2 24 5 5 5" xfId="45520"/>
    <cellStyle name="Labels - Opmaakprofiel3 2 24 5 5 6" xfId="48428"/>
    <cellStyle name="Labels - Opmaakprofiel3 2 24 5 6" xfId="5156"/>
    <cellStyle name="Labels - Opmaakprofiel3 2 24 5 6 2" xfId="9427"/>
    <cellStyle name="Labels - Opmaakprofiel3 2 24 5 6 2 2" xfId="21725"/>
    <cellStyle name="Labels - Opmaakprofiel3 2 24 5 6 2 3" xfId="33777"/>
    <cellStyle name="Labels - Opmaakprofiel3 2 24 5 6 2 4" xfId="42696"/>
    <cellStyle name="Labels - Opmaakprofiel3 2 24 5 6 2 5" xfId="54392"/>
    <cellStyle name="Labels - Opmaakprofiel3 2 24 5 6 3" xfId="14858"/>
    <cellStyle name="Labels - Opmaakprofiel3 2 24 5 6 4" xfId="26910"/>
    <cellStyle name="Labels - Opmaakprofiel3 2 24 5 6 5" xfId="39724"/>
    <cellStyle name="Labels - Opmaakprofiel3 2 24 5 6 6" xfId="48429"/>
    <cellStyle name="Labels - Opmaakprofiel3 2 24 5 7" xfId="5157"/>
    <cellStyle name="Labels - Opmaakprofiel3 2 24 5 7 2" xfId="14859"/>
    <cellStyle name="Labels - Opmaakprofiel3 2 24 5 7 3" xfId="26911"/>
    <cellStyle name="Labels - Opmaakprofiel3 2 24 5 7 4" xfId="45519"/>
    <cellStyle name="Labels - Opmaakprofiel3 2 24 5 7 5" xfId="48430"/>
    <cellStyle name="Labels - Opmaakprofiel3 2 24 5 8" xfId="7171"/>
    <cellStyle name="Labels - Opmaakprofiel3 2 24 5 8 2" xfId="19469"/>
    <cellStyle name="Labels - Opmaakprofiel3 2 24 5 8 3" xfId="41272"/>
    <cellStyle name="Labels - Opmaakprofiel3 2 24 5 8 4" xfId="36934"/>
    <cellStyle name="Labels - Opmaakprofiel3 2 24 5 8 5" xfId="52141"/>
    <cellStyle name="Labels - Opmaakprofiel3 2 24 5 9" xfId="14853"/>
    <cellStyle name="Labels - Opmaakprofiel3 2 24 6" xfId="975"/>
    <cellStyle name="Labels - Opmaakprofiel3 2 24 6 2" xfId="1958"/>
    <cellStyle name="Labels - Opmaakprofiel3 2 24 6 2 2" xfId="9428"/>
    <cellStyle name="Labels - Opmaakprofiel3 2 24 6 2 2 2" xfId="21726"/>
    <cellStyle name="Labels - Opmaakprofiel3 2 24 6 2 2 3" xfId="33778"/>
    <cellStyle name="Labels - Opmaakprofiel3 2 24 6 2 2 4" xfId="27910"/>
    <cellStyle name="Labels - Opmaakprofiel3 2 24 6 2 2 5" xfId="54393"/>
    <cellStyle name="Labels - Opmaakprofiel3 2 24 6 2 3" xfId="14861"/>
    <cellStyle name="Labels - Opmaakprofiel3 2 24 6 2 4" xfId="26913"/>
    <cellStyle name="Labels - Opmaakprofiel3 2 24 6 2 5" xfId="45518"/>
    <cellStyle name="Labels - Opmaakprofiel3 2 24 6 2 6" xfId="48431"/>
    <cellStyle name="Labels - Opmaakprofiel3 2 24 6 3" xfId="2986"/>
    <cellStyle name="Labels - Opmaakprofiel3 2 24 6 3 2" xfId="9429"/>
    <cellStyle name="Labels - Opmaakprofiel3 2 24 6 3 2 2" xfId="21727"/>
    <cellStyle name="Labels - Opmaakprofiel3 2 24 6 3 2 3" xfId="33779"/>
    <cellStyle name="Labels - Opmaakprofiel3 2 24 6 3 2 4" xfId="27911"/>
    <cellStyle name="Labels - Opmaakprofiel3 2 24 6 3 2 5" xfId="54394"/>
    <cellStyle name="Labels - Opmaakprofiel3 2 24 6 3 3" xfId="14862"/>
    <cellStyle name="Labels - Opmaakprofiel3 2 24 6 3 4" xfId="26914"/>
    <cellStyle name="Labels - Opmaakprofiel3 2 24 6 3 5" xfId="39722"/>
    <cellStyle name="Labels - Opmaakprofiel3 2 24 6 3 6" xfId="48432"/>
    <cellStyle name="Labels - Opmaakprofiel3 2 24 6 4" xfId="3832"/>
    <cellStyle name="Labels - Opmaakprofiel3 2 24 6 4 2" xfId="9430"/>
    <cellStyle name="Labels - Opmaakprofiel3 2 24 6 4 2 2" xfId="21728"/>
    <cellStyle name="Labels - Opmaakprofiel3 2 24 6 4 2 3" xfId="33780"/>
    <cellStyle name="Labels - Opmaakprofiel3 2 24 6 4 2 4" xfId="27912"/>
    <cellStyle name="Labels - Opmaakprofiel3 2 24 6 4 2 5" xfId="54395"/>
    <cellStyle name="Labels - Opmaakprofiel3 2 24 6 4 3" xfId="14863"/>
    <cellStyle name="Labels - Opmaakprofiel3 2 24 6 4 4" xfId="26915"/>
    <cellStyle name="Labels - Opmaakprofiel3 2 24 6 4 5" xfId="45517"/>
    <cellStyle name="Labels - Opmaakprofiel3 2 24 6 4 6" xfId="48433"/>
    <cellStyle name="Labels - Opmaakprofiel3 2 24 6 5" xfId="5158"/>
    <cellStyle name="Labels - Opmaakprofiel3 2 24 6 5 2" xfId="9431"/>
    <cellStyle name="Labels - Opmaakprofiel3 2 24 6 5 2 2" xfId="21729"/>
    <cellStyle name="Labels - Opmaakprofiel3 2 24 6 5 2 3" xfId="33781"/>
    <cellStyle name="Labels - Opmaakprofiel3 2 24 6 5 2 4" xfId="42695"/>
    <cellStyle name="Labels - Opmaakprofiel3 2 24 6 5 2 5" xfId="54396"/>
    <cellStyle name="Labels - Opmaakprofiel3 2 24 6 5 3" xfId="14864"/>
    <cellStyle name="Labels - Opmaakprofiel3 2 24 6 5 4" xfId="26916"/>
    <cellStyle name="Labels - Opmaakprofiel3 2 24 6 5 5" xfId="39721"/>
    <cellStyle name="Labels - Opmaakprofiel3 2 24 6 5 6" xfId="48434"/>
    <cellStyle name="Labels - Opmaakprofiel3 2 24 6 6" xfId="5159"/>
    <cellStyle name="Labels - Opmaakprofiel3 2 24 6 6 2" xfId="9432"/>
    <cellStyle name="Labels - Opmaakprofiel3 2 24 6 6 2 2" xfId="21730"/>
    <cellStyle name="Labels - Opmaakprofiel3 2 24 6 6 2 3" xfId="33782"/>
    <cellStyle name="Labels - Opmaakprofiel3 2 24 6 6 2 4" xfId="27913"/>
    <cellStyle name="Labels - Opmaakprofiel3 2 24 6 6 2 5" xfId="54397"/>
    <cellStyle name="Labels - Opmaakprofiel3 2 24 6 6 3" xfId="14865"/>
    <cellStyle name="Labels - Opmaakprofiel3 2 24 6 6 4" xfId="26917"/>
    <cellStyle name="Labels - Opmaakprofiel3 2 24 6 6 5" xfId="39720"/>
    <cellStyle name="Labels - Opmaakprofiel3 2 24 6 6 6" xfId="48435"/>
    <cellStyle name="Labels - Opmaakprofiel3 2 24 6 7" xfId="5160"/>
    <cellStyle name="Labels - Opmaakprofiel3 2 24 6 7 2" xfId="14866"/>
    <cellStyle name="Labels - Opmaakprofiel3 2 24 6 7 3" xfId="26918"/>
    <cellStyle name="Labels - Opmaakprofiel3 2 24 6 7 4" xfId="39719"/>
    <cellStyle name="Labels - Opmaakprofiel3 2 24 6 7 5" xfId="48436"/>
    <cellStyle name="Labels - Opmaakprofiel3 2 24 6 8" xfId="10015"/>
    <cellStyle name="Labels - Opmaakprofiel3 2 24 6 8 2" xfId="22313"/>
    <cellStyle name="Labels - Opmaakprofiel3 2 24 6 8 3" xfId="44077"/>
    <cellStyle name="Labels - Opmaakprofiel3 2 24 6 8 4" xfId="34406"/>
    <cellStyle name="Labels - Opmaakprofiel3 2 24 6 8 5" xfId="54980"/>
    <cellStyle name="Labels - Opmaakprofiel3 2 24 6 9" xfId="14860"/>
    <cellStyle name="Labels - Opmaakprofiel3 2 24 7" xfId="1470"/>
    <cellStyle name="Labels - Opmaakprofiel3 2 24 7 2" xfId="9433"/>
    <cellStyle name="Labels - Opmaakprofiel3 2 24 7 2 2" xfId="21731"/>
    <cellStyle name="Labels - Opmaakprofiel3 2 24 7 2 3" xfId="33783"/>
    <cellStyle name="Labels - Opmaakprofiel3 2 24 7 2 4" xfId="42694"/>
    <cellStyle name="Labels - Opmaakprofiel3 2 24 7 2 5" xfId="54398"/>
    <cellStyle name="Labels - Opmaakprofiel3 2 24 7 3" xfId="14867"/>
    <cellStyle name="Labels - Opmaakprofiel3 2 24 7 4" xfId="26919"/>
    <cellStyle name="Labels - Opmaakprofiel3 2 24 7 5" xfId="45516"/>
    <cellStyle name="Labels - Opmaakprofiel3 2 24 7 6" xfId="48437"/>
    <cellStyle name="Labels - Opmaakprofiel3 2 24 8" xfId="2801"/>
    <cellStyle name="Labels - Opmaakprofiel3 2 24 8 2" xfId="9434"/>
    <cellStyle name="Labels - Opmaakprofiel3 2 24 8 2 2" xfId="21732"/>
    <cellStyle name="Labels - Opmaakprofiel3 2 24 8 2 3" xfId="33784"/>
    <cellStyle name="Labels - Opmaakprofiel3 2 24 8 2 4" xfId="31700"/>
    <cellStyle name="Labels - Opmaakprofiel3 2 24 8 2 5" xfId="54399"/>
    <cellStyle name="Labels - Opmaakprofiel3 2 24 8 3" xfId="14868"/>
    <cellStyle name="Labels - Opmaakprofiel3 2 24 8 4" xfId="26920"/>
    <cellStyle name="Labels - Opmaakprofiel3 2 24 8 5" xfId="39718"/>
    <cellStyle name="Labels - Opmaakprofiel3 2 24 8 6" xfId="48438"/>
    <cellStyle name="Labels - Opmaakprofiel3 2 24 9" xfId="3662"/>
    <cellStyle name="Labels - Opmaakprofiel3 2 24 9 2" xfId="9435"/>
    <cellStyle name="Labels - Opmaakprofiel3 2 24 9 2 2" xfId="21733"/>
    <cellStyle name="Labels - Opmaakprofiel3 2 24 9 2 3" xfId="33785"/>
    <cellStyle name="Labels - Opmaakprofiel3 2 24 9 2 4" xfId="27916"/>
    <cellStyle name="Labels - Opmaakprofiel3 2 24 9 2 5" xfId="54400"/>
    <cellStyle name="Labels - Opmaakprofiel3 2 24 9 3" xfId="14869"/>
    <cellStyle name="Labels - Opmaakprofiel3 2 24 9 4" xfId="26921"/>
    <cellStyle name="Labels - Opmaakprofiel3 2 24 9 5" xfId="45515"/>
    <cellStyle name="Labels - Opmaakprofiel3 2 24 9 6" xfId="48439"/>
    <cellStyle name="Labels - Opmaakprofiel3 2 25" xfId="513"/>
    <cellStyle name="Labels - Opmaakprofiel3 2 25 2" xfId="2012"/>
    <cellStyle name="Labels - Opmaakprofiel3 2 25 2 2" xfId="9436"/>
    <cellStyle name="Labels - Opmaakprofiel3 2 25 2 2 2" xfId="21734"/>
    <cellStyle name="Labels - Opmaakprofiel3 2 25 2 2 3" xfId="33786"/>
    <cellStyle name="Labels - Opmaakprofiel3 2 25 2 2 4" xfId="42693"/>
    <cellStyle name="Labels - Opmaakprofiel3 2 25 2 2 5" xfId="54401"/>
    <cellStyle name="Labels - Opmaakprofiel3 2 25 2 3" xfId="14871"/>
    <cellStyle name="Labels - Opmaakprofiel3 2 25 2 4" xfId="26923"/>
    <cellStyle name="Labels - Opmaakprofiel3 2 25 2 5" xfId="45514"/>
    <cellStyle name="Labels - Opmaakprofiel3 2 25 2 6" xfId="48440"/>
    <cellStyle name="Labels - Opmaakprofiel3 2 25 3" xfId="2584"/>
    <cellStyle name="Labels - Opmaakprofiel3 2 25 3 2" xfId="9437"/>
    <cellStyle name="Labels - Opmaakprofiel3 2 25 3 2 2" xfId="21735"/>
    <cellStyle name="Labels - Opmaakprofiel3 2 25 3 2 3" xfId="33787"/>
    <cellStyle name="Labels - Opmaakprofiel3 2 25 3 2 4" xfId="34193"/>
    <cellStyle name="Labels - Opmaakprofiel3 2 25 3 2 5" xfId="54402"/>
    <cellStyle name="Labels - Opmaakprofiel3 2 25 3 3" xfId="14872"/>
    <cellStyle name="Labels - Opmaakprofiel3 2 25 3 4" xfId="26924"/>
    <cellStyle name="Labels - Opmaakprofiel3 2 25 3 5" xfId="39716"/>
    <cellStyle name="Labels - Opmaakprofiel3 2 25 3 6" xfId="48441"/>
    <cellStyle name="Labels - Opmaakprofiel3 2 25 4" xfId="3467"/>
    <cellStyle name="Labels - Opmaakprofiel3 2 25 4 2" xfId="9438"/>
    <cellStyle name="Labels - Opmaakprofiel3 2 25 4 2 2" xfId="21736"/>
    <cellStyle name="Labels - Opmaakprofiel3 2 25 4 2 3" xfId="33788"/>
    <cellStyle name="Labels - Opmaakprofiel3 2 25 4 2 4" xfId="42692"/>
    <cellStyle name="Labels - Opmaakprofiel3 2 25 4 2 5" xfId="54403"/>
    <cellStyle name="Labels - Opmaakprofiel3 2 25 4 3" xfId="14873"/>
    <cellStyle name="Labels - Opmaakprofiel3 2 25 4 4" xfId="26925"/>
    <cellStyle name="Labels - Opmaakprofiel3 2 25 4 5" xfId="45513"/>
    <cellStyle name="Labels - Opmaakprofiel3 2 25 4 6" xfId="48442"/>
    <cellStyle name="Labels - Opmaakprofiel3 2 25 5" xfId="5161"/>
    <cellStyle name="Labels - Opmaakprofiel3 2 25 5 2" xfId="9439"/>
    <cellStyle name="Labels - Opmaakprofiel3 2 25 5 2 2" xfId="21737"/>
    <cellStyle name="Labels - Opmaakprofiel3 2 25 5 2 3" xfId="33789"/>
    <cellStyle name="Labels - Opmaakprofiel3 2 25 5 2 4" xfId="32063"/>
    <cellStyle name="Labels - Opmaakprofiel3 2 25 5 2 5" xfId="54404"/>
    <cellStyle name="Labels - Opmaakprofiel3 2 25 5 3" xfId="14874"/>
    <cellStyle name="Labels - Opmaakprofiel3 2 25 5 4" xfId="26926"/>
    <cellStyle name="Labels - Opmaakprofiel3 2 25 5 5" xfId="39715"/>
    <cellStyle name="Labels - Opmaakprofiel3 2 25 5 6" xfId="48443"/>
    <cellStyle name="Labels - Opmaakprofiel3 2 25 6" xfId="5162"/>
    <cellStyle name="Labels - Opmaakprofiel3 2 25 6 2" xfId="9440"/>
    <cellStyle name="Labels - Opmaakprofiel3 2 25 6 2 2" xfId="21738"/>
    <cellStyle name="Labels - Opmaakprofiel3 2 25 6 2 3" xfId="33790"/>
    <cellStyle name="Labels - Opmaakprofiel3 2 25 6 2 4" xfId="42691"/>
    <cellStyle name="Labels - Opmaakprofiel3 2 25 6 2 5" xfId="54405"/>
    <cellStyle name="Labels - Opmaakprofiel3 2 25 6 3" xfId="14875"/>
    <cellStyle name="Labels - Opmaakprofiel3 2 25 6 4" xfId="26927"/>
    <cellStyle name="Labels - Opmaakprofiel3 2 25 6 5" xfId="45512"/>
    <cellStyle name="Labels - Opmaakprofiel3 2 25 6 6" xfId="48444"/>
    <cellStyle name="Labels - Opmaakprofiel3 2 25 7" xfId="5163"/>
    <cellStyle name="Labels - Opmaakprofiel3 2 25 7 2" xfId="14876"/>
    <cellStyle name="Labels - Opmaakprofiel3 2 25 7 3" xfId="26928"/>
    <cellStyle name="Labels - Opmaakprofiel3 2 25 7 4" xfId="39714"/>
    <cellStyle name="Labels - Opmaakprofiel3 2 25 7 5" xfId="48445"/>
    <cellStyle name="Labels - Opmaakprofiel3 2 25 8" xfId="7641"/>
    <cellStyle name="Labels - Opmaakprofiel3 2 25 8 2" xfId="19939"/>
    <cellStyle name="Labels - Opmaakprofiel3 2 25 8 3" xfId="41742"/>
    <cellStyle name="Labels - Opmaakprofiel3 2 25 8 4" xfId="31790"/>
    <cellStyle name="Labels - Opmaakprofiel3 2 25 8 5" xfId="52611"/>
    <cellStyle name="Labels - Opmaakprofiel3 2 25 9" xfId="14870"/>
    <cellStyle name="Labels - Opmaakprofiel3 2 26" xfId="506"/>
    <cellStyle name="Labels - Opmaakprofiel3 2 26 2" xfId="2143"/>
    <cellStyle name="Labels - Opmaakprofiel3 2 26 2 2" xfId="9441"/>
    <cellStyle name="Labels - Opmaakprofiel3 2 26 2 2 2" xfId="21739"/>
    <cellStyle name="Labels - Opmaakprofiel3 2 26 2 2 3" xfId="33791"/>
    <cellStyle name="Labels - Opmaakprofiel3 2 26 2 2 4" xfId="34779"/>
    <cellStyle name="Labels - Opmaakprofiel3 2 26 2 2 5" xfId="54406"/>
    <cellStyle name="Labels - Opmaakprofiel3 2 26 2 3" xfId="14878"/>
    <cellStyle name="Labels - Opmaakprofiel3 2 26 2 4" xfId="26930"/>
    <cellStyle name="Labels - Opmaakprofiel3 2 26 2 5" xfId="39712"/>
    <cellStyle name="Labels - Opmaakprofiel3 2 26 2 6" xfId="48446"/>
    <cellStyle name="Labels - Opmaakprofiel3 2 26 3" xfId="2577"/>
    <cellStyle name="Labels - Opmaakprofiel3 2 26 3 2" xfId="9442"/>
    <cellStyle name="Labels - Opmaakprofiel3 2 26 3 2 2" xfId="21740"/>
    <cellStyle name="Labels - Opmaakprofiel3 2 26 3 2 3" xfId="33792"/>
    <cellStyle name="Labels - Opmaakprofiel3 2 26 3 2 4" xfId="27923"/>
    <cellStyle name="Labels - Opmaakprofiel3 2 26 3 2 5" xfId="54407"/>
    <cellStyle name="Labels - Opmaakprofiel3 2 26 3 3" xfId="14879"/>
    <cellStyle name="Labels - Opmaakprofiel3 2 26 3 4" xfId="26931"/>
    <cellStyle name="Labels - Opmaakprofiel3 2 26 3 5" xfId="45511"/>
    <cellStyle name="Labels - Opmaakprofiel3 2 26 3 6" xfId="48447"/>
    <cellStyle name="Labels - Opmaakprofiel3 2 26 4" xfId="3460"/>
    <cellStyle name="Labels - Opmaakprofiel3 2 26 4 2" xfId="9443"/>
    <cellStyle name="Labels - Opmaakprofiel3 2 26 4 2 2" xfId="21741"/>
    <cellStyle name="Labels - Opmaakprofiel3 2 26 4 2 3" xfId="33793"/>
    <cellStyle name="Labels - Opmaakprofiel3 2 26 4 2 4" xfId="42690"/>
    <cellStyle name="Labels - Opmaakprofiel3 2 26 4 2 5" xfId="54408"/>
    <cellStyle name="Labels - Opmaakprofiel3 2 26 4 3" xfId="14880"/>
    <cellStyle name="Labels - Opmaakprofiel3 2 26 4 4" xfId="26932"/>
    <cellStyle name="Labels - Opmaakprofiel3 2 26 4 5" xfId="39711"/>
    <cellStyle name="Labels - Opmaakprofiel3 2 26 4 6" xfId="48448"/>
    <cellStyle name="Labels - Opmaakprofiel3 2 26 5" xfId="5164"/>
    <cellStyle name="Labels - Opmaakprofiel3 2 26 5 2" xfId="9444"/>
    <cellStyle name="Labels - Opmaakprofiel3 2 26 5 2 2" xfId="21742"/>
    <cellStyle name="Labels - Opmaakprofiel3 2 26 5 2 3" xfId="33794"/>
    <cellStyle name="Labels - Opmaakprofiel3 2 26 5 2 4" xfId="27924"/>
    <cellStyle name="Labels - Opmaakprofiel3 2 26 5 2 5" xfId="54409"/>
    <cellStyle name="Labels - Opmaakprofiel3 2 26 5 3" xfId="14881"/>
    <cellStyle name="Labels - Opmaakprofiel3 2 26 5 4" xfId="26933"/>
    <cellStyle name="Labels - Opmaakprofiel3 2 26 5 5" xfId="45510"/>
    <cellStyle name="Labels - Opmaakprofiel3 2 26 5 6" xfId="48449"/>
    <cellStyle name="Labels - Opmaakprofiel3 2 26 6" xfId="5165"/>
    <cellStyle name="Labels - Opmaakprofiel3 2 26 6 2" xfId="9445"/>
    <cellStyle name="Labels - Opmaakprofiel3 2 26 6 2 2" xfId="21743"/>
    <cellStyle name="Labels - Opmaakprofiel3 2 26 6 2 3" xfId="33795"/>
    <cellStyle name="Labels - Opmaakprofiel3 2 26 6 2 4" xfId="42689"/>
    <cellStyle name="Labels - Opmaakprofiel3 2 26 6 2 5" xfId="54410"/>
    <cellStyle name="Labels - Opmaakprofiel3 2 26 6 3" xfId="14882"/>
    <cellStyle name="Labels - Opmaakprofiel3 2 26 6 4" xfId="26934"/>
    <cellStyle name="Labels - Opmaakprofiel3 2 26 6 5" xfId="39710"/>
    <cellStyle name="Labels - Opmaakprofiel3 2 26 6 6" xfId="48450"/>
    <cellStyle name="Labels - Opmaakprofiel3 2 26 7" xfId="5166"/>
    <cellStyle name="Labels - Opmaakprofiel3 2 26 7 2" xfId="14883"/>
    <cellStyle name="Labels - Opmaakprofiel3 2 26 7 3" xfId="26935"/>
    <cellStyle name="Labels - Opmaakprofiel3 2 26 7 4" xfId="45509"/>
    <cellStyle name="Labels - Opmaakprofiel3 2 26 7 5" xfId="48451"/>
    <cellStyle name="Labels - Opmaakprofiel3 2 26 8" xfId="7645"/>
    <cellStyle name="Labels - Opmaakprofiel3 2 26 8 2" xfId="19943"/>
    <cellStyle name="Labels - Opmaakprofiel3 2 26 8 3" xfId="41746"/>
    <cellStyle name="Labels - Opmaakprofiel3 2 26 8 4" xfId="24982"/>
    <cellStyle name="Labels - Opmaakprofiel3 2 26 8 5" xfId="52615"/>
    <cellStyle name="Labels - Opmaakprofiel3 2 26 9" xfId="14877"/>
    <cellStyle name="Labels - Opmaakprofiel3 2 27" xfId="960"/>
    <cellStyle name="Labels - Opmaakprofiel3 2 27 2" xfId="1845"/>
    <cellStyle name="Labels - Opmaakprofiel3 2 27 2 2" xfId="9446"/>
    <cellStyle name="Labels - Opmaakprofiel3 2 27 2 2 2" xfId="21744"/>
    <cellStyle name="Labels - Opmaakprofiel3 2 27 2 2 3" xfId="33796"/>
    <cellStyle name="Labels - Opmaakprofiel3 2 27 2 2 4" xfId="27925"/>
    <cellStyle name="Labels - Opmaakprofiel3 2 27 2 2 5" xfId="54411"/>
    <cellStyle name="Labels - Opmaakprofiel3 2 27 2 3" xfId="14885"/>
    <cellStyle name="Labels - Opmaakprofiel3 2 27 2 4" xfId="26937"/>
    <cellStyle name="Labels - Opmaakprofiel3 2 27 2 5" xfId="45508"/>
    <cellStyle name="Labels - Opmaakprofiel3 2 27 2 6" xfId="48452"/>
    <cellStyle name="Labels - Opmaakprofiel3 2 27 3" xfId="2971"/>
    <cellStyle name="Labels - Opmaakprofiel3 2 27 3 2" xfId="9447"/>
    <cellStyle name="Labels - Opmaakprofiel3 2 27 3 2 2" xfId="21745"/>
    <cellStyle name="Labels - Opmaakprofiel3 2 27 3 2 3" xfId="33797"/>
    <cellStyle name="Labels - Opmaakprofiel3 2 27 3 2 4" xfId="42688"/>
    <cellStyle name="Labels - Opmaakprofiel3 2 27 3 2 5" xfId="54412"/>
    <cellStyle name="Labels - Opmaakprofiel3 2 27 3 3" xfId="14886"/>
    <cellStyle name="Labels - Opmaakprofiel3 2 27 3 4" xfId="26938"/>
    <cellStyle name="Labels - Opmaakprofiel3 2 27 3 5" xfId="39708"/>
    <cellStyle name="Labels - Opmaakprofiel3 2 27 3 6" xfId="48453"/>
    <cellStyle name="Labels - Opmaakprofiel3 2 27 4" xfId="3817"/>
    <cellStyle name="Labels - Opmaakprofiel3 2 27 4 2" xfId="9448"/>
    <cellStyle name="Labels - Opmaakprofiel3 2 27 4 2 2" xfId="21746"/>
    <cellStyle name="Labels - Opmaakprofiel3 2 27 4 2 3" xfId="33798"/>
    <cellStyle name="Labels - Opmaakprofiel3 2 27 4 2 4" xfId="31464"/>
    <cellStyle name="Labels - Opmaakprofiel3 2 27 4 2 5" xfId="54413"/>
    <cellStyle name="Labels - Opmaakprofiel3 2 27 4 3" xfId="14887"/>
    <cellStyle name="Labels - Opmaakprofiel3 2 27 4 4" xfId="26939"/>
    <cellStyle name="Labels - Opmaakprofiel3 2 27 4 5" xfId="45507"/>
    <cellStyle name="Labels - Opmaakprofiel3 2 27 4 6" xfId="48454"/>
    <cellStyle name="Labels - Opmaakprofiel3 2 27 5" xfId="5167"/>
    <cellStyle name="Labels - Opmaakprofiel3 2 27 5 2" xfId="9449"/>
    <cellStyle name="Labels - Opmaakprofiel3 2 27 5 2 2" xfId="21747"/>
    <cellStyle name="Labels - Opmaakprofiel3 2 27 5 2 3" xfId="33799"/>
    <cellStyle name="Labels - Opmaakprofiel3 2 27 5 2 4" xfId="42687"/>
    <cellStyle name="Labels - Opmaakprofiel3 2 27 5 2 5" xfId="54414"/>
    <cellStyle name="Labels - Opmaakprofiel3 2 27 5 3" xfId="14888"/>
    <cellStyle name="Labels - Opmaakprofiel3 2 27 5 4" xfId="26940"/>
    <cellStyle name="Labels - Opmaakprofiel3 2 27 5 5" xfId="39707"/>
    <cellStyle name="Labels - Opmaakprofiel3 2 27 5 6" xfId="48455"/>
    <cellStyle name="Labels - Opmaakprofiel3 2 27 6" xfId="5168"/>
    <cellStyle name="Labels - Opmaakprofiel3 2 27 6 2" xfId="9450"/>
    <cellStyle name="Labels - Opmaakprofiel3 2 27 6 2 2" xfId="21748"/>
    <cellStyle name="Labels - Opmaakprofiel3 2 27 6 2 3" xfId="33800"/>
    <cellStyle name="Labels - Opmaakprofiel3 2 27 6 2 4" xfId="27928"/>
    <cellStyle name="Labels - Opmaakprofiel3 2 27 6 2 5" xfId="54415"/>
    <cellStyle name="Labels - Opmaakprofiel3 2 27 6 3" xfId="14889"/>
    <cellStyle name="Labels - Opmaakprofiel3 2 27 6 4" xfId="26941"/>
    <cellStyle name="Labels - Opmaakprofiel3 2 27 6 5" xfId="39706"/>
    <cellStyle name="Labels - Opmaakprofiel3 2 27 6 6" xfId="48456"/>
    <cellStyle name="Labels - Opmaakprofiel3 2 27 7" xfId="5169"/>
    <cellStyle name="Labels - Opmaakprofiel3 2 27 7 2" xfId="14890"/>
    <cellStyle name="Labels - Opmaakprofiel3 2 27 7 3" xfId="26942"/>
    <cellStyle name="Labels - Opmaakprofiel3 2 27 7 4" xfId="39705"/>
    <cellStyle name="Labels - Opmaakprofiel3 2 27 7 5" xfId="48457"/>
    <cellStyle name="Labels - Opmaakprofiel3 2 27 8" xfId="10025"/>
    <cellStyle name="Labels - Opmaakprofiel3 2 27 8 2" xfId="22323"/>
    <cellStyle name="Labels - Opmaakprofiel3 2 27 8 3" xfId="44087"/>
    <cellStyle name="Labels - Opmaakprofiel3 2 27 8 4" xfId="31549"/>
    <cellStyle name="Labels - Opmaakprofiel3 2 27 8 5" xfId="54990"/>
    <cellStyle name="Labels - Opmaakprofiel3 2 27 9" xfId="14884"/>
    <cellStyle name="Labels - Opmaakprofiel3 2 28" xfId="464"/>
    <cellStyle name="Labels - Opmaakprofiel3 2 28 2" xfId="2191"/>
    <cellStyle name="Labels - Opmaakprofiel3 2 28 2 2" xfId="9451"/>
    <cellStyle name="Labels - Opmaakprofiel3 2 28 2 2 2" xfId="21749"/>
    <cellStyle name="Labels - Opmaakprofiel3 2 28 2 2 3" xfId="33801"/>
    <cellStyle name="Labels - Opmaakprofiel3 2 28 2 2 4" xfId="42686"/>
    <cellStyle name="Labels - Opmaakprofiel3 2 28 2 2 5" xfId="54416"/>
    <cellStyle name="Labels - Opmaakprofiel3 2 28 2 3" xfId="14892"/>
    <cellStyle name="Labels - Opmaakprofiel3 2 28 2 4" xfId="26944"/>
    <cellStyle name="Labels - Opmaakprofiel3 2 28 2 5" xfId="39704"/>
    <cellStyle name="Labels - Opmaakprofiel3 2 28 2 6" xfId="48458"/>
    <cellStyle name="Labels - Opmaakprofiel3 2 28 3" xfId="2535"/>
    <cellStyle name="Labels - Opmaakprofiel3 2 28 3 2" xfId="9452"/>
    <cellStyle name="Labels - Opmaakprofiel3 2 28 3 2 2" xfId="21750"/>
    <cellStyle name="Labels - Opmaakprofiel3 2 28 3 2 3" xfId="33802"/>
    <cellStyle name="Labels - Opmaakprofiel3 2 28 3 2 4" xfId="31384"/>
    <cellStyle name="Labels - Opmaakprofiel3 2 28 3 2 5" xfId="54417"/>
    <cellStyle name="Labels - Opmaakprofiel3 2 28 3 3" xfId="14893"/>
    <cellStyle name="Labels - Opmaakprofiel3 2 28 3 4" xfId="26945"/>
    <cellStyle name="Labels - Opmaakprofiel3 2 28 3 5" xfId="45506"/>
    <cellStyle name="Labels - Opmaakprofiel3 2 28 3 6" xfId="48459"/>
    <cellStyle name="Labels - Opmaakprofiel3 2 28 4" xfId="3423"/>
    <cellStyle name="Labels - Opmaakprofiel3 2 28 4 2" xfId="9453"/>
    <cellStyle name="Labels - Opmaakprofiel3 2 28 4 2 2" xfId="21751"/>
    <cellStyle name="Labels - Opmaakprofiel3 2 28 4 2 3" xfId="33803"/>
    <cellStyle name="Labels - Opmaakprofiel3 2 28 4 2 4" xfId="32060"/>
    <cellStyle name="Labels - Opmaakprofiel3 2 28 4 2 5" xfId="54418"/>
    <cellStyle name="Labels - Opmaakprofiel3 2 28 4 3" xfId="14894"/>
    <cellStyle name="Labels - Opmaakprofiel3 2 28 4 4" xfId="26946"/>
    <cellStyle name="Labels - Opmaakprofiel3 2 28 4 5" xfId="39703"/>
    <cellStyle name="Labels - Opmaakprofiel3 2 28 4 6" xfId="48460"/>
    <cellStyle name="Labels - Opmaakprofiel3 2 28 5" xfId="5170"/>
    <cellStyle name="Labels - Opmaakprofiel3 2 28 5 2" xfId="9454"/>
    <cellStyle name="Labels - Opmaakprofiel3 2 28 5 2 2" xfId="21752"/>
    <cellStyle name="Labels - Opmaakprofiel3 2 28 5 2 3" xfId="33804"/>
    <cellStyle name="Labels - Opmaakprofiel3 2 28 5 2 4" xfId="32084"/>
    <cellStyle name="Labels - Opmaakprofiel3 2 28 5 2 5" xfId="54419"/>
    <cellStyle name="Labels - Opmaakprofiel3 2 28 5 3" xfId="14895"/>
    <cellStyle name="Labels - Opmaakprofiel3 2 28 5 4" xfId="26947"/>
    <cellStyle name="Labels - Opmaakprofiel3 2 28 5 5" xfId="45505"/>
    <cellStyle name="Labels - Opmaakprofiel3 2 28 5 6" xfId="48461"/>
    <cellStyle name="Labels - Opmaakprofiel3 2 28 6" xfId="5171"/>
    <cellStyle name="Labels - Opmaakprofiel3 2 28 6 2" xfId="9455"/>
    <cellStyle name="Labels - Opmaakprofiel3 2 28 6 2 2" xfId="21753"/>
    <cellStyle name="Labels - Opmaakprofiel3 2 28 6 2 3" xfId="33805"/>
    <cellStyle name="Labels - Opmaakprofiel3 2 28 6 2 4" xfId="42685"/>
    <cellStyle name="Labels - Opmaakprofiel3 2 28 6 2 5" xfId="54420"/>
    <cellStyle name="Labels - Opmaakprofiel3 2 28 6 3" xfId="14896"/>
    <cellStyle name="Labels - Opmaakprofiel3 2 28 6 4" xfId="26948"/>
    <cellStyle name="Labels - Opmaakprofiel3 2 28 6 5" xfId="39702"/>
    <cellStyle name="Labels - Opmaakprofiel3 2 28 6 6" xfId="48462"/>
    <cellStyle name="Labels - Opmaakprofiel3 2 28 7" xfId="5172"/>
    <cellStyle name="Labels - Opmaakprofiel3 2 28 7 2" xfId="14897"/>
    <cellStyle name="Labels - Opmaakprofiel3 2 28 7 3" xfId="26949"/>
    <cellStyle name="Labels - Opmaakprofiel3 2 28 7 4" xfId="45504"/>
    <cellStyle name="Labels - Opmaakprofiel3 2 28 7 5" xfId="48463"/>
    <cellStyle name="Labels - Opmaakprofiel3 2 28 8" xfId="7673"/>
    <cellStyle name="Labels - Opmaakprofiel3 2 28 8 2" xfId="19971"/>
    <cellStyle name="Labels - Opmaakprofiel3 2 28 8 3" xfId="41774"/>
    <cellStyle name="Labels - Opmaakprofiel3 2 28 8 4" xfId="25041"/>
    <cellStyle name="Labels - Opmaakprofiel3 2 28 8 5" xfId="52643"/>
    <cellStyle name="Labels - Opmaakprofiel3 2 28 9" xfId="14891"/>
    <cellStyle name="Labels - Opmaakprofiel3 2 29" xfId="1152"/>
    <cellStyle name="Labels - Opmaakprofiel3 2 29 2" xfId="1860"/>
    <cellStyle name="Labels - Opmaakprofiel3 2 29 2 2" xfId="9456"/>
    <cellStyle name="Labels - Opmaakprofiel3 2 29 2 2 2" xfId="21754"/>
    <cellStyle name="Labels - Opmaakprofiel3 2 29 2 2 3" xfId="33806"/>
    <cellStyle name="Labels - Opmaakprofiel3 2 29 2 2 4" xfId="27935"/>
    <cellStyle name="Labels - Opmaakprofiel3 2 29 2 2 5" xfId="54421"/>
    <cellStyle name="Labels - Opmaakprofiel3 2 29 2 3" xfId="14899"/>
    <cellStyle name="Labels - Opmaakprofiel3 2 29 2 4" xfId="26951"/>
    <cellStyle name="Labels - Opmaakprofiel3 2 29 2 5" xfId="45503"/>
    <cellStyle name="Labels - Opmaakprofiel3 2 29 2 6" xfId="48464"/>
    <cellStyle name="Labels - Opmaakprofiel3 2 29 3" xfId="3163"/>
    <cellStyle name="Labels - Opmaakprofiel3 2 29 3 2" xfId="9457"/>
    <cellStyle name="Labels - Opmaakprofiel3 2 29 3 2 2" xfId="21755"/>
    <cellStyle name="Labels - Opmaakprofiel3 2 29 3 2 3" xfId="33807"/>
    <cellStyle name="Labels - Opmaakprofiel3 2 29 3 2 4" xfId="42684"/>
    <cellStyle name="Labels - Opmaakprofiel3 2 29 3 2 5" xfId="54422"/>
    <cellStyle name="Labels - Opmaakprofiel3 2 29 3 3" xfId="14900"/>
    <cellStyle name="Labels - Opmaakprofiel3 2 29 3 4" xfId="26952"/>
    <cellStyle name="Labels - Opmaakprofiel3 2 29 3 5" xfId="39700"/>
    <cellStyle name="Labels - Opmaakprofiel3 2 29 3 6" xfId="48465"/>
    <cellStyle name="Labels - Opmaakprofiel3 2 29 4" xfId="3985"/>
    <cellStyle name="Labels - Opmaakprofiel3 2 29 4 2" xfId="9458"/>
    <cellStyle name="Labels - Opmaakprofiel3 2 29 4 2 2" xfId="21756"/>
    <cellStyle name="Labels - Opmaakprofiel3 2 29 4 2 3" xfId="33808"/>
    <cellStyle name="Labels - Opmaakprofiel3 2 29 4 2 4" xfId="31622"/>
    <cellStyle name="Labels - Opmaakprofiel3 2 29 4 2 5" xfId="54423"/>
    <cellStyle name="Labels - Opmaakprofiel3 2 29 4 3" xfId="14901"/>
    <cellStyle name="Labels - Opmaakprofiel3 2 29 4 4" xfId="26953"/>
    <cellStyle name="Labels - Opmaakprofiel3 2 29 4 5" xfId="39699"/>
    <cellStyle name="Labels - Opmaakprofiel3 2 29 4 6" xfId="48466"/>
    <cellStyle name="Labels - Opmaakprofiel3 2 29 5" xfId="5173"/>
    <cellStyle name="Labels - Opmaakprofiel3 2 29 5 2" xfId="9459"/>
    <cellStyle name="Labels - Opmaakprofiel3 2 29 5 2 2" xfId="21757"/>
    <cellStyle name="Labels - Opmaakprofiel3 2 29 5 2 3" xfId="33809"/>
    <cellStyle name="Labels - Opmaakprofiel3 2 29 5 2 4" xfId="42683"/>
    <cellStyle name="Labels - Opmaakprofiel3 2 29 5 2 5" xfId="54424"/>
    <cellStyle name="Labels - Opmaakprofiel3 2 29 5 3" xfId="14902"/>
    <cellStyle name="Labels - Opmaakprofiel3 2 29 5 4" xfId="26954"/>
    <cellStyle name="Labels - Opmaakprofiel3 2 29 5 5" xfId="39698"/>
    <cellStyle name="Labels - Opmaakprofiel3 2 29 5 6" xfId="48467"/>
    <cellStyle name="Labels - Opmaakprofiel3 2 29 6" xfId="5174"/>
    <cellStyle name="Labels - Opmaakprofiel3 2 29 6 2" xfId="9460"/>
    <cellStyle name="Labels - Opmaakprofiel3 2 29 6 2 2" xfId="21758"/>
    <cellStyle name="Labels - Opmaakprofiel3 2 29 6 2 3" xfId="33810"/>
    <cellStyle name="Labels - Opmaakprofiel3 2 29 6 2 4" xfId="32126"/>
    <cellStyle name="Labels - Opmaakprofiel3 2 29 6 2 5" xfId="54425"/>
    <cellStyle name="Labels - Opmaakprofiel3 2 29 6 3" xfId="14903"/>
    <cellStyle name="Labels - Opmaakprofiel3 2 29 6 4" xfId="26955"/>
    <cellStyle name="Labels - Opmaakprofiel3 2 29 6 5" xfId="45502"/>
    <cellStyle name="Labels - Opmaakprofiel3 2 29 6 6" xfId="48468"/>
    <cellStyle name="Labels - Opmaakprofiel3 2 29 7" xfId="5175"/>
    <cellStyle name="Labels - Opmaakprofiel3 2 29 7 2" xfId="14904"/>
    <cellStyle name="Labels - Opmaakprofiel3 2 29 7 3" xfId="26956"/>
    <cellStyle name="Labels - Opmaakprofiel3 2 29 7 4" xfId="39697"/>
    <cellStyle name="Labels - Opmaakprofiel3 2 29 7 5" xfId="48469"/>
    <cellStyle name="Labels - Opmaakprofiel3 2 29 8" xfId="9878"/>
    <cellStyle name="Labels - Opmaakprofiel3 2 29 8 2" xfId="22176"/>
    <cellStyle name="Labels - Opmaakprofiel3 2 29 8 3" xfId="43943"/>
    <cellStyle name="Labels - Opmaakprofiel3 2 29 8 4" xfId="42508"/>
    <cellStyle name="Labels - Opmaakprofiel3 2 29 8 5" xfId="54843"/>
    <cellStyle name="Labels - Opmaakprofiel3 2 29 9" xfId="14898"/>
    <cellStyle name="Labels - Opmaakprofiel3 2 3" xfId="351"/>
    <cellStyle name="Labels - Opmaakprofiel3 2 3 10" xfId="1865"/>
    <cellStyle name="Labels - Opmaakprofiel3 2 3 10 2" xfId="9461"/>
    <cellStyle name="Labels - Opmaakprofiel3 2 3 10 2 2" xfId="21759"/>
    <cellStyle name="Labels - Opmaakprofiel3 2 3 10 2 3" xfId="33811"/>
    <cellStyle name="Labels - Opmaakprofiel3 2 3 10 2 4" xfId="42682"/>
    <cellStyle name="Labels - Opmaakprofiel3 2 3 10 2 5" xfId="54426"/>
    <cellStyle name="Labels - Opmaakprofiel3 2 3 10 3" xfId="14906"/>
    <cellStyle name="Labels - Opmaakprofiel3 2 3 10 4" xfId="26958"/>
    <cellStyle name="Labels - Opmaakprofiel3 2 3 10 5" xfId="39696"/>
    <cellStyle name="Labels - Opmaakprofiel3 2 3 10 6" xfId="48470"/>
    <cellStyle name="Labels - Opmaakprofiel3 2 3 11" xfId="1870"/>
    <cellStyle name="Labels - Opmaakprofiel3 2 3 11 2" xfId="9462"/>
    <cellStyle name="Labels - Opmaakprofiel3 2 3 11 2 2" xfId="21760"/>
    <cellStyle name="Labels - Opmaakprofiel3 2 3 11 2 3" xfId="33812"/>
    <cellStyle name="Labels - Opmaakprofiel3 2 3 11 2 4" xfId="27940"/>
    <cellStyle name="Labels - Opmaakprofiel3 2 3 11 2 5" xfId="54427"/>
    <cellStyle name="Labels - Opmaakprofiel3 2 3 11 3" xfId="14907"/>
    <cellStyle name="Labels - Opmaakprofiel3 2 3 11 4" xfId="26959"/>
    <cellStyle name="Labels - Opmaakprofiel3 2 3 11 5" xfId="45500"/>
    <cellStyle name="Labels - Opmaakprofiel3 2 3 11 6" xfId="48471"/>
    <cellStyle name="Labels - Opmaakprofiel3 2 3 12" xfId="2294"/>
    <cellStyle name="Labels - Opmaakprofiel3 2 3 12 2" xfId="9463"/>
    <cellStyle name="Labels - Opmaakprofiel3 2 3 12 2 2" xfId="21761"/>
    <cellStyle name="Labels - Opmaakprofiel3 2 3 12 2 3" xfId="33813"/>
    <cellStyle name="Labels - Opmaakprofiel3 2 3 12 2 4" xfId="42681"/>
    <cellStyle name="Labels - Opmaakprofiel3 2 3 12 2 5" xfId="54428"/>
    <cellStyle name="Labels - Opmaakprofiel3 2 3 12 3" xfId="14908"/>
    <cellStyle name="Labels - Opmaakprofiel3 2 3 12 4" xfId="26960"/>
    <cellStyle name="Labels - Opmaakprofiel3 2 3 12 5" xfId="39695"/>
    <cellStyle name="Labels - Opmaakprofiel3 2 3 12 6" xfId="48472"/>
    <cellStyle name="Labels - Opmaakprofiel3 2 3 13" xfId="5176"/>
    <cellStyle name="Labels - Opmaakprofiel3 2 3 13 2" xfId="9464"/>
    <cellStyle name="Labels - Opmaakprofiel3 2 3 13 2 2" xfId="21762"/>
    <cellStyle name="Labels - Opmaakprofiel3 2 3 13 2 3" xfId="33814"/>
    <cellStyle name="Labels - Opmaakprofiel3 2 3 13 2 4" xfId="27941"/>
    <cellStyle name="Labels - Opmaakprofiel3 2 3 13 2 5" xfId="54429"/>
    <cellStyle name="Labels - Opmaakprofiel3 2 3 13 3" xfId="14909"/>
    <cellStyle name="Labels - Opmaakprofiel3 2 3 13 4" xfId="26961"/>
    <cellStyle name="Labels - Opmaakprofiel3 2 3 13 5" xfId="45499"/>
    <cellStyle name="Labels - Opmaakprofiel3 2 3 13 6" xfId="48473"/>
    <cellStyle name="Labels - Opmaakprofiel3 2 3 14" xfId="5177"/>
    <cellStyle name="Labels - Opmaakprofiel3 2 3 14 2" xfId="9465"/>
    <cellStyle name="Labels - Opmaakprofiel3 2 3 14 2 2" xfId="21763"/>
    <cellStyle name="Labels - Opmaakprofiel3 2 3 14 2 3" xfId="33815"/>
    <cellStyle name="Labels - Opmaakprofiel3 2 3 14 2 4" xfId="31342"/>
    <cellStyle name="Labels - Opmaakprofiel3 2 3 14 2 5" xfId="54430"/>
    <cellStyle name="Labels - Opmaakprofiel3 2 3 14 3" xfId="14910"/>
    <cellStyle name="Labels - Opmaakprofiel3 2 3 14 4" xfId="26962"/>
    <cellStyle name="Labels - Opmaakprofiel3 2 3 14 5" xfId="39694"/>
    <cellStyle name="Labels - Opmaakprofiel3 2 3 14 6" xfId="48474"/>
    <cellStyle name="Labels - Opmaakprofiel3 2 3 15" xfId="5178"/>
    <cellStyle name="Labels - Opmaakprofiel3 2 3 15 2" xfId="14911"/>
    <cellStyle name="Labels - Opmaakprofiel3 2 3 15 3" xfId="26963"/>
    <cellStyle name="Labels - Opmaakprofiel3 2 3 15 4" xfId="45498"/>
    <cellStyle name="Labels - Opmaakprofiel3 2 3 15 5" xfId="48475"/>
    <cellStyle name="Labels - Opmaakprofiel3 2 3 16" xfId="7749"/>
    <cellStyle name="Labels - Opmaakprofiel3 2 3 16 2" xfId="20047"/>
    <cellStyle name="Labels - Opmaakprofiel3 2 3 16 3" xfId="41850"/>
    <cellStyle name="Labels - Opmaakprofiel3 2 3 16 4" xfId="31614"/>
    <cellStyle name="Labels - Opmaakprofiel3 2 3 16 5" xfId="52719"/>
    <cellStyle name="Labels - Opmaakprofiel3 2 3 17" xfId="14905"/>
    <cellStyle name="Labels - Opmaakprofiel3 2 3 2" xfId="629"/>
    <cellStyle name="Labels - Opmaakprofiel3 2 3 2 2" xfId="1524"/>
    <cellStyle name="Labels - Opmaakprofiel3 2 3 2 2 2" xfId="9466"/>
    <cellStyle name="Labels - Opmaakprofiel3 2 3 2 2 2 2" xfId="21764"/>
    <cellStyle name="Labels - Opmaakprofiel3 2 3 2 2 2 3" xfId="33816"/>
    <cellStyle name="Labels - Opmaakprofiel3 2 3 2 2 2 4" xfId="31823"/>
    <cellStyle name="Labels - Opmaakprofiel3 2 3 2 2 2 5" xfId="54431"/>
    <cellStyle name="Labels - Opmaakprofiel3 2 3 2 2 3" xfId="14913"/>
    <cellStyle name="Labels - Opmaakprofiel3 2 3 2 2 4" xfId="26965"/>
    <cellStyle name="Labels - Opmaakprofiel3 2 3 2 2 5" xfId="39692"/>
    <cellStyle name="Labels - Opmaakprofiel3 2 3 2 2 6" xfId="48476"/>
    <cellStyle name="Labels - Opmaakprofiel3 2 3 2 3" xfId="2695"/>
    <cellStyle name="Labels - Opmaakprofiel3 2 3 2 3 2" xfId="9467"/>
    <cellStyle name="Labels - Opmaakprofiel3 2 3 2 3 2 2" xfId="21765"/>
    <cellStyle name="Labels - Opmaakprofiel3 2 3 2 3 2 3" xfId="33817"/>
    <cellStyle name="Labels - Opmaakprofiel3 2 3 2 3 2 4" xfId="42680"/>
    <cellStyle name="Labels - Opmaakprofiel3 2 3 2 3 2 5" xfId="54432"/>
    <cellStyle name="Labels - Opmaakprofiel3 2 3 2 3 3" xfId="14914"/>
    <cellStyle name="Labels - Opmaakprofiel3 2 3 2 3 4" xfId="26966"/>
    <cellStyle name="Labels - Opmaakprofiel3 2 3 2 3 5" xfId="39691"/>
    <cellStyle name="Labels - Opmaakprofiel3 2 3 2 3 6" xfId="48477"/>
    <cellStyle name="Labels - Opmaakprofiel3 2 3 2 4" xfId="3567"/>
    <cellStyle name="Labels - Opmaakprofiel3 2 3 2 4 2" xfId="9468"/>
    <cellStyle name="Labels - Opmaakprofiel3 2 3 2 4 2 2" xfId="21766"/>
    <cellStyle name="Labels - Opmaakprofiel3 2 3 2 4 2 3" xfId="33818"/>
    <cellStyle name="Labels - Opmaakprofiel3 2 3 2 4 2 4" xfId="27946"/>
    <cellStyle name="Labels - Opmaakprofiel3 2 3 2 4 2 5" xfId="54433"/>
    <cellStyle name="Labels - Opmaakprofiel3 2 3 2 4 3" xfId="14915"/>
    <cellStyle name="Labels - Opmaakprofiel3 2 3 2 4 4" xfId="26967"/>
    <cellStyle name="Labels - Opmaakprofiel3 2 3 2 4 5" xfId="45497"/>
    <cellStyle name="Labels - Opmaakprofiel3 2 3 2 4 6" xfId="48478"/>
    <cellStyle name="Labels - Opmaakprofiel3 2 3 2 5" xfId="5179"/>
    <cellStyle name="Labels - Opmaakprofiel3 2 3 2 5 2" xfId="9469"/>
    <cellStyle name="Labels - Opmaakprofiel3 2 3 2 5 2 2" xfId="21767"/>
    <cellStyle name="Labels - Opmaakprofiel3 2 3 2 5 2 3" xfId="33819"/>
    <cellStyle name="Labels - Opmaakprofiel3 2 3 2 5 2 4" xfId="42679"/>
    <cellStyle name="Labels - Opmaakprofiel3 2 3 2 5 2 5" xfId="54434"/>
    <cellStyle name="Labels - Opmaakprofiel3 2 3 2 5 3" xfId="14916"/>
    <cellStyle name="Labels - Opmaakprofiel3 2 3 2 5 4" xfId="26968"/>
    <cellStyle name="Labels - Opmaakprofiel3 2 3 2 5 5" xfId="39690"/>
    <cellStyle name="Labels - Opmaakprofiel3 2 3 2 5 6" xfId="48479"/>
    <cellStyle name="Labels - Opmaakprofiel3 2 3 2 6" xfId="5180"/>
    <cellStyle name="Labels - Opmaakprofiel3 2 3 2 6 2" xfId="9470"/>
    <cellStyle name="Labels - Opmaakprofiel3 2 3 2 6 2 2" xfId="21768"/>
    <cellStyle name="Labels - Opmaakprofiel3 2 3 2 6 2 3" xfId="33820"/>
    <cellStyle name="Labels - Opmaakprofiel3 2 3 2 6 2 4" xfId="27947"/>
    <cellStyle name="Labels - Opmaakprofiel3 2 3 2 6 2 5" xfId="54435"/>
    <cellStyle name="Labels - Opmaakprofiel3 2 3 2 6 3" xfId="14917"/>
    <cellStyle name="Labels - Opmaakprofiel3 2 3 2 6 4" xfId="26969"/>
    <cellStyle name="Labels - Opmaakprofiel3 2 3 2 6 5" xfId="45496"/>
    <cellStyle name="Labels - Opmaakprofiel3 2 3 2 6 6" xfId="48480"/>
    <cellStyle name="Labels - Opmaakprofiel3 2 3 2 7" xfId="5181"/>
    <cellStyle name="Labels - Opmaakprofiel3 2 3 2 7 2" xfId="14918"/>
    <cellStyle name="Labels - Opmaakprofiel3 2 3 2 7 3" xfId="26970"/>
    <cellStyle name="Labels - Opmaakprofiel3 2 3 2 7 4" xfId="39689"/>
    <cellStyle name="Labels - Opmaakprofiel3 2 3 2 7 5" xfId="48481"/>
    <cellStyle name="Labels - Opmaakprofiel3 2 3 2 8" xfId="7562"/>
    <cellStyle name="Labels - Opmaakprofiel3 2 3 2 8 2" xfId="19860"/>
    <cellStyle name="Labels - Opmaakprofiel3 2 3 2 8 3" xfId="41663"/>
    <cellStyle name="Labels - Opmaakprofiel3 2 3 2 8 4" xfId="43457"/>
    <cellStyle name="Labels - Opmaakprofiel3 2 3 2 8 5" xfId="52532"/>
    <cellStyle name="Labels - Opmaakprofiel3 2 3 2 9" xfId="14912"/>
    <cellStyle name="Labels - Opmaakprofiel3 2 3 3" xfId="436"/>
    <cellStyle name="Labels - Opmaakprofiel3 2 3 3 2" xfId="1720"/>
    <cellStyle name="Labels - Opmaakprofiel3 2 3 3 2 2" xfId="9471"/>
    <cellStyle name="Labels - Opmaakprofiel3 2 3 3 2 2 2" xfId="21769"/>
    <cellStyle name="Labels - Opmaakprofiel3 2 3 3 2 2 3" xfId="33821"/>
    <cellStyle name="Labels - Opmaakprofiel3 2 3 3 2 2 4" xfId="42678"/>
    <cellStyle name="Labels - Opmaakprofiel3 2 3 3 2 2 5" xfId="54436"/>
    <cellStyle name="Labels - Opmaakprofiel3 2 3 3 2 3" xfId="14920"/>
    <cellStyle name="Labels - Opmaakprofiel3 2 3 3 2 4" xfId="26972"/>
    <cellStyle name="Labels - Opmaakprofiel3 2 3 3 2 5" xfId="39688"/>
    <cellStyle name="Labels - Opmaakprofiel3 2 3 3 2 6" xfId="48482"/>
    <cellStyle name="Labels - Opmaakprofiel3 2 3 3 3" xfId="2507"/>
    <cellStyle name="Labels - Opmaakprofiel3 2 3 3 3 2" xfId="9472"/>
    <cellStyle name="Labels - Opmaakprofiel3 2 3 3 3 2 2" xfId="21770"/>
    <cellStyle name="Labels - Opmaakprofiel3 2 3 3 3 2 3" xfId="33822"/>
    <cellStyle name="Labels - Opmaakprofiel3 2 3 3 3 2 4" xfId="31910"/>
    <cellStyle name="Labels - Opmaakprofiel3 2 3 3 3 2 5" xfId="54437"/>
    <cellStyle name="Labels - Opmaakprofiel3 2 3 3 3 3" xfId="14921"/>
    <cellStyle name="Labels - Opmaakprofiel3 2 3 3 3 4" xfId="26973"/>
    <cellStyle name="Labels - Opmaakprofiel3 2 3 3 3 5" xfId="45494"/>
    <cellStyle name="Labels - Opmaakprofiel3 2 3 3 3 6" xfId="48483"/>
    <cellStyle name="Labels - Opmaakprofiel3 2 3 3 4" xfId="2212"/>
    <cellStyle name="Labels - Opmaakprofiel3 2 3 3 4 2" xfId="9473"/>
    <cellStyle name="Labels - Opmaakprofiel3 2 3 3 4 2 2" xfId="21771"/>
    <cellStyle name="Labels - Opmaakprofiel3 2 3 3 4 2 3" xfId="33823"/>
    <cellStyle name="Labels - Opmaakprofiel3 2 3 3 4 2 4" xfId="42677"/>
    <cellStyle name="Labels - Opmaakprofiel3 2 3 3 4 2 5" xfId="54438"/>
    <cellStyle name="Labels - Opmaakprofiel3 2 3 3 4 3" xfId="14922"/>
    <cellStyle name="Labels - Opmaakprofiel3 2 3 3 4 4" xfId="26974"/>
    <cellStyle name="Labels - Opmaakprofiel3 2 3 3 4 5" xfId="39687"/>
    <cellStyle name="Labels - Opmaakprofiel3 2 3 3 4 6" xfId="48484"/>
    <cellStyle name="Labels - Opmaakprofiel3 2 3 3 5" xfId="5182"/>
    <cellStyle name="Labels - Opmaakprofiel3 2 3 3 5 2" xfId="9474"/>
    <cellStyle name="Labels - Opmaakprofiel3 2 3 3 5 2 2" xfId="21772"/>
    <cellStyle name="Labels - Opmaakprofiel3 2 3 3 5 2 3" xfId="33824"/>
    <cellStyle name="Labels - Opmaakprofiel3 2 3 3 5 2 4" xfId="31853"/>
    <cellStyle name="Labels - Opmaakprofiel3 2 3 3 5 2 5" xfId="54439"/>
    <cellStyle name="Labels - Opmaakprofiel3 2 3 3 5 3" xfId="14923"/>
    <cellStyle name="Labels - Opmaakprofiel3 2 3 3 5 4" xfId="26975"/>
    <cellStyle name="Labels - Opmaakprofiel3 2 3 3 5 5" xfId="45493"/>
    <cellStyle name="Labels - Opmaakprofiel3 2 3 3 5 6" xfId="48485"/>
    <cellStyle name="Labels - Opmaakprofiel3 2 3 3 6" xfId="5183"/>
    <cellStyle name="Labels - Opmaakprofiel3 2 3 3 6 2" xfId="9475"/>
    <cellStyle name="Labels - Opmaakprofiel3 2 3 3 6 2 2" xfId="21773"/>
    <cellStyle name="Labels - Opmaakprofiel3 2 3 3 6 2 3" xfId="33825"/>
    <cellStyle name="Labels - Opmaakprofiel3 2 3 3 6 2 4" xfId="42676"/>
    <cellStyle name="Labels - Opmaakprofiel3 2 3 3 6 2 5" xfId="54440"/>
    <cellStyle name="Labels - Opmaakprofiel3 2 3 3 6 3" xfId="14924"/>
    <cellStyle name="Labels - Opmaakprofiel3 2 3 3 6 4" xfId="26976"/>
    <cellStyle name="Labels - Opmaakprofiel3 2 3 3 6 5" xfId="39686"/>
    <cellStyle name="Labels - Opmaakprofiel3 2 3 3 6 6" xfId="48486"/>
    <cellStyle name="Labels - Opmaakprofiel3 2 3 3 7" xfId="5184"/>
    <cellStyle name="Labels - Opmaakprofiel3 2 3 3 7 2" xfId="14925"/>
    <cellStyle name="Labels - Opmaakprofiel3 2 3 3 7 3" xfId="26977"/>
    <cellStyle name="Labels - Opmaakprofiel3 2 3 3 7 4" xfId="39685"/>
    <cellStyle name="Labels - Opmaakprofiel3 2 3 3 7 5" xfId="48487"/>
    <cellStyle name="Labels - Opmaakprofiel3 2 3 3 8" xfId="10383"/>
    <cellStyle name="Labels - Opmaakprofiel3 2 3 3 8 2" xfId="22681"/>
    <cellStyle name="Labels - Opmaakprofiel3 2 3 3 8 3" xfId="44441"/>
    <cellStyle name="Labels - Opmaakprofiel3 2 3 3 8 4" xfId="31988"/>
    <cellStyle name="Labels - Opmaakprofiel3 2 3 3 8 5" xfId="55348"/>
    <cellStyle name="Labels - Opmaakprofiel3 2 3 3 9" xfId="14919"/>
    <cellStyle name="Labels - Opmaakprofiel3 2 3 4" xfId="457"/>
    <cellStyle name="Labels - Opmaakprofiel3 2 3 4 2" xfId="2219"/>
    <cellStyle name="Labels - Opmaakprofiel3 2 3 4 2 2" xfId="9476"/>
    <cellStyle name="Labels - Opmaakprofiel3 2 3 4 2 2 2" xfId="21774"/>
    <cellStyle name="Labels - Opmaakprofiel3 2 3 4 2 2 3" xfId="33826"/>
    <cellStyle name="Labels - Opmaakprofiel3 2 3 4 2 2 4" xfId="27952"/>
    <cellStyle name="Labels - Opmaakprofiel3 2 3 4 2 2 5" xfId="54441"/>
    <cellStyle name="Labels - Opmaakprofiel3 2 3 4 2 3" xfId="14927"/>
    <cellStyle name="Labels - Opmaakprofiel3 2 3 4 2 4" xfId="26979"/>
    <cellStyle name="Labels - Opmaakprofiel3 2 3 4 2 5" xfId="45492"/>
    <cellStyle name="Labels - Opmaakprofiel3 2 3 4 2 6" xfId="48488"/>
    <cellStyle name="Labels - Opmaakprofiel3 2 3 4 3" xfId="2528"/>
    <cellStyle name="Labels - Opmaakprofiel3 2 3 4 3 2" xfId="9477"/>
    <cellStyle name="Labels - Opmaakprofiel3 2 3 4 3 2 2" xfId="21775"/>
    <cellStyle name="Labels - Opmaakprofiel3 2 3 4 3 2 3" xfId="33827"/>
    <cellStyle name="Labels - Opmaakprofiel3 2 3 4 3 2 4" xfId="27953"/>
    <cellStyle name="Labels - Opmaakprofiel3 2 3 4 3 2 5" xfId="54442"/>
    <cellStyle name="Labels - Opmaakprofiel3 2 3 4 3 3" xfId="14928"/>
    <cellStyle name="Labels - Opmaakprofiel3 2 3 4 3 4" xfId="26980"/>
    <cellStyle name="Labels - Opmaakprofiel3 2 3 4 3 5" xfId="39683"/>
    <cellStyle name="Labels - Opmaakprofiel3 2 3 4 3 6" xfId="48489"/>
    <cellStyle name="Labels - Opmaakprofiel3 2 3 4 4" xfId="3416"/>
    <cellStyle name="Labels - Opmaakprofiel3 2 3 4 4 2" xfId="9478"/>
    <cellStyle name="Labels - Opmaakprofiel3 2 3 4 4 2 2" xfId="21776"/>
    <cellStyle name="Labels - Opmaakprofiel3 2 3 4 4 2 3" xfId="33828"/>
    <cellStyle name="Labels - Opmaakprofiel3 2 3 4 4 2 4" xfId="31649"/>
    <cellStyle name="Labels - Opmaakprofiel3 2 3 4 4 2 5" xfId="54443"/>
    <cellStyle name="Labels - Opmaakprofiel3 2 3 4 4 3" xfId="14929"/>
    <cellStyle name="Labels - Opmaakprofiel3 2 3 4 4 4" xfId="26981"/>
    <cellStyle name="Labels - Opmaakprofiel3 2 3 4 4 5" xfId="45491"/>
    <cellStyle name="Labels - Opmaakprofiel3 2 3 4 4 6" xfId="48490"/>
    <cellStyle name="Labels - Opmaakprofiel3 2 3 4 5" xfId="5185"/>
    <cellStyle name="Labels - Opmaakprofiel3 2 3 4 5 2" xfId="9479"/>
    <cellStyle name="Labels - Opmaakprofiel3 2 3 4 5 2 2" xfId="21777"/>
    <cellStyle name="Labels - Opmaakprofiel3 2 3 4 5 2 3" xfId="33829"/>
    <cellStyle name="Labels - Opmaakprofiel3 2 3 4 5 2 4" xfId="42675"/>
    <cellStyle name="Labels - Opmaakprofiel3 2 3 4 5 2 5" xfId="54444"/>
    <cellStyle name="Labels - Opmaakprofiel3 2 3 4 5 3" xfId="14930"/>
    <cellStyle name="Labels - Opmaakprofiel3 2 3 4 5 4" xfId="26982"/>
    <cellStyle name="Labels - Opmaakprofiel3 2 3 4 5 5" xfId="39682"/>
    <cellStyle name="Labels - Opmaakprofiel3 2 3 4 5 6" xfId="48491"/>
    <cellStyle name="Labels - Opmaakprofiel3 2 3 4 6" xfId="5186"/>
    <cellStyle name="Labels - Opmaakprofiel3 2 3 4 6 2" xfId="9480"/>
    <cellStyle name="Labels - Opmaakprofiel3 2 3 4 6 2 2" xfId="21778"/>
    <cellStyle name="Labels - Opmaakprofiel3 2 3 4 6 2 3" xfId="33830"/>
    <cellStyle name="Labels - Opmaakprofiel3 2 3 4 6 2 4" xfId="31843"/>
    <cellStyle name="Labels - Opmaakprofiel3 2 3 4 6 2 5" xfId="54445"/>
    <cellStyle name="Labels - Opmaakprofiel3 2 3 4 6 3" xfId="14931"/>
    <cellStyle name="Labels - Opmaakprofiel3 2 3 4 6 4" xfId="26983"/>
    <cellStyle name="Labels - Opmaakprofiel3 2 3 4 6 5" xfId="45490"/>
    <cellStyle name="Labels - Opmaakprofiel3 2 3 4 6 6" xfId="48492"/>
    <cellStyle name="Labels - Opmaakprofiel3 2 3 4 7" xfId="5187"/>
    <cellStyle name="Labels - Opmaakprofiel3 2 3 4 7 2" xfId="14932"/>
    <cellStyle name="Labels - Opmaakprofiel3 2 3 4 7 3" xfId="26984"/>
    <cellStyle name="Labels - Opmaakprofiel3 2 3 4 7 4" xfId="39681"/>
    <cellStyle name="Labels - Opmaakprofiel3 2 3 4 7 5" xfId="48493"/>
    <cellStyle name="Labels - Opmaakprofiel3 2 3 4 8" xfId="7678"/>
    <cellStyle name="Labels - Opmaakprofiel3 2 3 4 8 2" xfId="19976"/>
    <cellStyle name="Labels - Opmaakprofiel3 2 3 4 8 3" xfId="41779"/>
    <cellStyle name="Labels - Opmaakprofiel3 2 3 4 8 4" xfId="31969"/>
    <cellStyle name="Labels - Opmaakprofiel3 2 3 4 8 5" xfId="52648"/>
    <cellStyle name="Labels - Opmaakprofiel3 2 3 4 9" xfId="14926"/>
    <cellStyle name="Labels - Opmaakprofiel3 2 3 5" xfId="635"/>
    <cellStyle name="Labels - Opmaakprofiel3 2 3 5 2" xfId="1990"/>
    <cellStyle name="Labels - Opmaakprofiel3 2 3 5 2 2" xfId="9481"/>
    <cellStyle name="Labels - Opmaakprofiel3 2 3 5 2 2 2" xfId="21779"/>
    <cellStyle name="Labels - Opmaakprofiel3 2 3 5 2 2 3" xfId="33831"/>
    <cellStyle name="Labels - Opmaakprofiel3 2 3 5 2 2 4" xfId="42674"/>
    <cellStyle name="Labels - Opmaakprofiel3 2 3 5 2 2 5" xfId="54446"/>
    <cellStyle name="Labels - Opmaakprofiel3 2 3 5 2 3" xfId="14934"/>
    <cellStyle name="Labels - Opmaakprofiel3 2 3 5 2 4" xfId="26986"/>
    <cellStyle name="Labels - Opmaakprofiel3 2 3 5 2 5" xfId="39680"/>
    <cellStyle name="Labels - Opmaakprofiel3 2 3 5 2 6" xfId="48494"/>
    <cellStyle name="Labels - Opmaakprofiel3 2 3 5 3" xfId="2701"/>
    <cellStyle name="Labels - Opmaakprofiel3 2 3 5 3 2" xfId="9482"/>
    <cellStyle name="Labels - Opmaakprofiel3 2 3 5 3 2 2" xfId="21780"/>
    <cellStyle name="Labels - Opmaakprofiel3 2 3 5 3 2 3" xfId="33832"/>
    <cellStyle name="Labels - Opmaakprofiel3 2 3 5 3 2 4" xfId="27958"/>
    <cellStyle name="Labels - Opmaakprofiel3 2 3 5 3 2 5" xfId="54447"/>
    <cellStyle name="Labels - Opmaakprofiel3 2 3 5 3 3" xfId="14935"/>
    <cellStyle name="Labels - Opmaakprofiel3 2 3 5 3 4" xfId="26987"/>
    <cellStyle name="Labels - Opmaakprofiel3 2 3 5 3 5" xfId="45488"/>
    <cellStyle name="Labels - Opmaakprofiel3 2 3 5 3 6" xfId="48495"/>
    <cellStyle name="Labels - Opmaakprofiel3 2 3 5 4" xfId="3572"/>
    <cellStyle name="Labels - Opmaakprofiel3 2 3 5 4 2" xfId="9483"/>
    <cellStyle name="Labels - Opmaakprofiel3 2 3 5 4 2 2" xfId="21781"/>
    <cellStyle name="Labels - Opmaakprofiel3 2 3 5 4 2 3" xfId="33833"/>
    <cellStyle name="Labels - Opmaakprofiel3 2 3 5 4 2 4" xfId="42673"/>
    <cellStyle name="Labels - Opmaakprofiel3 2 3 5 4 2 5" xfId="54448"/>
    <cellStyle name="Labels - Opmaakprofiel3 2 3 5 4 3" xfId="14936"/>
    <cellStyle name="Labels - Opmaakprofiel3 2 3 5 4 4" xfId="26988"/>
    <cellStyle name="Labels - Opmaakprofiel3 2 3 5 4 5" xfId="39679"/>
    <cellStyle name="Labels - Opmaakprofiel3 2 3 5 4 6" xfId="48496"/>
    <cellStyle name="Labels - Opmaakprofiel3 2 3 5 5" xfId="5188"/>
    <cellStyle name="Labels - Opmaakprofiel3 2 3 5 5 2" xfId="9484"/>
    <cellStyle name="Labels - Opmaakprofiel3 2 3 5 5 2 2" xfId="21782"/>
    <cellStyle name="Labels - Opmaakprofiel3 2 3 5 5 2 3" xfId="33834"/>
    <cellStyle name="Labels - Opmaakprofiel3 2 3 5 5 2 4" xfId="27959"/>
    <cellStyle name="Labels - Opmaakprofiel3 2 3 5 5 2 5" xfId="54449"/>
    <cellStyle name="Labels - Opmaakprofiel3 2 3 5 5 3" xfId="14937"/>
    <cellStyle name="Labels - Opmaakprofiel3 2 3 5 5 4" xfId="26989"/>
    <cellStyle name="Labels - Opmaakprofiel3 2 3 5 5 5" xfId="39678"/>
    <cellStyle name="Labels - Opmaakprofiel3 2 3 5 5 6" xfId="48497"/>
    <cellStyle name="Labels - Opmaakprofiel3 2 3 5 6" xfId="5189"/>
    <cellStyle name="Labels - Opmaakprofiel3 2 3 5 6 2" xfId="9485"/>
    <cellStyle name="Labels - Opmaakprofiel3 2 3 5 6 2 2" xfId="21783"/>
    <cellStyle name="Labels - Opmaakprofiel3 2 3 5 6 2 3" xfId="33835"/>
    <cellStyle name="Labels - Opmaakprofiel3 2 3 5 6 2 4" xfId="42672"/>
    <cellStyle name="Labels - Opmaakprofiel3 2 3 5 6 2 5" xfId="54450"/>
    <cellStyle name="Labels - Opmaakprofiel3 2 3 5 6 3" xfId="14938"/>
    <cellStyle name="Labels - Opmaakprofiel3 2 3 5 6 4" xfId="26990"/>
    <cellStyle name="Labels - Opmaakprofiel3 2 3 5 6 5" xfId="39677"/>
    <cellStyle name="Labels - Opmaakprofiel3 2 3 5 6 6" xfId="48498"/>
    <cellStyle name="Labels - Opmaakprofiel3 2 3 5 7" xfId="5190"/>
    <cellStyle name="Labels - Opmaakprofiel3 2 3 5 7 2" xfId="14939"/>
    <cellStyle name="Labels - Opmaakprofiel3 2 3 5 7 3" xfId="26991"/>
    <cellStyle name="Labels - Opmaakprofiel3 2 3 5 7 4" xfId="45487"/>
    <cellStyle name="Labels - Opmaakprofiel3 2 3 5 7 5" xfId="48499"/>
    <cellStyle name="Labels - Opmaakprofiel3 2 3 5 8" xfId="7558"/>
    <cellStyle name="Labels - Opmaakprofiel3 2 3 5 8 2" xfId="19856"/>
    <cellStyle name="Labels - Opmaakprofiel3 2 3 5 8 3" xfId="41659"/>
    <cellStyle name="Labels - Opmaakprofiel3 2 3 5 8 4" xfId="34502"/>
    <cellStyle name="Labels - Opmaakprofiel3 2 3 5 8 5" xfId="52528"/>
    <cellStyle name="Labels - Opmaakprofiel3 2 3 5 9" xfId="14933"/>
    <cellStyle name="Labels - Opmaakprofiel3 2 3 6" xfId="1022"/>
    <cellStyle name="Labels - Opmaakprofiel3 2 3 6 2" xfId="2125"/>
    <cellStyle name="Labels - Opmaakprofiel3 2 3 6 2 2" xfId="9486"/>
    <cellStyle name="Labels - Opmaakprofiel3 2 3 6 2 2 2" xfId="21784"/>
    <cellStyle name="Labels - Opmaakprofiel3 2 3 6 2 2 3" xfId="33836"/>
    <cellStyle name="Labels - Opmaakprofiel3 2 3 6 2 2 4" xfId="34252"/>
    <cellStyle name="Labels - Opmaakprofiel3 2 3 6 2 2 5" xfId="54451"/>
    <cellStyle name="Labels - Opmaakprofiel3 2 3 6 2 3" xfId="14941"/>
    <cellStyle name="Labels - Opmaakprofiel3 2 3 6 2 4" xfId="26993"/>
    <cellStyle name="Labels - Opmaakprofiel3 2 3 6 2 5" xfId="45486"/>
    <cellStyle name="Labels - Opmaakprofiel3 2 3 6 2 6" xfId="48500"/>
    <cellStyle name="Labels - Opmaakprofiel3 2 3 6 3" xfId="3033"/>
    <cellStyle name="Labels - Opmaakprofiel3 2 3 6 3 2" xfId="9487"/>
    <cellStyle name="Labels - Opmaakprofiel3 2 3 6 3 2 2" xfId="21785"/>
    <cellStyle name="Labels - Opmaakprofiel3 2 3 6 3 2 3" xfId="33837"/>
    <cellStyle name="Labels - Opmaakprofiel3 2 3 6 3 2 4" xfId="42671"/>
    <cellStyle name="Labels - Opmaakprofiel3 2 3 6 3 2 5" xfId="54452"/>
    <cellStyle name="Labels - Opmaakprofiel3 2 3 6 3 3" xfId="14942"/>
    <cellStyle name="Labels - Opmaakprofiel3 2 3 6 3 4" xfId="26994"/>
    <cellStyle name="Labels - Opmaakprofiel3 2 3 6 3 5" xfId="39676"/>
    <cellStyle name="Labels - Opmaakprofiel3 2 3 6 3 6" xfId="48501"/>
    <cellStyle name="Labels - Opmaakprofiel3 2 3 6 4" xfId="3876"/>
    <cellStyle name="Labels - Opmaakprofiel3 2 3 6 4 2" xfId="9488"/>
    <cellStyle name="Labels - Opmaakprofiel3 2 3 6 4 2 2" xfId="21786"/>
    <cellStyle name="Labels - Opmaakprofiel3 2 3 6 4 2 3" xfId="33838"/>
    <cellStyle name="Labels - Opmaakprofiel3 2 3 6 4 2 4" xfId="34510"/>
    <cellStyle name="Labels - Opmaakprofiel3 2 3 6 4 2 5" xfId="54453"/>
    <cellStyle name="Labels - Opmaakprofiel3 2 3 6 4 3" xfId="14943"/>
    <cellStyle name="Labels - Opmaakprofiel3 2 3 6 4 4" xfId="26995"/>
    <cellStyle name="Labels - Opmaakprofiel3 2 3 6 4 5" xfId="45485"/>
    <cellStyle name="Labels - Opmaakprofiel3 2 3 6 4 6" xfId="48502"/>
    <cellStyle name="Labels - Opmaakprofiel3 2 3 6 5" xfId="5191"/>
    <cellStyle name="Labels - Opmaakprofiel3 2 3 6 5 2" xfId="9489"/>
    <cellStyle name="Labels - Opmaakprofiel3 2 3 6 5 2 2" xfId="21787"/>
    <cellStyle name="Labels - Opmaakprofiel3 2 3 6 5 2 3" xfId="33839"/>
    <cellStyle name="Labels - Opmaakprofiel3 2 3 6 5 2 4" xfId="27964"/>
    <cellStyle name="Labels - Opmaakprofiel3 2 3 6 5 2 5" xfId="54454"/>
    <cellStyle name="Labels - Opmaakprofiel3 2 3 6 5 3" xfId="14944"/>
    <cellStyle name="Labels - Opmaakprofiel3 2 3 6 5 4" xfId="26996"/>
    <cellStyle name="Labels - Opmaakprofiel3 2 3 6 5 5" xfId="39675"/>
    <cellStyle name="Labels - Opmaakprofiel3 2 3 6 5 6" xfId="48503"/>
    <cellStyle name="Labels - Opmaakprofiel3 2 3 6 6" xfId="5192"/>
    <cellStyle name="Labels - Opmaakprofiel3 2 3 6 6 2" xfId="9490"/>
    <cellStyle name="Labels - Opmaakprofiel3 2 3 6 6 2 2" xfId="21788"/>
    <cellStyle name="Labels - Opmaakprofiel3 2 3 6 6 2 3" xfId="33840"/>
    <cellStyle name="Labels - Opmaakprofiel3 2 3 6 6 2 4" xfId="27965"/>
    <cellStyle name="Labels - Opmaakprofiel3 2 3 6 6 2 5" xfId="54455"/>
    <cellStyle name="Labels - Opmaakprofiel3 2 3 6 6 3" xfId="14945"/>
    <cellStyle name="Labels - Opmaakprofiel3 2 3 6 6 4" xfId="26997"/>
    <cellStyle name="Labels - Opmaakprofiel3 2 3 6 6 5" xfId="45484"/>
    <cellStyle name="Labels - Opmaakprofiel3 2 3 6 6 6" xfId="48504"/>
    <cellStyle name="Labels - Opmaakprofiel3 2 3 6 7" xfId="5193"/>
    <cellStyle name="Labels - Opmaakprofiel3 2 3 6 7 2" xfId="14946"/>
    <cellStyle name="Labels - Opmaakprofiel3 2 3 6 7 3" xfId="26998"/>
    <cellStyle name="Labels - Opmaakprofiel3 2 3 6 7 4" xfId="39674"/>
    <cellStyle name="Labels - Opmaakprofiel3 2 3 6 7 5" xfId="48505"/>
    <cellStyle name="Labels - Opmaakprofiel3 2 3 6 8" xfId="7295"/>
    <cellStyle name="Labels - Opmaakprofiel3 2 3 6 8 2" xfId="19593"/>
    <cellStyle name="Labels - Opmaakprofiel3 2 3 6 8 3" xfId="41396"/>
    <cellStyle name="Labels - Opmaakprofiel3 2 3 6 8 4" xfId="36862"/>
    <cellStyle name="Labels - Opmaakprofiel3 2 3 6 8 5" xfId="52265"/>
    <cellStyle name="Labels - Opmaakprofiel3 2 3 6 9" xfId="14940"/>
    <cellStyle name="Labels - Opmaakprofiel3 2 3 7" xfId="1191"/>
    <cellStyle name="Labels - Opmaakprofiel3 2 3 7 2" xfId="2150"/>
    <cellStyle name="Labels - Opmaakprofiel3 2 3 7 2 2" xfId="9491"/>
    <cellStyle name="Labels - Opmaakprofiel3 2 3 7 2 2 2" xfId="21789"/>
    <cellStyle name="Labels - Opmaakprofiel3 2 3 7 2 2 3" xfId="33841"/>
    <cellStyle name="Labels - Opmaakprofiel3 2 3 7 2 2 4" xfId="42670"/>
    <cellStyle name="Labels - Opmaakprofiel3 2 3 7 2 2 5" xfId="54456"/>
    <cellStyle name="Labels - Opmaakprofiel3 2 3 7 2 3" xfId="14948"/>
    <cellStyle name="Labels - Opmaakprofiel3 2 3 7 2 4" xfId="27000"/>
    <cellStyle name="Labels - Opmaakprofiel3 2 3 7 2 5" xfId="39673"/>
    <cellStyle name="Labels - Opmaakprofiel3 2 3 7 2 6" xfId="48506"/>
    <cellStyle name="Labels - Opmaakprofiel3 2 3 7 3" xfId="3202"/>
    <cellStyle name="Labels - Opmaakprofiel3 2 3 7 3 2" xfId="9492"/>
    <cellStyle name="Labels - Opmaakprofiel3 2 3 7 3 2 2" xfId="21790"/>
    <cellStyle name="Labels - Opmaakprofiel3 2 3 7 3 2 3" xfId="33842"/>
    <cellStyle name="Labels - Opmaakprofiel3 2 3 7 3 2 4" xfId="31485"/>
    <cellStyle name="Labels - Opmaakprofiel3 2 3 7 3 2 5" xfId="54457"/>
    <cellStyle name="Labels - Opmaakprofiel3 2 3 7 3 3" xfId="14949"/>
    <cellStyle name="Labels - Opmaakprofiel3 2 3 7 3 4" xfId="27001"/>
    <cellStyle name="Labels - Opmaakprofiel3 2 3 7 3 5" xfId="39672"/>
    <cellStyle name="Labels - Opmaakprofiel3 2 3 7 3 6" xfId="48507"/>
    <cellStyle name="Labels - Opmaakprofiel3 2 3 7 4" xfId="4020"/>
    <cellStyle name="Labels - Opmaakprofiel3 2 3 7 4 2" xfId="9493"/>
    <cellStyle name="Labels - Opmaakprofiel3 2 3 7 4 2 2" xfId="21791"/>
    <cellStyle name="Labels - Opmaakprofiel3 2 3 7 4 2 3" xfId="33843"/>
    <cellStyle name="Labels - Opmaakprofiel3 2 3 7 4 2 4" xfId="42669"/>
    <cellStyle name="Labels - Opmaakprofiel3 2 3 7 4 2 5" xfId="54458"/>
    <cellStyle name="Labels - Opmaakprofiel3 2 3 7 4 3" xfId="14950"/>
    <cellStyle name="Labels - Opmaakprofiel3 2 3 7 4 4" xfId="27002"/>
    <cellStyle name="Labels - Opmaakprofiel3 2 3 7 4 5" xfId="39671"/>
    <cellStyle name="Labels - Opmaakprofiel3 2 3 7 4 6" xfId="48508"/>
    <cellStyle name="Labels - Opmaakprofiel3 2 3 7 5" xfId="5194"/>
    <cellStyle name="Labels - Opmaakprofiel3 2 3 7 5 2" xfId="9494"/>
    <cellStyle name="Labels - Opmaakprofiel3 2 3 7 5 2 2" xfId="21792"/>
    <cellStyle name="Labels - Opmaakprofiel3 2 3 7 5 2 3" xfId="33844"/>
    <cellStyle name="Labels - Opmaakprofiel3 2 3 7 5 2 4" xfId="31851"/>
    <cellStyle name="Labels - Opmaakprofiel3 2 3 7 5 2 5" xfId="54459"/>
    <cellStyle name="Labels - Opmaakprofiel3 2 3 7 5 3" xfId="14951"/>
    <cellStyle name="Labels - Opmaakprofiel3 2 3 7 5 4" xfId="27003"/>
    <cellStyle name="Labels - Opmaakprofiel3 2 3 7 5 5" xfId="45482"/>
    <cellStyle name="Labels - Opmaakprofiel3 2 3 7 5 6" xfId="48509"/>
    <cellStyle name="Labels - Opmaakprofiel3 2 3 7 6" xfId="5195"/>
    <cellStyle name="Labels - Opmaakprofiel3 2 3 7 6 2" xfId="9495"/>
    <cellStyle name="Labels - Opmaakprofiel3 2 3 7 6 2 2" xfId="21793"/>
    <cellStyle name="Labels - Opmaakprofiel3 2 3 7 6 2 3" xfId="33845"/>
    <cellStyle name="Labels - Opmaakprofiel3 2 3 7 6 2 4" xfId="42668"/>
    <cellStyle name="Labels - Opmaakprofiel3 2 3 7 6 2 5" xfId="54460"/>
    <cellStyle name="Labels - Opmaakprofiel3 2 3 7 6 3" xfId="14952"/>
    <cellStyle name="Labels - Opmaakprofiel3 2 3 7 6 4" xfId="27004"/>
    <cellStyle name="Labels - Opmaakprofiel3 2 3 7 6 5" xfId="39670"/>
    <cellStyle name="Labels - Opmaakprofiel3 2 3 7 6 6" xfId="48510"/>
    <cellStyle name="Labels - Opmaakprofiel3 2 3 7 7" xfId="5196"/>
    <cellStyle name="Labels - Opmaakprofiel3 2 3 7 7 2" xfId="14953"/>
    <cellStyle name="Labels - Opmaakprofiel3 2 3 7 7 3" xfId="27005"/>
    <cellStyle name="Labels - Opmaakprofiel3 2 3 7 7 4" xfId="45481"/>
    <cellStyle name="Labels - Opmaakprofiel3 2 3 7 7 5" xfId="48511"/>
    <cellStyle name="Labels - Opmaakprofiel3 2 3 7 8" xfId="7181"/>
    <cellStyle name="Labels - Opmaakprofiel3 2 3 7 8 2" xfId="19479"/>
    <cellStyle name="Labels - Opmaakprofiel3 2 3 7 8 3" xfId="41282"/>
    <cellStyle name="Labels - Opmaakprofiel3 2 3 7 8 4" xfId="36928"/>
    <cellStyle name="Labels - Opmaakprofiel3 2 3 7 8 5" xfId="52151"/>
    <cellStyle name="Labels - Opmaakprofiel3 2 3 7 9" xfId="14947"/>
    <cellStyle name="Labels - Opmaakprofiel3 2 3 8" xfId="1322"/>
    <cellStyle name="Labels - Opmaakprofiel3 2 3 8 2" xfId="2225"/>
    <cellStyle name="Labels - Opmaakprofiel3 2 3 8 2 2" xfId="9496"/>
    <cellStyle name="Labels - Opmaakprofiel3 2 3 8 2 2 2" xfId="21794"/>
    <cellStyle name="Labels - Opmaakprofiel3 2 3 8 2 2 3" xfId="33846"/>
    <cellStyle name="Labels - Opmaakprofiel3 2 3 8 2 2 4" xfId="27970"/>
    <cellStyle name="Labels - Opmaakprofiel3 2 3 8 2 2 5" xfId="54461"/>
    <cellStyle name="Labels - Opmaakprofiel3 2 3 8 2 3" xfId="14955"/>
    <cellStyle name="Labels - Opmaakprofiel3 2 3 8 2 4" xfId="27007"/>
    <cellStyle name="Labels - Opmaakprofiel3 2 3 8 2 5" xfId="45480"/>
    <cellStyle name="Labels - Opmaakprofiel3 2 3 8 2 6" xfId="48512"/>
    <cellStyle name="Labels - Opmaakprofiel3 2 3 8 3" xfId="3333"/>
    <cellStyle name="Labels - Opmaakprofiel3 2 3 8 3 2" xfId="9497"/>
    <cellStyle name="Labels - Opmaakprofiel3 2 3 8 3 2 2" xfId="21795"/>
    <cellStyle name="Labels - Opmaakprofiel3 2 3 8 3 2 3" xfId="33847"/>
    <cellStyle name="Labels - Opmaakprofiel3 2 3 8 3 2 4" xfId="42667"/>
    <cellStyle name="Labels - Opmaakprofiel3 2 3 8 3 2 5" xfId="54462"/>
    <cellStyle name="Labels - Opmaakprofiel3 2 3 8 3 3" xfId="14956"/>
    <cellStyle name="Labels - Opmaakprofiel3 2 3 8 3 4" xfId="27008"/>
    <cellStyle name="Labels - Opmaakprofiel3 2 3 8 3 5" xfId="39668"/>
    <cellStyle name="Labels - Opmaakprofiel3 2 3 8 3 6" xfId="48513"/>
    <cellStyle name="Labels - Opmaakprofiel3 2 3 8 4" xfId="4114"/>
    <cellStyle name="Labels - Opmaakprofiel3 2 3 8 4 2" xfId="9498"/>
    <cellStyle name="Labels - Opmaakprofiel3 2 3 8 4 2 2" xfId="21796"/>
    <cellStyle name="Labels - Opmaakprofiel3 2 3 8 4 2 3" xfId="33848"/>
    <cellStyle name="Labels - Opmaakprofiel3 2 3 8 4 2 4" xfId="27971"/>
    <cellStyle name="Labels - Opmaakprofiel3 2 3 8 4 2 5" xfId="54463"/>
    <cellStyle name="Labels - Opmaakprofiel3 2 3 8 4 3" xfId="14957"/>
    <cellStyle name="Labels - Opmaakprofiel3 2 3 8 4 4" xfId="27009"/>
    <cellStyle name="Labels - Opmaakprofiel3 2 3 8 4 5" xfId="45479"/>
    <cellStyle name="Labels - Opmaakprofiel3 2 3 8 4 6" xfId="48514"/>
    <cellStyle name="Labels - Opmaakprofiel3 2 3 8 5" xfId="5197"/>
    <cellStyle name="Labels - Opmaakprofiel3 2 3 8 5 2" xfId="9499"/>
    <cellStyle name="Labels - Opmaakprofiel3 2 3 8 5 2 2" xfId="21797"/>
    <cellStyle name="Labels - Opmaakprofiel3 2 3 8 5 2 3" xfId="33849"/>
    <cellStyle name="Labels - Opmaakprofiel3 2 3 8 5 2 4" xfId="42666"/>
    <cellStyle name="Labels - Opmaakprofiel3 2 3 8 5 2 5" xfId="54464"/>
    <cellStyle name="Labels - Opmaakprofiel3 2 3 8 5 3" xfId="14958"/>
    <cellStyle name="Labels - Opmaakprofiel3 2 3 8 5 4" xfId="27010"/>
    <cellStyle name="Labels - Opmaakprofiel3 2 3 8 5 5" xfId="39667"/>
    <cellStyle name="Labels - Opmaakprofiel3 2 3 8 5 6" xfId="48515"/>
    <cellStyle name="Labels - Opmaakprofiel3 2 3 8 6" xfId="5198"/>
    <cellStyle name="Labels - Opmaakprofiel3 2 3 8 6 2" xfId="9500"/>
    <cellStyle name="Labels - Opmaakprofiel3 2 3 8 6 2 2" xfId="21798"/>
    <cellStyle name="Labels - Opmaakprofiel3 2 3 8 6 2 3" xfId="33850"/>
    <cellStyle name="Labels - Opmaakprofiel3 2 3 8 6 2 4" xfId="31445"/>
    <cellStyle name="Labels - Opmaakprofiel3 2 3 8 6 2 5" xfId="54465"/>
    <cellStyle name="Labels - Opmaakprofiel3 2 3 8 6 3" xfId="14959"/>
    <cellStyle name="Labels - Opmaakprofiel3 2 3 8 6 4" xfId="27011"/>
    <cellStyle name="Labels - Opmaakprofiel3 2 3 8 6 5" xfId="45478"/>
    <cellStyle name="Labels - Opmaakprofiel3 2 3 8 6 6" xfId="48516"/>
    <cellStyle name="Labels - Opmaakprofiel3 2 3 8 7" xfId="5199"/>
    <cellStyle name="Labels - Opmaakprofiel3 2 3 8 7 2" xfId="14960"/>
    <cellStyle name="Labels - Opmaakprofiel3 2 3 8 7 3" xfId="27012"/>
    <cellStyle name="Labels - Opmaakprofiel3 2 3 8 7 4" xfId="39666"/>
    <cellStyle name="Labels - Opmaakprofiel3 2 3 8 7 5" xfId="48517"/>
    <cellStyle name="Labels - Opmaakprofiel3 2 3 8 8" xfId="9861"/>
    <cellStyle name="Labels - Opmaakprofiel3 2 3 8 8 2" xfId="22159"/>
    <cellStyle name="Labels - Opmaakprofiel3 2 3 8 8 3" xfId="43926"/>
    <cellStyle name="Labels - Opmaakprofiel3 2 3 8 8 4" xfId="34567"/>
    <cellStyle name="Labels - Opmaakprofiel3 2 3 8 8 5" xfId="54826"/>
    <cellStyle name="Labels - Opmaakprofiel3 2 3 8 9" xfId="14954"/>
    <cellStyle name="Labels - Opmaakprofiel3 2 3 9" xfId="1378"/>
    <cellStyle name="Labels - Opmaakprofiel3 2 3 9 2" xfId="1391"/>
    <cellStyle name="Labels - Opmaakprofiel3 2 3 9 2 2" xfId="9501"/>
    <cellStyle name="Labels - Opmaakprofiel3 2 3 9 2 2 2" xfId="21799"/>
    <cellStyle name="Labels - Opmaakprofiel3 2 3 9 2 2 3" xfId="33851"/>
    <cellStyle name="Labels - Opmaakprofiel3 2 3 9 2 2 4" xfId="31828"/>
    <cellStyle name="Labels - Opmaakprofiel3 2 3 9 2 2 5" xfId="54466"/>
    <cellStyle name="Labels - Opmaakprofiel3 2 3 9 2 3" xfId="14962"/>
    <cellStyle name="Labels - Opmaakprofiel3 2 3 9 2 4" xfId="27014"/>
    <cellStyle name="Labels - Opmaakprofiel3 2 3 9 2 5" xfId="39664"/>
    <cellStyle name="Labels - Opmaakprofiel3 2 3 9 2 6" xfId="48518"/>
    <cellStyle name="Labels - Opmaakprofiel3 2 3 9 3" xfId="3389"/>
    <cellStyle name="Labels - Opmaakprofiel3 2 3 9 3 2" xfId="9502"/>
    <cellStyle name="Labels - Opmaakprofiel3 2 3 9 3 2 2" xfId="21800"/>
    <cellStyle name="Labels - Opmaakprofiel3 2 3 9 3 2 3" xfId="33852"/>
    <cellStyle name="Labels - Opmaakprofiel3 2 3 9 3 2 4" xfId="27976"/>
    <cellStyle name="Labels - Opmaakprofiel3 2 3 9 3 2 5" xfId="54467"/>
    <cellStyle name="Labels - Opmaakprofiel3 2 3 9 3 3" xfId="14963"/>
    <cellStyle name="Labels - Opmaakprofiel3 2 3 9 3 4" xfId="27015"/>
    <cellStyle name="Labels - Opmaakprofiel3 2 3 9 3 5" xfId="45477"/>
    <cellStyle name="Labels - Opmaakprofiel3 2 3 9 3 6" xfId="48519"/>
    <cellStyle name="Labels - Opmaakprofiel3 2 3 9 4" xfId="4150"/>
    <cellStyle name="Labels - Opmaakprofiel3 2 3 9 4 2" xfId="9503"/>
    <cellStyle name="Labels - Opmaakprofiel3 2 3 9 4 2 2" xfId="21801"/>
    <cellStyle name="Labels - Opmaakprofiel3 2 3 9 4 2 3" xfId="33853"/>
    <cellStyle name="Labels - Opmaakprofiel3 2 3 9 4 2 4" xfId="42665"/>
    <cellStyle name="Labels - Opmaakprofiel3 2 3 9 4 2 5" xfId="54468"/>
    <cellStyle name="Labels - Opmaakprofiel3 2 3 9 4 3" xfId="14964"/>
    <cellStyle name="Labels - Opmaakprofiel3 2 3 9 4 4" xfId="27016"/>
    <cellStyle name="Labels - Opmaakprofiel3 2 3 9 4 5" xfId="39663"/>
    <cellStyle name="Labels - Opmaakprofiel3 2 3 9 4 6" xfId="48520"/>
    <cellStyle name="Labels - Opmaakprofiel3 2 3 9 5" xfId="5200"/>
    <cellStyle name="Labels - Opmaakprofiel3 2 3 9 5 2" xfId="9504"/>
    <cellStyle name="Labels - Opmaakprofiel3 2 3 9 5 2 2" xfId="21802"/>
    <cellStyle name="Labels - Opmaakprofiel3 2 3 9 5 2 3" xfId="33854"/>
    <cellStyle name="Labels - Opmaakprofiel3 2 3 9 5 2 4" xfId="32141"/>
    <cellStyle name="Labels - Opmaakprofiel3 2 3 9 5 2 5" xfId="54469"/>
    <cellStyle name="Labels - Opmaakprofiel3 2 3 9 5 3" xfId="14965"/>
    <cellStyle name="Labels - Opmaakprofiel3 2 3 9 5 4" xfId="27017"/>
    <cellStyle name="Labels - Opmaakprofiel3 2 3 9 5 5" xfId="45476"/>
    <cellStyle name="Labels - Opmaakprofiel3 2 3 9 5 6" xfId="48521"/>
    <cellStyle name="Labels - Opmaakprofiel3 2 3 9 6" xfId="5201"/>
    <cellStyle name="Labels - Opmaakprofiel3 2 3 9 6 2" xfId="9505"/>
    <cellStyle name="Labels - Opmaakprofiel3 2 3 9 6 2 2" xfId="21803"/>
    <cellStyle name="Labels - Opmaakprofiel3 2 3 9 6 2 3" xfId="33855"/>
    <cellStyle name="Labels - Opmaakprofiel3 2 3 9 6 2 4" xfId="42664"/>
    <cellStyle name="Labels - Opmaakprofiel3 2 3 9 6 2 5" xfId="54470"/>
    <cellStyle name="Labels - Opmaakprofiel3 2 3 9 6 3" xfId="14966"/>
    <cellStyle name="Labels - Opmaakprofiel3 2 3 9 6 4" xfId="27018"/>
    <cellStyle name="Labels - Opmaakprofiel3 2 3 9 6 5" xfId="39662"/>
    <cellStyle name="Labels - Opmaakprofiel3 2 3 9 6 6" xfId="48522"/>
    <cellStyle name="Labels - Opmaakprofiel3 2 3 9 7" xfId="5202"/>
    <cellStyle name="Labels - Opmaakprofiel3 2 3 9 7 2" xfId="14967"/>
    <cellStyle name="Labels - Opmaakprofiel3 2 3 9 7 3" xfId="27019"/>
    <cellStyle name="Labels - Opmaakprofiel3 2 3 9 7 4" xfId="45475"/>
    <cellStyle name="Labels - Opmaakprofiel3 2 3 9 7 5" xfId="48523"/>
    <cellStyle name="Labels - Opmaakprofiel3 2 3 9 8" xfId="9813"/>
    <cellStyle name="Labels - Opmaakprofiel3 2 3 9 8 2" xfId="22111"/>
    <cellStyle name="Labels - Opmaakprofiel3 2 3 9 8 3" xfId="43879"/>
    <cellStyle name="Labels - Opmaakprofiel3 2 3 9 8 4" xfId="28257"/>
    <cellStyle name="Labels - Opmaakprofiel3 2 3 9 8 5" xfId="54778"/>
    <cellStyle name="Labels - Opmaakprofiel3 2 3 9 9" xfId="14961"/>
    <cellStyle name="Labels - Opmaakprofiel3 2 30" xfId="1225"/>
    <cellStyle name="Labels - Opmaakprofiel3 2 30 2" xfId="1748"/>
    <cellStyle name="Labels - Opmaakprofiel3 2 30 2 2" xfId="9506"/>
    <cellStyle name="Labels - Opmaakprofiel3 2 30 2 2 2" xfId="21804"/>
    <cellStyle name="Labels - Opmaakprofiel3 2 30 2 2 3" xfId="33856"/>
    <cellStyle name="Labels - Opmaakprofiel3 2 30 2 2 4" xfId="27982"/>
    <cellStyle name="Labels - Opmaakprofiel3 2 30 2 2 5" xfId="54471"/>
    <cellStyle name="Labels - Opmaakprofiel3 2 30 2 3" xfId="14969"/>
    <cellStyle name="Labels - Opmaakprofiel3 2 30 2 4" xfId="27021"/>
    <cellStyle name="Labels - Opmaakprofiel3 2 30 2 5" xfId="45474"/>
    <cellStyle name="Labels - Opmaakprofiel3 2 30 2 6" xfId="48524"/>
    <cellStyle name="Labels - Opmaakprofiel3 2 30 3" xfId="3236"/>
    <cellStyle name="Labels - Opmaakprofiel3 2 30 3 2" xfId="9507"/>
    <cellStyle name="Labels - Opmaakprofiel3 2 30 3 2 2" xfId="21805"/>
    <cellStyle name="Labels - Opmaakprofiel3 2 30 3 2 3" xfId="33857"/>
    <cellStyle name="Labels - Opmaakprofiel3 2 30 3 2 4" xfId="32133"/>
    <cellStyle name="Labels - Opmaakprofiel3 2 30 3 2 5" xfId="54472"/>
    <cellStyle name="Labels - Opmaakprofiel3 2 30 3 3" xfId="14970"/>
    <cellStyle name="Labels - Opmaakprofiel3 2 30 3 4" xfId="27022"/>
    <cellStyle name="Labels - Opmaakprofiel3 2 30 3 5" xfId="39660"/>
    <cellStyle name="Labels - Opmaakprofiel3 2 30 3 6" xfId="48525"/>
    <cellStyle name="Labels - Opmaakprofiel3 2 30 4" xfId="4051"/>
    <cellStyle name="Labels - Opmaakprofiel3 2 30 4 2" xfId="9508"/>
    <cellStyle name="Labels - Opmaakprofiel3 2 30 4 2 2" xfId="21806"/>
    <cellStyle name="Labels - Opmaakprofiel3 2 30 4 2 3" xfId="33858"/>
    <cellStyle name="Labels - Opmaakprofiel3 2 30 4 2 4" xfId="42663"/>
    <cellStyle name="Labels - Opmaakprofiel3 2 30 4 2 5" xfId="54473"/>
    <cellStyle name="Labels - Opmaakprofiel3 2 30 4 3" xfId="14971"/>
    <cellStyle name="Labels - Opmaakprofiel3 2 30 4 4" xfId="27023"/>
    <cellStyle name="Labels - Opmaakprofiel3 2 30 4 5" xfId="45473"/>
    <cellStyle name="Labels - Opmaakprofiel3 2 30 4 6" xfId="48526"/>
    <cellStyle name="Labels - Opmaakprofiel3 2 30 5" xfId="5203"/>
    <cellStyle name="Labels - Opmaakprofiel3 2 30 5 2" xfId="9509"/>
    <cellStyle name="Labels - Opmaakprofiel3 2 30 5 2 2" xfId="21807"/>
    <cellStyle name="Labels - Opmaakprofiel3 2 30 5 2 3" xfId="33859"/>
    <cellStyle name="Labels - Opmaakprofiel3 2 30 5 2 4" xfId="27987"/>
    <cellStyle name="Labels - Opmaakprofiel3 2 30 5 2 5" xfId="54474"/>
    <cellStyle name="Labels - Opmaakprofiel3 2 30 5 3" xfId="14972"/>
    <cellStyle name="Labels - Opmaakprofiel3 2 30 5 4" xfId="27024"/>
    <cellStyle name="Labels - Opmaakprofiel3 2 30 5 5" xfId="39659"/>
    <cellStyle name="Labels - Opmaakprofiel3 2 30 5 6" xfId="48527"/>
    <cellStyle name="Labels - Opmaakprofiel3 2 30 6" xfId="5204"/>
    <cellStyle name="Labels - Opmaakprofiel3 2 30 6 2" xfId="9510"/>
    <cellStyle name="Labels - Opmaakprofiel3 2 30 6 2 2" xfId="21808"/>
    <cellStyle name="Labels - Opmaakprofiel3 2 30 6 2 3" xfId="33860"/>
    <cellStyle name="Labels - Opmaakprofiel3 2 30 6 2 4" xfId="42662"/>
    <cellStyle name="Labels - Opmaakprofiel3 2 30 6 2 5" xfId="54475"/>
    <cellStyle name="Labels - Opmaakprofiel3 2 30 6 3" xfId="14973"/>
    <cellStyle name="Labels - Opmaakprofiel3 2 30 6 4" xfId="27025"/>
    <cellStyle name="Labels - Opmaakprofiel3 2 30 6 5" xfId="39658"/>
    <cellStyle name="Labels - Opmaakprofiel3 2 30 6 6" xfId="48528"/>
    <cellStyle name="Labels - Opmaakprofiel3 2 30 7" xfId="5205"/>
    <cellStyle name="Labels - Opmaakprofiel3 2 30 7 2" xfId="14974"/>
    <cellStyle name="Labels - Opmaakprofiel3 2 30 7 3" xfId="27026"/>
    <cellStyle name="Labels - Opmaakprofiel3 2 30 7 4" xfId="45472"/>
    <cellStyle name="Labels - Opmaakprofiel3 2 30 7 5" xfId="48529"/>
    <cellStyle name="Labels - Opmaakprofiel3 2 30 8" xfId="7149"/>
    <cellStyle name="Labels - Opmaakprofiel3 2 30 8 2" xfId="19447"/>
    <cellStyle name="Labels - Opmaakprofiel3 2 30 8 3" xfId="41250"/>
    <cellStyle name="Labels - Opmaakprofiel3 2 30 8 4" xfId="36947"/>
    <cellStyle name="Labels - Opmaakprofiel3 2 30 8 5" xfId="52119"/>
    <cellStyle name="Labels - Opmaakprofiel3 2 30 9" xfId="14968"/>
    <cellStyle name="Labels - Opmaakprofiel3 2 31" xfId="1245"/>
    <cellStyle name="Labels - Opmaakprofiel3 2 31 2" xfId="2343"/>
    <cellStyle name="Labels - Opmaakprofiel3 2 31 2 2" xfId="9511"/>
    <cellStyle name="Labels - Opmaakprofiel3 2 31 2 2 2" xfId="21809"/>
    <cellStyle name="Labels - Opmaakprofiel3 2 31 2 2 3" xfId="33861"/>
    <cellStyle name="Labels - Opmaakprofiel3 2 31 2 2 4" xfId="27988"/>
    <cellStyle name="Labels - Opmaakprofiel3 2 31 2 2 5" xfId="54476"/>
    <cellStyle name="Labels - Opmaakprofiel3 2 31 2 3" xfId="14976"/>
    <cellStyle name="Labels - Opmaakprofiel3 2 31 2 4" xfId="27028"/>
    <cellStyle name="Labels - Opmaakprofiel3 2 31 2 5" xfId="45471"/>
    <cellStyle name="Labels - Opmaakprofiel3 2 31 2 6" xfId="48530"/>
    <cellStyle name="Labels - Opmaakprofiel3 2 31 3" xfId="3256"/>
    <cellStyle name="Labels - Opmaakprofiel3 2 31 3 2" xfId="9512"/>
    <cellStyle name="Labels - Opmaakprofiel3 2 31 3 2 2" xfId="21810"/>
    <cellStyle name="Labels - Opmaakprofiel3 2 31 3 2 3" xfId="33862"/>
    <cellStyle name="Labels - Opmaakprofiel3 2 31 3 2 4" xfId="42661"/>
    <cellStyle name="Labels - Opmaakprofiel3 2 31 3 2 5" xfId="54477"/>
    <cellStyle name="Labels - Opmaakprofiel3 2 31 3 3" xfId="14977"/>
    <cellStyle name="Labels - Opmaakprofiel3 2 31 3 4" xfId="27029"/>
    <cellStyle name="Labels - Opmaakprofiel3 2 31 3 5" xfId="39656"/>
    <cellStyle name="Labels - Opmaakprofiel3 2 31 3 6" xfId="48531"/>
    <cellStyle name="Labels - Opmaakprofiel3 2 31 4" xfId="4069"/>
    <cellStyle name="Labels - Opmaakprofiel3 2 31 4 2" xfId="9513"/>
    <cellStyle name="Labels - Opmaakprofiel3 2 31 4 2 2" xfId="21811"/>
    <cellStyle name="Labels - Opmaakprofiel3 2 31 4 2 3" xfId="33863"/>
    <cellStyle name="Labels - Opmaakprofiel3 2 31 4 2 4" xfId="27989"/>
    <cellStyle name="Labels - Opmaakprofiel3 2 31 4 2 5" xfId="54478"/>
    <cellStyle name="Labels - Opmaakprofiel3 2 31 4 3" xfId="14978"/>
    <cellStyle name="Labels - Opmaakprofiel3 2 31 4 4" xfId="27030"/>
    <cellStyle name="Labels - Opmaakprofiel3 2 31 4 5" xfId="39655"/>
    <cellStyle name="Labels - Opmaakprofiel3 2 31 4 6" xfId="48532"/>
    <cellStyle name="Labels - Opmaakprofiel3 2 31 5" xfId="5206"/>
    <cellStyle name="Labels - Opmaakprofiel3 2 31 5 2" xfId="9514"/>
    <cellStyle name="Labels - Opmaakprofiel3 2 31 5 2 2" xfId="21812"/>
    <cellStyle name="Labels - Opmaakprofiel3 2 31 5 2 3" xfId="33864"/>
    <cellStyle name="Labels - Opmaakprofiel3 2 31 5 2 4" xfId="31561"/>
    <cellStyle name="Labels - Opmaakprofiel3 2 31 5 2 5" xfId="54479"/>
    <cellStyle name="Labels - Opmaakprofiel3 2 31 5 3" xfId="14979"/>
    <cellStyle name="Labels - Opmaakprofiel3 2 31 5 4" xfId="27031"/>
    <cellStyle name="Labels - Opmaakprofiel3 2 31 5 5" xfId="45470"/>
    <cellStyle name="Labels - Opmaakprofiel3 2 31 5 6" xfId="48533"/>
    <cellStyle name="Labels - Opmaakprofiel3 2 31 6" xfId="5207"/>
    <cellStyle name="Labels - Opmaakprofiel3 2 31 6 2" xfId="9515"/>
    <cellStyle name="Labels - Opmaakprofiel3 2 31 6 2 2" xfId="21813"/>
    <cellStyle name="Labels - Opmaakprofiel3 2 31 6 2 3" xfId="33865"/>
    <cellStyle name="Labels - Opmaakprofiel3 2 31 6 2 4" xfId="42660"/>
    <cellStyle name="Labels - Opmaakprofiel3 2 31 6 2 5" xfId="54480"/>
    <cellStyle name="Labels - Opmaakprofiel3 2 31 6 3" xfId="14980"/>
    <cellStyle name="Labels - Opmaakprofiel3 2 31 6 4" xfId="27032"/>
    <cellStyle name="Labels - Opmaakprofiel3 2 31 6 5" xfId="39654"/>
    <cellStyle name="Labels - Opmaakprofiel3 2 31 6 6" xfId="48534"/>
    <cellStyle name="Labels - Opmaakprofiel3 2 31 7" xfId="5208"/>
    <cellStyle name="Labels - Opmaakprofiel3 2 31 7 2" xfId="14981"/>
    <cellStyle name="Labels - Opmaakprofiel3 2 31 7 3" xfId="27033"/>
    <cellStyle name="Labels - Opmaakprofiel3 2 31 7 4" xfId="45469"/>
    <cellStyle name="Labels - Opmaakprofiel3 2 31 7 5" xfId="48535"/>
    <cellStyle name="Labels - Opmaakprofiel3 2 31 8" xfId="6996"/>
    <cellStyle name="Labels - Opmaakprofiel3 2 31 8 2" xfId="19294"/>
    <cellStyle name="Labels - Opmaakprofiel3 2 31 8 3" xfId="41097"/>
    <cellStyle name="Labels - Opmaakprofiel3 2 31 8 4" xfId="37036"/>
    <cellStyle name="Labels - Opmaakprofiel3 2 31 8 5" xfId="51967"/>
    <cellStyle name="Labels - Opmaakprofiel3 2 31 9" xfId="14975"/>
    <cellStyle name="Labels - Opmaakprofiel3 2 32" xfId="1085"/>
    <cellStyle name="Labels - Opmaakprofiel3 2 32 2" xfId="1557"/>
    <cellStyle name="Labels - Opmaakprofiel3 2 32 2 2" xfId="9516"/>
    <cellStyle name="Labels - Opmaakprofiel3 2 32 2 2 2" xfId="21814"/>
    <cellStyle name="Labels - Opmaakprofiel3 2 32 2 2 3" xfId="33866"/>
    <cellStyle name="Labels - Opmaakprofiel3 2 32 2 2 4" xfId="27992"/>
    <cellStyle name="Labels - Opmaakprofiel3 2 32 2 2 5" xfId="54481"/>
    <cellStyle name="Labels - Opmaakprofiel3 2 32 2 3" xfId="14983"/>
    <cellStyle name="Labels - Opmaakprofiel3 2 32 2 4" xfId="27035"/>
    <cellStyle name="Labels - Opmaakprofiel3 2 32 2 5" xfId="45468"/>
    <cellStyle name="Labels - Opmaakprofiel3 2 32 2 6" xfId="48536"/>
    <cellStyle name="Labels - Opmaakprofiel3 2 32 3" xfId="3096"/>
    <cellStyle name="Labels - Opmaakprofiel3 2 32 3 2" xfId="9517"/>
    <cellStyle name="Labels - Opmaakprofiel3 2 32 3 2 2" xfId="21815"/>
    <cellStyle name="Labels - Opmaakprofiel3 2 32 3 2 3" xfId="33867"/>
    <cellStyle name="Labels - Opmaakprofiel3 2 32 3 2 4" xfId="42659"/>
    <cellStyle name="Labels - Opmaakprofiel3 2 32 3 2 5" xfId="54482"/>
    <cellStyle name="Labels - Opmaakprofiel3 2 32 3 3" xfId="14984"/>
    <cellStyle name="Labels - Opmaakprofiel3 2 32 3 4" xfId="27036"/>
    <cellStyle name="Labels - Opmaakprofiel3 2 32 3 5" xfId="39652"/>
    <cellStyle name="Labels - Opmaakprofiel3 2 32 3 6" xfId="48537"/>
    <cellStyle name="Labels - Opmaakprofiel3 2 32 4" xfId="3933"/>
    <cellStyle name="Labels - Opmaakprofiel3 2 32 4 2" xfId="9518"/>
    <cellStyle name="Labels - Opmaakprofiel3 2 32 4 2 2" xfId="21816"/>
    <cellStyle name="Labels - Opmaakprofiel3 2 32 4 2 3" xfId="33868"/>
    <cellStyle name="Labels - Opmaakprofiel3 2 32 4 2 4" xfId="31397"/>
    <cellStyle name="Labels - Opmaakprofiel3 2 32 4 2 5" xfId="54483"/>
    <cellStyle name="Labels - Opmaakprofiel3 2 32 4 3" xfId="14985"/>
    <cellStyle name="Labels - Opmaakprofiel3 2 32 4 4" xfId="27037"/>
    <cellStyle name="Labels - Opmaakprofiel3 2 32 4 5" xfId="45467"/>
    <cellStyle name="Labels - Opmaakprofiel3 2 32 4 6" xfId="48538"/>
    <cellStyle name="Labels - Opmaakprofiel3 2 32 5" xfId="5209"/>
    <cellStyle name="Labels - Opmaakprofiel3 2 32 5 2" xfId="9519"/>
    <cellStyle name="Labels - Opmaakprofiel3 2 32 5 2 2" xfId="21817"/>
    <cellStyle name="Labels - Opmaakprofiel3 2 32 5 2 3" xfId="33869"/>
    <cellStyle name="Labels - Opmaakprofiel3 2 32 5 2 4" xfId="42658"/>
    <cellStyle name="Labels - Opmaakprofiel3 2 32 5 2 5" xfId="54484"/>
    <cellStyle name="Labels - Opmaakprofiel3 2 32 5 3" xfId="14986"/>
    <cellStyle name="Labels - Opmaakprofiel3 2 32 5 4" xfId="27038"/>
    <cellStyle name="Labels - Opmaakprofiel3 2 32 5 5" xfId="39651"/>
    <cellStyle name="Labels - Opmaakprofiel3 2 32 5 6" xfId="48539"/>
    <cellStyle name="Labels - Opmaakprofiel3 2 32 6" xfId="5210"/>
    <cellStyle name="Labels - Opmaakprofiel3 2 32 6 2" xfId="9520"/>
    <cellStyle name="Labels - Opmaakprofiel3 2 32 6 2 2" xfId="21818"/>
    <cellStyle name="Labels - Opmaakprofiel3 2 32 6 2 3" xfId="33870"/>
    <cellStyle name="Labels - Opmaakprofiel3 2 32 6 2 4" xfId="32072"/>
    <cellStyle name="Labels - Opmaakprofiel3 2 32 6 2 5" xfId="54485"/>
    <cellStyle name="Labels - Opmaakprofiel3 2 32 6 3" xfId="14987"/>
    <cellStyle name="Labels - Opmaakprofiel3 2 32 6 4" xfId="27039"/>
    <cellStyle name="Labels - Opmaakprofiel3 2 32 6 5" xfId="45466"/>
    <cellStyle name="Labels - Opmaakprofiel3 2 32 6 6" xfId="48540"/>
    <cellStyle name="Labels - Opmaakprofiel3 2 32 7" xfId="5211"/>
    <cellStyle name="Labels - Opmaakprofiel3 2 32 7 2" xfId="14988"/>
    <cellStyle name="Labels - Opmaakprofiel3 2 32 7 3" xfId="27040"/>
    <cellStyle name="Labels - Opmaakprofiel3 2 32 7 4" xfId="39650"/>
    <cellStyle name="Labels - Opmaakprofiel3 2 32 7 5" xfId="48541"/>
    <cellStyle name="Labels - Opmaakprofiel3 2 32 8" xfId="7253"/>
    <cellStyle name="Labels - Opmaakprofiel3 2 32 8 2" xfId="19551"/>
    <cellStyle name="Labels - Opmaakprofiel3 2 32 8 3" xfId="41354"/>
    <cellStyle name="Labels - Opmaakprofiel3 2 32 8 4" xfId="36886"/>
    <cellStyle name="Labels - Opmaakprofiel3 2 32 8 5" xfId="52223"/>
    <cellStyle name="Labels - Opmaakprofiel3 2 32 9" xfId="14982"/>
    <cellStyle name="Labels - Opmaakprofiel3 2 33" xfId="1354"/>
    <cellStyle name="Labels - Opmaakprofiel3 2 33 2" xfId="1415"/>
    <cellStyle name="Labels - Opmaakprofiel3 2 33 2 2" xfId="9521"/>
    <cellStyle name="Labels - Opmaakprofiel3 2 33 2 2 2" xfId="21819"/>
    <cellStyle name="Labels - Opmaakprofiel3 2 33 2 2 3" xfId="33871"/>
    <cellStyle name="Labels - Opmaakprofiel3 2 33 2 2 4" xfId="42657"/>
    <cellStyle name="Labels - Opmaakprofiel3 2 33 2 2 5" xfId="54486"/>
    <cellStyle name="Labels - Opmaakprofiel3 2 33 2 3" xfId="14990"/>
    <cellStyle name="Labels - Opmaakprofiel3 2 33 2 4" xfId="27042"/>
    <cellStyle name="Labels - Opmaakprofiel3 2 33 2 5" xfId="39649"/>
    <cellStyle name="Labels - Opmaakprofiel3 2 33 2 6" xfId="48542"/>
    <cellStyle name="Labels - Opmaakprofiel3 2 33 3" xfId="3365"/>
    <cellStyle name="Labels - Opmaakprofiel3 2 33 3 2" xfId="9522"/>
    <cellStyle name="Labels - Opmaakprofiel3 2 33 3 2 2" xfId="21820"/>
    <cellStyle name="Labels - Opmaakprofiel3 2 33 3 2 3" xfId="33872"/>
    <cellStyle name="Labels - Opmaakprofiel3 2 33 3 2 4" xfId="27997"/>
    <cellStyle name="Labels - Opmaakprofiel3 2 33 3 2 5" xfId="54487"/>
    <cellStyle name="Labels - Opmaakprofiel3 2 33 3 3" xfId="14991"/>
    <cellStyle name="Labels - Opmaakprofiel3 2 33 3 4" xfId="27043"/>
    <cellStyle name="Labels - Opmaakprofiel3 2 33 3 5" xfId="45465"/>
    <cellStyle name="Labels - Opmaakprofiel3 2 33 3 6" xfId="48543"/>
    <cellStyle name="Labels - Opmaakprofiel3 2 33 4" xfId="4126"/>
    <cellStyle name="Labels - Opmaakprofiel3 2 33 4 2" xfId="9523"/>
    <cellStyle name="Labels - Opmaakprofiel3 2 33 4 2 2" xfId="21821"/>
    <cellStyle name="Labels - Opmaakprofiel3 2 33 4 2 3" xfId="33873"/>
    <cellStyle name="Labels - Opmaakprofiel3 2 33 4 2 4" xfId="42656"/>
    <cellStyle name="Labels - Opmaakprofiel3 2 33 4 2 5" xfId="54488"/>
    <cellStyle name="Labels - Opmaakprofiel3 2 33 4 3" xfId="14992"/>
    <cellStyle name="Labels - Opmaakprofiel3 2 33 4 4" xfId="27044"/>
    <cellStyle name="Labels - Opmaakprofiel3 2 33 4 5" xfId="39648"/>
    <cellStyle name="Labels - Opmaakprofiel3 2 33 4 6" xfId="48544"/>
    <cellStyle name="Labels - Opmaakprofiel3 2 33 5" xfId="5212"/>
    <cellStyle name="Labels - Opmaakprofiel3 2 33 5 2" xfId="9524"/>
    <cellStyle name="Labels - Opmaakprofiel3 2 33 5 2 2" xfId="21822"/>
    <cellStyle name="Labels - Opmaakprofiel3 2 33 5 2 3" xfId="33874"/>
    <cellStyle name="Labels - Opmaakprofiel3 2 33 5 2 4" xfId="27998"/>
    <cellStyle name="Labels - Opmaakprofiel3 2 33 5 2 5" xfId="54489"/>
    <cellStyle name="Labels - Opmaakprofiel3 2 33 5 3" xfId="14993"/>
    <cellStyle name="Labels - Opmaakprofiel3 2 33 5 4" xfId="27045"/>
    <cellStyle name="Labels - Opmaakprofiel3 2 33 5 5" xfId="45464"/>
    <cellStyle name="Labels - Opmaakprofiel3 2 33 5 6" xfId="48545"/>
    <cellStyle name="Labels - Opmaakprofiel3 2 33 6" xfId="5213"/>
    <cellStyle name="Labels - Opmaakprofiel3 2 33 6 2" xfId="9525"/>
    <cellStyle name="Labels - Opmaakprofiel3 2 33 6 2 2" xfId="21823"/>
    <cellStyle name="Labels - Opmaakprofiel3 2 33 6 2 3" xfId="33875"/>
    <cellStyle name="Labels - Opmaakprofiel3 2 33 6 2 4" xfId="31968"/>
    <cellStyle name="Labels - Opmaakprofiel3 2 33 6 2 5" xfId="54490"/>
    <cellStyle name="Labels - Opmaakprofiel3 2 33 6 3" xfId="14994"/>
    <cellStyle name="Labels - Opmaakprofiel3 2 33 6 4" xfId="27046"/>
    <cellStyle name="Labels - Opmaakprofiel3 2 33 6 5" xfId="39647"/>
    <cellStyle name="Labels - Opmaakprofiel3 2 33 6 6" xfId="48546"/>
    <cellStyle name="Labels - Opmaakprofiel3 2 33 7" xfId="5214"/>
    <cellStyle name="Labels - Opmaakprofiel3 2 33 7 2" xfId="14995"/>
    <cellStyle name="Labels - Opmaakprofiel3 2 33 7 3" xfId="27047"/>
    <cellStyle name="Labels - Opmaakprofiel3 2 33 7 4" xfId="45463"/>
    <cellStyle name="Labels - Opmaakprofiel3 2 33 7 5" xfId="48547"/>
    <cellStyle name="Labels - Opmaakprofiel3 2 33 8" xfId="7029"/>
    <cellStyle name="Labels - Opmaakprofiel3 2 33 8 2" xfId="19327"/>
    <cellStyle name="Labels - Opmaakprofiel3 2 33 8 3" xfId="41130"/>
    <cellStyle name="Labels - Opmaakprofiel3 2 33 8 4" xfId="37017"/>
    <cellStyle name="Labels - Opmaakprofiel3 2 33 8 5" xfId="52000"/>
    <cellStyle name="Labels - Opmaakprofiel3 2 33 9" xfId="14989"/>
    <cellStyle name="Labels - Opmaakprofiel3 2 34" xfId="1351"/>
    <cellStyle name="Labels - Opmaakprofiel3 2 34 2" xfId="1417"/>
    <cellStyle name="Labels - Opmaakprofiel3 2 34 2 2" xfId="9526"/>
    <cellStyle name="Labels - Opmaakprofiel3 2 34 2 2 2" xfId="21824"/>
    <cellStyle name="Labels - Opmaakprofiel3 2 34 2 2 3" xfId="33876"/>
    <cellStyle name="Labels - Opmaakprofiel3 2 34 2 2 4" xfId="28001"/>
    <cellStyle name="Labels - Opmaakprofiel3 2 34 2 2 5" xfId="54491"/>
    <cellStyle name="Labels - Opmaakprofiel3 2 34 2 3" xfId="14997"/>
    <cellStyle name="Labels - Opmaakprofiel3 2 34 2 4" xfId="27049"/>
    <cellStyle name="Labels - Opmaakprofiel3 2 34 2 5" xfId="45462"/>
    <cellStyle name="Labels - Opmaakprofiel3 2 34 2 6" xfId="48548"/>
    <cellStyle name="Labels - Opmaakprofiel3 2 34 3" xfId="3362"/>
    <cellStyle name="Labels - Opmaakprofiel3 2 34 3 2" xfId="9527"/>
    <cellStyle name="Labels - Opmaakprofiel3 2 34 3 2 2" xfId="21825"/>
    <cellStyle name="Labels - Opmaakprofiel3 2 34 3 2 3" xfId="33877"/>
    <cellStyle name="Labels - Opmaakprofiel3 2 34 3 2 4" xfId="42655"/>
    <cellStyle name="Labels - Opmaakprofiel3 2 34 3 2 5" xfId="54492"/>
    <cellStyle name="Labels - Opmaakprofiel3 2 34 3 3" xfId="14998"/>
    <cellStyle name="Labels - Opmaakprofiel3 2 34 3 4" xfId="27050"/>
    <cellStyle name="Labels - Opmaakprofiel3 2 34 3 5" xfId="39645"/>
    <cellStyle name="Labels - Opmaakprofiel3 2 34 3 6" xfId="48549"/>
    <cellStyle name="Labels - Opmaakprofiel3 2 34 4" xfId="4123"/>
    <cellStyle name="Labels - Opmaakprofiel3 2 34 4 2" xfId="9528"/>
    <cellStyle name="Labels - Opmaakprofiel3 2 34 4 2 2" xfId="21826"/>
    <cellStyle name="Labels - Opmaakprofiel3 2 34 4 2 3" xfId="33878"/>
    <cellStyle name="Labels - Opmaakprofiel3 2 34 4 2 4" xfId="31427"/>
    <cellStyle name="Labels - Opmaakprofiel3 2 34 4 2 5" xfId="54493"/>
    <cellStyle name="Labels - Opmaakprofiel3 2 34 4 3" xfId="14999"/>
    <cellStyle name="Labels - Opmaakprofiel3 2 34 4 4" xfId="27051"/>
    <cellStyle name="Labels - Opmaakprofiel3 2 34 4 5" xfId="45461"/>
    <cellStyle name="Labels - Opmaakprofiel3 2 34 4 6" xfId="48550"/>
    <cellStyle name="Labels - Opmaakprofiel3 2 34 5" xfId="5215"/>
    <cellStyle name="Labels - Opmaakprofiel3 2 34 5 2" xfId="9529"/>
    <cellStyle name="Labels - Opmaakprofiel3 2 34 5 2 2" xfId="21827"/>
    <cellStyle name="Labels - Opmaakprofiel3 2 34 5 2 3" xfId="33879"/>
    <cellStyle name="Labels - Opmaakprofiel3 2 34 5 2 4" xfId="42654"/>
    <cellStyle name="Labels - Opmaakprofiel3 2 34 5 2 5" xfId="54494"/>
    <cellStyle name="Labels - Opmaakprofiel3 2 34 5 3" xfId="15000"/>
    <cellStyle name="Labels - Opmaakprofiel3 2 34 5 4" xfId="27052"/>
    <cellStyle name="Labels - Opmaakprofiel3 2 34 5 5" xfId="39644"/>
    <cellStyle name="Labels - Opmaakprofiel3 2 34 5 6" xfId="48551"/>
    <cellStyle name="Labels - Opmaakprofiel3 2 34 6" xfId="5216"/>
    <cellStyle name="Labels - Opmaakprofiel3 2 34 6 2" xfId="9530"/>
    <cellStyle name="Labels - Opmaakprofiel3 2 34 6 2 2" xfId="21828"/>
    <cellStyle name="Labels - Opmaakprofiel3 2 34 6 2 3" xfId="33880"/>
    <cellStyle name="Labels - Opmaakprofiel3 2 34 6 2 4" xfId="34767"/>
    <cellStyle name="Labels - Opmaakprofiel3 2 34 6 2 5" xfId="54495"/>
    <cellStyle name="Labels - Opmaakprofiel3 2 34 6 3" xfId="15001"/>
    <cellStyle name="Labels - Opmaakprofiel3 2 34 6 4" xfId="27053"/>
    <cellStyle name="Labels - Opmaakprofiel3 2 34 6 5" xfId="39643"/>
    <cellStyle name="Labels - Opmaakprofiel3 2 34 6 6" xfId="48552"/>
    <cellStyle name="Labels - Opmaakprofiel3 2 34 7" xfId="5217"/>
    <cellStyle name="Labels - Opmaakprofiel3 2 34 7 2" xfId="15002"/>
    <cellStyle name="Labels - Opmaakprofiel3 2 34 7 3" xfId="27054"/>
    <cellStyle name="Labels - Opmaakprofiel3 2 34 7 4" xfId="39642"/>
    <cellStyle name="Labels - Opmaakprofiel3 2 34 7 5" xfId="48553"/>
    <cellStyle name="Labels - Opmaakprofiel3 2 34 8" xfId="7032"/>
    <cellStyle name="Labels - Opmaakprofiel3 2 34 8 2" xfId="19330"/>
    <cellStyle name="Labels - Opmaakprofiel3 2 34 8 3" xfId="41133"/>
    <cellStyle name="Labels - Opmaakprofiel3 2 34 8 4" xfId="37015"/>
    <cellStyle name="Labels - Opmaakprofiel3 2 34 8 5" xfId="52003"/>
    <cellStyle name="Labels - Opmaakprofiel3 2 34 9" xfId="14996"/>
    <cellStyle name="Labels - Opmaakprofiel3 2 35" xfId="1388"/>
    <cellStyle name="Labels - Opmaakprofiel3 2 35 2" xfId="171"/>
    <cellStyle name="Labels - Opmaakprofiel3 2 35 2 2" xfId="9531"/>
    <cellStyle name="Labels - Opmaakprofiel3 2 35 2 2 2" xfId="21829"/>
    <cellStyle name="Labels - Opmaakprofiel3 2 35 2 2 3" xfId="33881"/>
    <cellStyle name="Labels - Opmaakprofiel3 2 35 2 2 4" xfId="42653"/>
    <cellStyle name="Labels - Opmaakprofiel3 2 35 2 2 5" xfId="54496"/>
    <cellStyle name="Labels - Opmaakprofiel3 2 35 2 3" xfId="15004"/>
    <cellStyle name="Labels - Opmaakprofiel3 2 35 2 4" xfId="27056"/>
    <cellStyle name="Labels - Opmaakprofiel3 2 35 2 5" xfId="39641"/>
    <cellStyle name="Labels - Opmaakprofiel3 2 35 2 6" xfId="48554"/>
    <cellStyle name="Labels - Opmaakprofiel3 2 35 3" xfId="3399"/>
    <cellStyle name="Labels - Opmaakprofiel3 2 35 3 2" xfId="9532"/>
    <cellStyle name="Labels - Opmaakprofiel3 2 35 3 2 2" xfId="21830"/>
    <cellStyle name="Labels - Opmaakprofiel3 2 35 3 2 3" xfId="33882"/>
    <cellStyle name="Labels - Opmaakprofiel3 2 35 3 2 4" xfId="28006"/>
    <cellStyle name="Labels - Opmaakprofiel3 2 35 3 2 5" xfId="54497"/>
    <cellStyle name="Labels - Opmaakprofiel3 2 35 3 3" xfId="15005"/>
    <cellStyle name="Labels - Opmaakprofiel3 2 35 3 4" xfId="27057"/>
    <cellStyle name="Labels - Opmaakprofiel3 2 35 3 5" xfId="45459"/>
    <cellStyle name="Labels - Opmaakprofiel3 2 35 3 6" xfId="48555"/>
    <cellStyle name="Labels - Opmaakprofiel3 2 35 4" xfId="4160"/>
    <cellStyle name="Labels - Opmaakprofiel3 2 35 4 2" xfId="9533"/>
    <cellStyle name="Labels - Opmaakprofiel3 2 35 4 2 2" xfId="21831"/>
    <cellStyle name="Labels - Opmaakprofiel3 2 35 4 2 3" xfId="33883"/>
    <cellStyle name="Labels - Opmaakprofiel3 2 35 4 2 4" xfId="42652"/>
    <cellStyle name="Labels - Opmaakprofiel3 2 35 4 2 5" xfId="54498"/>
    <cellStyle name="Labels - Opmaakprofiel3 2 35 4 3" xfId="15006"/>
    <cellStyle name="Labels - Opmaakprofiel3 2 35 4 4" xfId="27058"/>
    <cellStyle name="Labels - Opmaakprofiel3 2 35 4 5" xfId="39640"/>
    <cellStyle name="Labels - Opmaakprofiel3 2 35 4 6" xfId="48556"/>
    <cellStyle name="Labels - Opmaakprofiel3 2 35 5" xfId="5218"/>
    <cellStyle name="Labels - Opmaakprofiel3 2 35 5 2" xfId="9534"/>
    <cellStyle name="Labels - Opmaakprofiel3 2 35 5 2 2" xfId="21832"/>
    <cellStyle name="Labels - Opmaakprofiel3 2 35 5 2 3" xfId="33884"/>
    <cellStyle name="Labels - Opmaakprofiel3 2 35 5 2 4" xfId="28007"/>
    <cellStyle name="Labels - Opmaakprofiel3 2 35 5 2 5" xfId="54499"/>
    <cellStyle name="Labels - Opmaakprofiel3 2 35 5 3" xfId="15007"/>
    <cellStyle name="Labels - Opmaakprofiel3 2 35 5 4" xfId="27059"/>
    <cellStyle name="Labels - Opmaakprofiel3 2 35 5 5" xfId="45458"/>
    <cellStyle name="Labels - Opmaakprofiel3 2 35 5 6" xfId="48557"/>
    <cellStyle name="Labels - Opmaakprofiel3 2 35 6" xfId="5219"/>
    <cellStyle name="Labels - Opmaakprofiel3 2 35 6 2" xfId="9535"/>
    <cellStyle name="Labels - Opmaakprofiel3 2 35 6 2 2" xfId="21833"/>
    <cellStyle name="Labels - Opmaakprofiel3 2 35 6 2 3" xfId="33885"/>
    <cellStyle name="Labels - Opmaakprofiel3 2 35 6 2 4" xfId="42651"/>
    <cellStyle name="Labels - Opmaakprofiel3 2 35 6 2 5" xfId="54500"/>
    <cellStyle name="Labels - Opmaakprofiel3 2 35 6 3" xfId="15008"/>
    <cellStyle name="Labels - Opmaakprofiel3 2 35 6 4" xfId="27060"/>
    <cellStyle name="Labels - Opmaakprofiel3 2 35 6 5" xfId="39639"/>
    <cellStyle name="Labels - Opmaakprofiel3 2 35 6 6" xfId="48558"/>
    <cellStyle name="Labels - Opmaakprofiel3 2 35 7" xfId="5220"/>
    <cellStyle name="Labels - Opmaakprofiel3 2 35 7 2" xfId="15009"/>
    <cellStyle name="Labels - Opmaakprofiel3 2 35 7 3" xfId="27061"/>
    <cellStyle name="Labels - Opmaakprofiel3 2 35 7 4" xfId="45457"/>
    <cellStyle name="Labels - Opmaakprofiel3 2 35 7 5" xfId="48559"/>
    <cellStyle name="Labels - Opmaakprofiel3 2 35 8" xfId="7000"/>
    <cellStyle name="Labels - Opmaakprofiel3 2 35 8 2" xfId="19298"/>
    <cellStyle name="Labels - Opmaakprofiel3 2 35 8 3" xfId="41101"/>
    <cellStyle name="Labels - Opmaakprofiel3 2 35 8 4" xfId="37034"/>
    <cellStyle name="Labels - Opmaakprofiel3 2 35 8 5" xfId="51971"/>
    <cellStyle name="Labels - Opmaakprofiel3 2 35 9" xfId="15003"/>
    <cellStyle name="Labels - Opmaakprofiel3 2 36" xfId="2042"/>
    <cellStyle name="Labels - Opmaakprofiel3 2 36 2" xfId="9536"/>
    <cellStyle name="Labels - Opmaakprofiel3 2 36 2 2" xfId="21834"/>
    <cellStyle name="Labels - Opmaakprofiel3 2 36 2 3" xfId="33886"/>
    <cellStyle name="Labels - Opmaakprofiel3 2 36 2 4" xfId="34605"/>
    <cellStyle name="Labels - Opmaakprofiel3 2 36 2 5" xfId="54501"/>
    <cellStyle name="Labels - Opmaakprofiel3 2 36 3" xfId="15010"/>
    <cellStyle name="Labels - Opmaakprofiel3 2 36 4" xfId="27062"/>
    <cellStyle name="Labels - Opmaakprofiel3 2 36 5" xfId="39638"/>
    <cellStyle name="Labels - Opmaakprofiel3 2 36 6" xfId="48560"/>
    <cellStyle name="Labels - Opmaakprofiel3 2 37" xfId="1771"/>
    <cellStyle name="Labels - Opmaakprofiel3 2 37 2" xfId="9537"/>
    <cellStyle name="Labels - Opmaakprofiel3 2 37 2 2" xfId="21835"/>
    <cellStyle name="Labels - Opmaakprofiel3 2 37 2 3" xfId="33887"/>
    <cellStyle name="Labels - Opmaakprofiel3 2 37 2 4" xfId="28010"/>
    <cellStyle name="Labels - Opmaakprofiel3 2 37 2 5" xfId="54502"/>
    <cellStyle name="Labels - Opmaakprofiel3 2 37 3" xfId="15011"/>
    <cellStyle name="Labels - Opmaakprofiel3 2 37 4" xfId="27063"/>
    <cellStyle name="Labels - Opmaakprofiel3 2 37 5" xfId="45456"/>
    <cellStyle name="Labels - Opmaakprofiel3 2 37 6" xfId="48561"/>
    <cellStyle name="Labels - Opmaakprofiel3 2 38" xfId="2799"/>
    <cellStyle name="Labels - Opmaakprofiel3 2 38 2" xfId="9538"/>
    <cellStyle name="Labels - Opmaakprofiel3 2 38 2 2" xfId="21836"/>
    <cellStyle name="Labels - Opmaakprofiel3 2 38 2 3" xfId="33888"/>
    <cellStyle name="Labels - Opmaakprofiel3 2 38 2 4" xfId="31432"/>
    <cellStyle name="Labels - Opmaakprofiel3 2 38 2 5" xfId="54503"/>
    <cellStyle name="Labels - Opmaakprofiel3 2 38 3" xfId="15012"/>
    <cellStyle name="Labels - Opmaakprofiel3 2 38 4" xfId="27064"/>
    <cellStyle name="Labels - Opmaakprofiel3 2 38 5" xfId="39637"/>
    <cellStyle name="Labels - Opmaakprofiel3 2 38 6" xfId="48562"/>
    <cellStyle name="Labels - Opmaakprofiel3 2 39" xfId="5221"/>
    <cellStyle name="Labels - Opmaakprofiel3 2 39 2" xfId="9539"/>
    <cellStyle name="Labels - Opmaakprofiel3 2 39 2 2" xfId="21837"/>
    <cellStyle name="Labels - Opmaakprofiel3 2 39 2 3" xfId="33889"/>
    <cellStyle name="Labels - Opmaakprofiel3 2 39 2 4" xfId="42650"/>
    <cellStyle name="Labels - Opmaakprofiel3 2 39 2 5" xfId="54504"/>
    <cellStyle name="Labels - Opmaakprofiel3 2 39 3" xfId="15013"/>
    <cellStyle name="Labels - Opmaakprofiel3 2 39 4" xfId="27065"/>
    <cellStyle name="Labels - Opmaakprofiel3 2 39 5" xfId="39636"/>
    <cellStyle name="Labels - Opmaakprofiel3 2 39 6" xfId="48563"/>
    <cellStyle name="Labels - Opmaakprofiel3 2 4" xfId="744"/>
    <cellStyle name="Labels - Opmaakprofiel3 2 4 10" xfId="5222"/>
    <cellStyle name="Labels - Opmaakprofiel3 2 4 10 2" xfId="9540"/>
    <cellStyle name="Labels - Opmaakprofiel3 2 4 10 2 2" xfId="21838"/>
    <cellStyle name="Labels - Opmaakprofiel3 2 4 10 2 3" xfId="33890"/>
    <cellStyle name="Labels - Opmaakprofiel3 2 4 10 2 4" xfId="32101"/>
    <cellStyle name="Labels - Opmaakprofiel3 2 4 10 2 5" xfId="54505"/>
    <cellStyle name="Labels - Opmaakprofiel3 2 4 10 3" xfId="15015"/>
    <cellStyle name="Labels - Opmaakprofiel3 2 4 10 4" xfId="27067"/>
    <cellStyle name="Labels - Opmaakprofiel3 2 4 10 5" xfId="45455"/>
    <cellStyle name="Labels - Opmaakprofiel3 2 4 10 6" xfId="48564"/>
    <cellStyle name="Labels - Opmaakprofiel3 2 4 11" xfId="5223"/>
    <cellStyle name="Labels - Opmaakprofiel3 2 4 11 2" xfId="9541"/>
    <cellStyle name="Labels - Opmaakprofiel3 2 4 11 2 2" xfId="21839"/>
    <cellStyle name="Labels - Opmaakprofiel3 2 4 11 2 3" xfId="33891"/>
    <cellStyle name="Labels - Opmaakprofiel3 2 4 11 2 4" xfId="42649"/>
    <cellStyle name="Labels - Opmaakprofiel3 2 4 11 2 5" xfId="54506"/>
    <cellStyle name="Labels - Opmaakprofiel3 2 4 11 3" xfId="15016"/>
    <cellStyle name="Labels - Opmaakprofiel3 2 4 11 4" xfId="27068"/>
    <cellStyle name="Labels - Opmaakprofiel3 2 4 11 5" xfId="39634"/>
    <cellStyle name="Labels - Opmaakprofiel3 2 4 11 6" xfId="48565"/>
    <cellStyle name="Labels - Opmaakprofiel3 2 4 12" xfId="5224"/>
    <cellStyle name="Labels - Opmaakprofiel3 2 4 12 2" xfId="15017"/>
    <cellStyle name="Labels - Opmaakprofiel3 2 4 12 3" xfId="27069"/>
    <cellStyle name="Labels - Opmaakprofiel3 2 4 12 4" xfId="45454"/>
    <cellStyle name="Labels - Opmaakprofiel3 2 4 12 5" xfId="48566"/>
    <cellStyle name="Labels - Opmaakprofiel3 2 4 13" xfId="7485"/>
    <cellStyle name="Labels - Opmaakprofiel3 2 4 13 2" xfId="19783"/>
    <cellStyle name="Labels - Opmaakprofiel3 2 4 13 3" xfId="41586"/>
    <cellStyle name="Labels - Opmaakprofiel3 2 4 13 4" xfId="15493"/>
    <cellStyle name="Labels - Opmaakprofiel3 2 4 13 5" xfId="52455"/>
    <cellStyle name="Labels - Opmaakprofiel3 2 4 14" xfId="15014"/>
    <cellStyle name="Labels - Opmaakprofiel3 2 4 2" xfId="914"/>
    <cellStyle name="Labels - Opmaakprofiel3 2 4 2 2" xfId="2354"/>
    <cellStyle name="Labels - Opmaakprofiel3 2 4 2 2 2" xfId="9542"/>
    <cellStyle name="Labels - Opmaakprofiel3 2 4 2 2 2 2" xfId="21840"/>
    <cellStyle name="Labels - Opmaakprofiel3 2 4 2 2 2 3" xfId="33892"/>
    <cellStyle name="Labels - Opmaakprofiel3 2 4 2 2 2 4" xfId="28015"/>
    <cellStyle name="Labels - Opmaakprofiel3 2 4 2 2 2 5" xfId="54507"/>
    <cellStyle name="Labels - Opmaakprofiel3 2 4 2 2 3" xfId="15019"/>
    <cellStyle name="Labels - Opmaakprofiel3 2 4 2 2 4" xfId="27071"/>
    <cellStyle name="Labels - Opmaakprofiel3 2 4 2 2 5" xfId="45453"/>
    <cellStyle name="Labels - Opmaakprofiel3 2 4 2 2 6" xfId="48567"/>
    <cellStyle name="Labels - Opmaakprofiel3 2 4 2 3" xfId="2925"/>
    <cellStyle name="Labels - Opmaakprofiel3 2 4 2 3 2" xfId="9543"/>
    <cellStyle name="Labels - Opmaakprofiel3 2 4 2 3 2 2" xfId="21841"/>
    <cellStyle name="Labels - Opmaakprofiel3 2 4 2 3 2 3" xfId="33893"/>
    <cellStyle name="Labels - Opmaakprofiel3 2 4 2 3 2 4" xfId="42648"/>
    <cellStyle name="Labels - Opmaakprofiel3 2 4 2 3 2 5" xfId="54508"/>
    <cellStyle name="Labels - Opmaakprofiel3 2 4 2 3 3" xfId="15020"/>
    <cellStyle name="Labels - Opmaakprofiel3 2 4 2 3 4" xfId="27072"/>
    <cellStyle name="Labels - Opmaakprofiel3 2 4 2 3 5" xfId="39632"/>
    <cellStyle name="Labels - Opmaakprofiel3 2 4 2 3 6" xfId="48568"/>
    <cellStyle name="Labels - Opmaakprofiel3 2 4 2 4" xfId="3777"/>
    <cellStyle name="Labels - Opmaakprofiel3 2 4 2 4 2" xfId="9544"/>
    <cellStyle name="Labels - Opmaakprofiel3 2 4 2 4 2 2" xfId="21842"/>
    <cellStyle name="Labels - Opmaakprofiel3 2 4 2 4 2 3" xfId="33894"/>
    <cellStyle name="Labels - Opmaakprofiel3 2 4 2 4 2 4" xfId="34403"/>
    <cellStyle name="Labels - Opmaakprofiel3 2 4 2 4 2 5" xfId="54509"/>
    <cellStyle name="Labels - Opmaakprofiel3 2 4 2 4 3" xfId="15021"/>
    <cellStyle name="Labels - Opmaakprofiel3 2 4 2 4 4" xfId="27073"/>
    <cellStyle name="Labels - Opmaakprofiel3 2 4 2 4 5" xfId="45452"/>
    <cellStyle name="Labels - Opmaakprofiel3 2 4 2 4 6" xfId="48569"/>
    <cellStyle name="Labels - Opmaakprofiel3 2 4 2 5" xfId="5225"/>
    <cellStyle name="Labels - Opmaakprofiel3 2 4 2 5 2" xfId="9545"/>
    <cellStyle name="Labels - Opmaakprofiel3 2 4 2 5 2 2" xfId="21843"/>
    <cellStyle name="Labels - Opmaakprofiel3 2 4 2 5 2 3" xfId="33895"/>
    <cellStyle name="Labels - Opmaakprofiel3 2 4 2 5 2 4" xfId="42647"/>
    <cellStyle name="Labels - Opmaakprofiel3 2 4 2 5 2 5" xfId="54510"/>
    <cellStyle name="Labels - Opmaakprofiel3 2 4 2 5 3" xfId="15022"/>
    <cellStyle name="Labels - Opmaakprofiel3 2 4 2 5 4" xfId="27074"/>
    <cellStyle name="Labels - Opmaakprofiel3 2 4 2 5 5" xfId="39631"/>
    <cellStyle name="Labels - Opmaakprofiel3 2 4 2 5 6" xfId="48570"/>
    <cellStyle name="Labels - Opmaakprofiel3 2 4 2 6" xfId="5226"/>
    <cellStyle name="Labels - Opmaakprofiel3 2 4 2 6 2" xfId="9546"/>
    <cellStyle name="Labels - Opmaakprofiel3 2 4 2 6 2 2" xfId="21844"/>
    <cellStyle name="Labels - Opmaakprofiel3 2 4 2 6 2 3" xfId="33896"/>
    <cellStyle name="Labels - Opmaakprofiel3 2 4 2 6 2 4" xfId="32119"/>
    <cellStyle name="Labels - Opmaakprofiel3 2 4 2 6 2 5" xfId="54511"/>
    <cellStyle name="Labels - Opmaakprofiel3 2 4 2 6 3" xfId="15023"/>
    <cellStyle name="Labels - Opmaakprofiel3 2 4 2 6 4" xfId="27075"/>
    <cellStyle name="Labels - Opmaakprofiel3 2 4 2 6 5" xfId="45451"/>
    <cellStyle name="Labels - Opmaakprofiel3 2 4 2 6 6" xfId="48571"/>
    <cellStyle name="Labels - Opmaakprofiel3 2 4 2 7" xfId="5227"/>
    <cellStyle name="Labels - Opmaakprofiel3 2 4 2 7 2" xfId="15024"/>
    <cellStyle name="Labels - Opmaakprofiel3 2 4 2 7 3" xfId="27076"/>
    <cellStyle name="Labels - Opmaakprofiel3 2 4 2 7 4" xfId="39630"/>
    <cellStyle name="Labels - Opmaakprofiel3 2 4 2 7 5" xfId="48572"/>
    <cellStyle name="Labels - Opmaakprofiel3 2 4 2 8" xfId="7370"/>
    <cellStyle name="Labels - Opmaakprofiel3 2 4 2 8 2" xfId="19668"/>
    <cellStyle name="Labels - Opmaakprofiel3 2 4 2 8 3" xfId="41471"/>
    <cellStyle name="Labels - Opmaakprofiel3 2 4 2 8 4" xfId="43537"/>
    <cellStyle name="Labels - Opmaakprofiel3 2 4 2 8 5" xfId="52340"/>
    <cellStyle name="Labels - Opmaakprofiel3 2 4 2 9" xfId="15018"/>
    <cellStyle name="Labels - Opmaakprofiel3 2 4 3" xfId="1011"/>
    <cellStyle name="Labels - Opmaakprofiel3 2 4 3 2" xfId="1786"/>
    <cellStyle name="Labels - Opmaakprofiel3 2 4 3 2 2" xfId="9547"/>
    <cellStyle name="Labels - Opmaakprofiel3 2 4 3 2 2 2" xfId="21845"/>
    <cellStyle name="Labels - Opmaakprofiel3 2 4 3 2 2 3" xfId="33897"/>
    <cellStyle name="Labels - Opmaakprofiel3 2 4 3 2 2 4" xfId="42646"/>
    <cellStyle name="Labels - Opmaakprofiel3 2 4 3 2 2 5" xfId="54512"/>
    <cellStyle name="Labels - Opmaakprofiel3 2 4 3 2 3" xfId="15026"/>
    <cellStyle name="Labels - Opmaakprofiel3 2 4 3 2 4" xfId="27078"/>
    <cellStyle name="Labels - Opmaakprofiel3 2 4 3 2 5" xfId="39628"/>
    <cellStyle name="Labels - Opmaakprofiel3 2 4 3 2 6" xfId="48573"/>
    <cellStyle name="Labels - Opmaakprofiel3 2 4 3 3" xfId="3022"/>
    <cellStyle name="Labels - Opmaakprofiel3 2 4 3 3 2" xfId="9548"/>
    <cellStyle name="Labels - Opmaakprofiel3 2 4 3 3 2 2" xfId="21846"/>
    <cellStyle name="Labels - Opmaakprofiel3 2 4 3 3 2 3" xfId="33898"/>
    <cellStyle name="Labels - Opmaakprofiel3 2 4 3 3 2 4" xfId="28020"/>
    <cellStyle name="Labels - Opmaakprofiel3 2 4 3 3 2 5" xfId="54513"/>
    <cellStyle name="Labels - Opmaakprofiel3 2 4 3 3 3" xfId="15027"/>
    <cellStyle name="Labels - Opmaakprofiel3 2 4 3 3 4" xfId="27079"/>
    <cellStyle name="Labels - Opmaakprofiel3 2 4 3 3 5" xfId="45450"/>
    <cellStyle name="Labels - Opmaakprofiel3 2 4 3 3 6" xfId="48574"/>
    <cellStyle name="Labels - Opmaakprofiel3 2 4 3 4" xfId="3867"/>
    <cellStyle name="Labels - Opmaakprofiel3 2 4 3 4 2" xfId="9549"/>
    <cellStyle name="Labels - Opmaakprofiel3 2 4 3 4 2 2" xfId="21847"/>
    <cellStyle name="Labels - Opmaakprofiel3 2 4 3 4 2 3" xfId="33899"/>
    <cellStyle name="Labels - Opmaakprofiel3 2 4 3 4 2 4" xfId="28021"/>
    <cellStyle name="Labels - Opmaakprofiel3 2 4 3 4 2 5" xfId="54514"/>
    <cellStyle name="Labels - Opmaakprofiel3 2 4 3 4 3" xfId="15028"/>
    <cellStyle name="Labels - Opmaakprofiel3 2 4 3 4 4" xfId="27080"/>
    <cellStyle name="Labels - Opmaakprofiel3 2 4 3 4 5" xfId="39627"/>
    <cellStyle name="Labels - Opmaakprofiel3 2 4 3 4 6" xfId="48575"/>
    <cellStyle name="Labels - Opmaakprofiel3 2 4 3 5" xfId="5228"/>
    <cellStyle name="Labels - Opmaakprofiel3 2 4 3 5 2" xfId="9550"/>
    <cellStyle name="Labels - Opmaakprofiel3 2 4 3 5 2 2" xfId="21848"/>
    <cellStyle name="Labels - Opmaakprofiel3 2 4 3 5 2 3" xfId="33900"/>
    <cellStyle name="Labels - Opmaakprofiel3 2 4 3 5 2 4" xfId="28022"/>
    <cellStyle name="Labels - Opmaakprofiel3 2 4 3 5 2 5" xfId="54515"/>
    <cellStyle name="Labels - Opmaakprofiel3 2 4 3 5 3" xfId="15029"/>
    <cellStyle name="Labels - Opmaakprofiel3 2 4 3 5 4" xfId="27081"/>
    <cellStyle name="Labels - Opmaakprofiel3 2 4 3 5 5" xfId="45449"/>
    <cellStyle name="Labels - Opmaakprofiel3 2 4 3 5 6" xfId="48576"/>
    <cellStyle name="Labels - Opmaakprofiel3 2 4 3 6" xfId="5229"/>
    <cellStyle name="Labels - Opmaakprofiel3 2 4 3 6 2" xfId="9551"/>
    <cellStyle name="Labels - Opmaakprofiel3 2 4 3 6 2 2" xfId="21849"/>
    <cellStyle name="Labels - Opmaakprofiel3 2 4 3 6 2 3" xfId="33901"/>
    <cellStyle name="Labels - Opmaakprofiel3 2 4 3 6 2 4" xfId="42645"/>
    <cellStyle name="Labels - Opmaakprofiel3 2 4 3 6 2 5" xfId="54516"/>
    <cellStyle name="Labels - Opmaakprofiel3 2 4 3 6 3" xfId="15030"/>
    <cellStyle name="Labels - Opmaakprofiel3 2 4 3 6 4" xfId="27082"/>
    <cellStyle name="Labels - Opmaakprofiel3 2 4 3 6 5" xfId="39626"/>
    <cellStyle name="Labels - Opmaakprofiel3 2 4 3 6 6" xfId="48577"/>
    <cellStyle name="Labels - Opmaakprofiel3 2 4 3 7" xfId="5230"/>
    <cellStyle name="Labels - Opmaakprofiel3 2 4 3 7 2" xfId="15031"/>
    <cellStyle name="Labels - Opmaakprofiel3 2 4 3 7 3" xfId="27083"/>
    <cellStyle name="Labels - Opmaakprofiel3 2 4 3 7 4" xfId="45448"/>
    <cellStyle name="Labels - Opmaakprofiel3 2 4 3 7 5" xfId="48578"/>
    <cellStyle name="Labels - Opmaakprofiel3 2 4 3 8" xfId="7303"/>
    <cellStyle name="Labels - Opmaakprofiel3 2 4 3 8 2" xfId="19601"/>
    <cellStyle name="Labels - Opmaakprofiel3 2 4 3 8 3" xfId="41404"/>
    <cellStyle name="Labels - Opmaakprofiel3 2 4 3 8 4" xfId="36857"/>
    <cellStyle name="Labels - Opmaakprofiel3 2 4 3 8 5" xfId="52273"/>
    <cellStyle name="Labels - Opmaakprofiel3 2 4 3 9" xfId="15025"/>
    <cellStyle name="Labels - Opmaakprofiel3 2 4 4" xfId="1144"/>
    <cellStyle name="Labels - Opmaakprofiel3 2 4 4 2" xfId="1632"/>
    <cellStyle name="Labels - Opmaakprofiel3 2 4 4 2 2" xfId="9552"/>
    <cellStyle name="Labels - Opmaakprofiel3 2 4 4 2 2 2" xfId="21850"/>
    <cellStyle name="Labels - Opmaakprofiel3 2 4 4 2 2 3" xfId="33902"/>
    <cellStyle name="Labels - Opmaakprofiel3 2 4 4 2 2 4" xfId="31525"/>
    <cellStyle name="Labels - Opmaakprofiel3 2 4 4 2 2 5" xfId="54517"/>
    <cellStyle name="Labels - Opmaakprofiel3 2 4 4 2 3" xfId="15033"/>
    <cellStyle name="Labels - Opmaakprofiel3 2 4 4 2 4" xfId="27085"/>
    <cellStyle name="Labels - Opmaakprofiel3 2 4 4 2 5" xfId="45447"/>
    <cellStyle name="Labels - Opmaakprofiel3 2 4 4 2 6" xfId="48579"/>
    <cellStyle name="Labels - Opmaakprofiel3 2 4 4 3" xfId="3155"/>
    <cellStyle name="Labels - Opmaakprofiel3 2 4 4 3 2" xfId="9553"/>
    <cellStyle name="Labels - Opmaakprofiel3 2 4 4 3 2 2" xfId="21851"/>
    <cellStyle name="Labels - Opmaakprofiel3 2 4 4 3 2 3" xfId="33903"/>
    <cellStyle name="Labels - Opmaakprofiel3 2 4 4 3 2 4" xfId="42644"/>
    <cellStyle name="Labels - Opmaakprofiel3 2 4 4 3 2 5" xfId="54518"/>
    <cellStyle name="Labels - Opmaakprofiel3 2 4 4 3 3" xfId="15034"/>
    <cellStyle name="Labels - Opmaakprofiel3 2 4 4 3 4" xfId="27086"/>
    <cellStyle name="Labels - Opmaakprofiel3 2 4 4 3 5" xfId="39624"/>
    <cellStyle name="Labels - Opmaakprofiel3 2 4 4 3 6" xfId="48580"/>
    <cellStyle name="Labels - Opmaakprofiel3 2 4 4 4" xfId="3981"/>
    <cellStyle name="Labels - Opmaakprofiel3 2 4 4 4 2" xfId="9554"/>
    <cellStyle name="Labels - Opmaakprofiel3 2 4 4 4 2 2" xfId="21852"/>
    <cellStyle name="Labels - Opmaakprofiel3 2 4 4 4 2 3" xfId="33904"/>
    <cellStyle name="Labels - Opmaakprofiel3 2 4 4 4 2 4" xfId="28025"/>
    <cellStyle name="Labels - Opmaakprofiel3 2 4 4 4 2 5" xfId="54519"/>
    <cellStyle name="Labels - Opmaakprofiel3 2 4 4 4 3" xfId="15035"/>
    <cellStyle name="Labels - Opmaakprofiel3 2 4 4 4 4" xfId="27087"/>
    <cellStyle name="Labels - Opmaakprofiel3 2 4 4 4 5" xfId="45446"/>
    <cellStyle name="Labels - Opmaakprofiel3 2 4 4 4 6" xfId="48581"/>
    <cellStyle name="Labels - Opmaakprofiel3 2 4 4 5" xfId="5231"/>
    <cellStyle name="Labels - Opmaakprofiel3 2 4 4 5 2" xfId="9555"/>
    <cellStyle name="Labels - Opmaakprofiel3 2 4 4 5 2 2" xfId="21853"/>
    <cellStyle name="Labels - Opmaakprofiel3 2 4 4 5 2 3" xfId="33905"/>
    <cellStyle name="Labels - Opmaakprofiel3 2 4 4 5 2 4" xfId="42643"/>
    <cellStyle name="Labels - Opmaakprofiel3 2 4 4 5 2 5" xfId="54520"/>
    <cellStyle name="Labels - Opmaakprofiel3 2 4 4 5 3" xfId="15036"/>
    <cellStyle name="Labels - Opmaakprofiel3 2 4 4 5 4" xfId="27088"/>
    <cellStyle name="Labels - Opmaakprofiel3 2 4 4 5 5" xfId="39623"/>
    <cellStyle name="Labels - Opmaakprofiel3 2 4 4 5 6" xfId="48582"/>
    <cellStyle name="Labels - Opmaakprofiel3 2 4 4 6" xfId="5232"/>
    <cellStyle name="Labels - Opmaakprofiel3 2 4 4 6 2" xfId="9556"/>
    <cellStyle name="Labels - Opmaakprofiel3 2 4 4 6 2 2" xfId="21854"/>
    <cellStyle name="Labels - Opmaakprofiel3 2 4 4 6 2 3" xfId="33906"/>
    <cellStyle name="Labels - Opmaakprofiel3 2 4 4 6 2 4" xfId="31393"/>
    <cellStyle name="Labels - Opmaakprofiel3 2 4 4 6 2 5" xfId="54521"/>
    <cellStyle name="Labels - Opmaakprofiel3 2 4 4 6 3" xfId="15037"/>
    <cellStyle name="Labels - Opmaakprofiel3 2 4 4 6 4" xfId="27089"/>
    <cellStyle name="Labels - Opmaakprofiel3 2 4 4 6 5" xfId="39622"/>
    <cellStyle name="Labels - Opmaakprofiel3 2 4 4 6 6" xfId="48583"/>
    <cellStyle name="Labels - Opmaakprofiel3 2 4 4 7" xfId="5233"/>
    <cellStyle name="Labels - Opmaakprofiel3 2 4 4 7 2" xfId="15038"/>
    <cellStyle name="Labels - Opmaakprofiel3 2 4 4 7 3" xfId="27090"/>
    <cellStyle name="Labels - Opmaakprofiel3 2 4 4 7 4" xfId="39621"/>
    <cellStyle name="Labels - Opmaakprofiel3 2 4 4 7 5" xfId="48584"/>
    <cellStyle name="Labels - Opmaakprofiel3 2 4 4 8" xfId="9904"/>
    <cellStyle name="Labels - Opmaakprofiel3 2 4 4 8 2" xfId="22202"/>
    <cellStyle name="Labels - Opmaakprofiel3 2 4 4 8 3" xfId="43969"/>
    <cellStyle name="Labels - Opmaakprofiel3 2 4 4 8 4" xfId="32066"/>
    <cellStyle name="Labels - Opmaakprofiel3 2 4 4 8 5" xfId="54869"/>
    <cellStyle name="Labels - Opmaakprofiel3 2 4 4 9" xfId="15032"/>
    <cellStyle name="Labels - Opmaakprofiel3 2 4 5" xfId="1182"/>
    <cellStyle name="Labels - Opmaakprofiel3 2 4 5 2" xfId="2249"/>
    <cellStyle name="Labels - Opmaakprofiel3 2 4 5 2 2" xfId="9557"/>
    <cellStyle name="Labels - Opmaakprofiel3 2 4 5 2 2 2" xfId="21855"/>
    <cellStyle name="Labels - Opmaakprofiel3 2 4 5 2 2 3" xfId="33907"/>
    <cellStyle name="Labels - Opmaakprofiel3 2 4 5 2 2 4" xfId="42642"/>
    <cellStyle name="Labels - Opmaakprofiel3 2 4 5 2 2 5" xfId="54522"/>
    <cellStyle name="Labels - Opmaakprofiel3 2 4 5 2 3" xfId="15040"/>
    <cellStyle name="Labels - Opmaakprofiel3 2 4 5 2 4" xfId="27092"/>
    <cellStyle name="Labels - Opmaakprofiel3 2 4 5 2 5" xfId="39620"/>
    <cellStyle name="Labels - Opmaakprofiel3 2 4 5 2 6" xfId="48585"/>
    <cellStyle name="Labels - Opmaakprofiel3 2 4 5 3" xfId="3193"/>
    <cellStyle name="Labels - Opmaakprofiel3 2 4 5 3 2" xfId="9558"/>
    <cellStyle name="Labels - Opmaakprofiel3 2 4 5 3 2 2" xfId="21856"/>
    <cellStyle name="Labels - Opmaakprofiel3 2 4 5 3 2 3" xfId="33908"/>
    <cellStyle name="Labels - Opmaakprofiel3 2 4 5 3 2 4" xfId="32068"/>
    <cellStyle name="Labels - Opmaakprofiel3 2 4 5 3 2 5" xfId="54523"/>
    <cellStyle name="Labels - Opmaakprofiel3 2 4 5 3 3" xfId="15041"/>
    <cellStyle name="Labels - Opmaakprofiel3 2 4 5 3 4" xfId="27093"/>
    <cellStyle name="Labels - Opmaakprofiel3 2 4 5 3 5" xfId="45445"/>
    <cellStyle name="Labels - Opmaakprofiel3 2 4 5 3 6" xfId="48586"/>
    <cellStyle name="Labels - Opmaakprofiel3 2 4 5 4" xfId="4012"/>
    <cellStyle name="Labels - Opmaakprofiel3 2 4 5 4 2" xfId="9559"/>
    <cellStyle name="Labels - Opmaakprofiel3 2 4 5 4 2 2" xfId="21857"/>
    <cellStyle name="Labels - Opmaakprofiel3 2 4 5 4 2 3" xfId="33909"/>
    <cellStyle name="Labels - Opmaakprofiel3 2 4 5 4 2 4" xfId="42641"/>
    <cellStyle name="Labels - Opmaakprofiel3 2 4 5 4 2 5" xfId="54524"/>
    <cellStyle name="Labels - Opmaakprofiel3 2 4 5 4 3" xfId="15042"/>
    <cellStyle name="Labels - Opmaakprofiel3 2 4 5 4 4" xfId="27094"/>
    <cellStyle name="Labels - Opmaakprofiel3 2 4 5 4 5" xfId="39619"/>
    <cellStyle name="Labels - Opmaakprofiel3 2 4 5 4 6" xfId="48587"/>
    <cellStyle name="Labels - Opmaakprofiel3 2 4 5 5" xfId="5234"/>
    <cellStyle name="Labels - Opmaakprofiel3 2 4 5 5 2" xfId="9560"/>
    <cellStyle name="Labels - Opmaakprofiel3 2 4 5 5 2 2" xfId="21858"/>
    <cellStyle name="Labels - Opmaakprofiel3 2 4 5 5 2 3" xfId="33910"/>
    <cellStyle name="Labels - Opmaakprofiel3 2 4 5 5 2 4" xfId="32094"/>
    <cellStyle name="Labels - Opmaakprofiel3 2 4 5 5 2 5" xfId="54525"/>
    <cellStyle name="Labels - Opmaakprofiel3 2 4 5 5 3" xfId="15043"/>
    <cellStyle name="Labels - Opmaakprofiel3 2 4 5 5 4" xfId="27095"/>
    <cellStyle name="Labels - Opmaakprofiel3 2 4 5 5 5" xfId="45444"/>
    <cellStyle name="Labels - Opmaakprofiel3 2 4 5 5 6" xfId="48588"/>
    <cellStyle name="Labels - Opmaakprofiel3 2 4 5 6" xfId="5235"/>
    <cellStyle name="Labels - Opmaakprofiel3 2 4 5 6 2" xfId="9561"/>
    <cellStyle name="Labels - Opmaakprofiel3 2 4 5 6 2 2" xfId="21859"/>
    <cellStyle name="Labels - Opmaakprofiel3 2 4 5 6 2 3" xfId="33911"/>
    <cellStyle name="Labels - Opmaakprofiel3 2 4 5 6 2 4" xfId="28032"/>
    <cellStyle name="Labels - Opmaakprofiel3 2 4 5 6 2 5" xfId="54526"/>
    <cellStyle name="Labels - Opmaakprofiel3 2 4 5 6 3" xfId="15044"/>
    <cellStyle name="Labels - Opmaakprofiel3 2 4 5 6 4" xfId="27096"/>
    <cellStyle name="Labels - Opmaakprofiel3 2 4 5 6 5" xfId="39618"/>
    <cellStyle name="Labels - Opmaakprofiel3 2 4 5 6 6" xfId="48589"/>
    <cellStyle name="Labels - Opmaakprofiel3 2 4 5 7" xfId="5236"/>
    <cellStyle name="Labels - Opmaakprofiel3 2 4 5 7 2" xfId="15045"/>
    <cellStyle name="Labels - Opmaakprofiel3 2 4 5 7 3" xfId="27097"/>
    <cellStyle name="Labels - Opmaakprofiel3 2 4 5 7 4" xfId="45443"/>
    <cellStyle name="Labels - Opmaakprofiel3 2 4 5 7 5" xfId="48590"/>
    <cellStyle name="Labels - Opmaakprofiel3 2 4 5 8" xfId="7188"/>
    <cellStyle name="Labels - Opmaakprofiel3 2 4 5 8 2" xfId="19486"/>
    <cellStyle name="Labels - Opmaakprofiel3 2 4 5 8 3" xfId="41289"/>
    <cellStyle name="Labels - Opmaakprofiel3 2 4 5 8 4" xfId="43613"/>
    <cellStyle name="Labels - Opmaakprofiel3 2 4 5 8 5" xfId="52158"/>
    <cellStyle name="Labels - Opmaakprofiel3 2 4 5 9" xfId="15039"/>
    <cellStyle name="Labels - Opmaakprofiel3 2 4 6" xfId="1098"/>
    <cellStyle name="Labels - Opmaakprofiel3 2 4 6 2" xfId="1421"/>
    <cellStyle name="Labels - Opmaakprofiel3 2 4 6 2 2" xfId="9562"/>
    <cellStyle name="Labels - Opmaakprofiel3 2 4 6 2 2 2" xfId="21860"/>
    <cellStyle name="Labels - Opmaakprofiel3 2 4 6 2 2 3" xfId="33912"/>
    <cellStyle name="Labels - Opmaakprofiel3 2 4 6 2 2 4" xfId="28033"/>
    <cellStyle name="Labels - Opmaakprofiel3 2 4 6 2 2 5" xfId="54527"/>
    <cellStyle name="Labels - Opmaakprofiel3 2 4 6 2 3" xfId="15047"/>
    <cellStyle name="Labels - Opmaakprofiel3 2 4 6 2 4" xfId="27099"/>
    <cellStyle name="Labels - Opmaakprofiel3 2 4 6 2 5" xfId="45442"/>
    <cellStyle name="Labels - Opmaakprofiel3 2 4 6 2 6" xfId="48591"/>
    <cellStyle name="Labels - Opmaakprofiel3 2 4 6 3" xfId="3109"/>
    <cellStyle name="Labels - Opmaakprofiel3 2 4 6 3 2" xfId="9563"/>
    <cellStyle name="Labels - Opmaakprofiel3 2 4 6 3 2 2" xfId="21861"/>
    <cellStyle name="Labels - Opmaakprofiel3 2 4 6 3 2 3" xfId="33913"/>
    <cellStyle name="Labels - Opmaakprofiel3 2 4 6 3 2 4" xfId="42640"/>
    <cellStyle name="Labels - Opmaakprofiel3 2 4 6 3 2 5" xfId="54528"/>
    <cellStyle name="Labels - Opmaakprofiel3 2 4 6 3 3" xfId="15048"/>
    <cellStyle name="Labels - Opmaakprofiel3 2 4 6 3 4" xfId="27100"/>
    <cellStyle name="Labels - Opmaakprofiel3 2 4 6 3 5" xfId="39616"/>
    <cellStyle name="Labels - Opmaakprofiel3 2 4 6 3 6" xfId="48592"/>
    <cellStyle name="Labels - Opmaakprofiel3 2 4 6 4" xfId="3945"/>
    <cellStyle name="Labels - Opmaakprofiel3 2 4 6 4 2" xfId="9564"/>
    <cellStyle name="Labels - Opmaakprofiel3 2 4 6 4 2 2" xfId="21862"/>
    <cellStyle name="Labels - Opmaakprofiel3 2 4 6 4 2 3" xfId="33914"/>
    <cellStyle name="Labels - Opmaakprofiel3 2 4 6 4 2 4" xfId="31448"/>
    <cellStyle name="Labels - Opmaakprofiel3 2 4 6 4 2 5" xfId="54529"/>
    <cellStyle name="Labels - Opmaakprofiel3 2 4 6 4 3" xfId="15049"/>
    <cellStyle name="Labels - Opmaakprofiel3 2 4 6 4 4" xfId="27101"/>
    <cellStyle name="Labels - Opmaakprofiel3 2 4 6 4 5" xfId="39615"/>
    <cellStyle name="Labels - Opmaakprofiel3 2 4 6 4 6" xfId="48593"/>
    <cellStyle name="Labels - Opmaakprofiel3 2 4 6 5" xfId="5237"/>
    <cellStyle name="Labels - Opmaakprofiel3 2 4 6 5 2" xfId="9565"/>
    <cellStyle name="Labels - Opmaakprofiel3 2 4 6 5 2 2" xfId="21863"/>
    <cellStyle name="Labels - Opmaakprofiel3 2 4 6 5 2 3" xfId="33915"/>
    <cellStyle name="Labels - Opmaakprofiel3 2 4 6 5 2 4" xfId="42639"/>
    <cellStyle name="Labels - Opmaakprofiel3 2 4 6 5 2 5" xfId="54530"/>
    <cellStyle name="Labels - Opmaakprofiel3 2 4 6 5 3" xfId="15050"/>
    <cellStyle name="Labels - Opmaakprofiel3 2 4 6 5 4" xfId="27102"/>
    <cellStyle name="Labels - Opmaakprofiel3 2 4 6 5 5" xfId="39614"/>
    <cellStyle name="Labels - Opmaakprofiel3 2 4 6 5 6" xfId="48594"/>
    <cellStyle name="Labels - Opmaakprofiel3 2 4 6 6" xfId="5238"/>
    <cellStyle name="Labels - Opmaakprofiel3 2 4 6 6 2" xfId="9566"/>
    <cellStyle name="Labels - Opmaakprofiel3 2 4 6 6 2 2" xfId="21864"/>
    <cellStyle name="Labels - Opmaakprofiel3 2 4 6 6 2 3" xfId="33916"/>
    <cellStyle name="Labels - Opmaakprofiel3 2 4 6 6 2 4" xfId="34518"/>
    <cellStyle name="Labels - Opmaakprofiel3 2 4 6 6 2 5" xfId="54531"/>
    <cellStyle name="Labels - Opmaakprofiel3 2 4 6 6 3" xfId="15051"/>
    <cellStyle name="Labels - Opmaakprofiel3 2 4 6 6 4" xfId="27103"/>
    <cellStyle name="Labels - Opmaakprofiel3 2 4 6 6 5" xfId="45441"/>
    <cellStyle name="Labels - Opmaakprofiel3 2 4 6 6 6" xfId="48595"/>
    <cellStyle name="Labels - Opmaakprofiel3 2 4 6 7" xfId="5239"/>
    <cellStyle name="Labels - Opmaakprofiel3 2 4 6 7 2" xfId="15052"/>
    <cellStyle name="Labels - Opmaakprofiel3 2 4 6 7 3" xfId="27104"/>
    <cellStyle name="Labels - Opmaakprofiel3 2 4 6 7 4" xfId="39613"/>
    <cellStyle name="Labels - Opmaakprofiel3 2 4 6 7 5" xfId="48596"/>
    <cellStyle name="Labels - Opmaakprofiel3 2 4 6 8" xfId="9935"/>
    <cellStyle name="Labels - Opmaakprofiel3 2 4 6 8 2" xfId="22233"/>
    <cellStyle name="Labels - Opmaakprofiel3 2 4 6 8 3" xfId="43999"/>
    <cellStyle name="Labels - Opmaakprofiel3 2 4 6 8 4" xfId="28366"/>
    <cellStyle name="Labels - Opmaakprofiel3 2 4 6 8 5" xfId="54900"/>
    <cellStyle name="Labels - Opmaakprofiel3 2 4 6 9" xfId="15046"/>
    <cellStyle name="Labels - Opmaakprofiel3 2 4 7" xfId="1987"/>
    <cellStyle name="Labels - Opmaakprofiel3 2 4 7 2" xfId="9567"/>
    <cellStyle name="Labels - Opmaakprofiel3 2 4 7 2 2" xfId="21865"/>
    <cellStyle name="Labels - Opmaakprofiel3 2 4 7 2 3" xfId="33917"/>
    <cellStyle name="Labels - Opmaakprofiel3 2 4 7 2 4" xfId="42638"/>
    <cellStyle name="Labels - Opmaakprofiel3 2 4 7 2 5" xfId="54532"/>
    <cellStyle name="Labels - Opmaakprofiel3 2 4 7 3" xfId="15053"/>
    <cellStyle name="Labels - Opmaakprofiel3 2 4 7 4" xfId="27105"/>
    <cellStyle name="Labels - Opmaakprofiel3 2 4 7 5" xfId="45440"/>
    <cellStyle name="Labels - Opmaakprofiel3 2 4 7 6" xfId="48597"/>
    <cellStyle name="Labels - Opmaakprofiel3 2 4 8" xfId="2790"/>
    <cellStyle name="Labels - Opmaakprofiel3 2 4 8 2" xfId="9568"/>
    <cellStyle name="Labels - Opmaakprofiel3 2 4 8 2 2" xfId="21866"/>
    <cellStyle name="Labels - Opmaakprofiel3 2 4 8 2 3" xfId="33918"/>
    <cellStyle name="Labels - Opmaakprofiel3 2 4 8 2 4" xfId="28038"/>
    <cellStyle name="Labels - Opmaakprofiel3 2 4 8 2 5" xfId="54533"/>
    <cellStyle name="Labels - Opmaakprofiel3 2 4 8 3" xfId="15054"/>
    <cellStyle name="Labels - Opmaakprofiel3 2 4 8 4" xfId="27106"/>
    <cellStyle name="Labels - Opmaakprofiel3 2 4 8 5" xfId="39612"/>
    <cellStyle name="Labels - Opmaakprofiel3 2 4 8 6" xfId="48598"/>
    <cellStyle name="Labels - Opmaakprofiel3 2 4 9" xfId="3652"/>
    <cellStyle name="Labels - Opmaakprofiel3 2 4 9 2" xfId="9569"/>
    <cellStyle name="Labels - Opmaakprofiel3 2 4 9 2 2" xfId="21867"/>
    <cellStyle name="Labels - Opmaakprofiel3 2 4 9 2 3" xfId="33919"/>
    <cellStyle name="Labels - Opmaakprofiel3 2 4 9 2 4" xfId="42637"/>
    <cellStyle name="Labels - Opmaakprofiel3 2 4 9 2 5" xfId="54534"/>
    <cellStyle name="Labels - Opmaakprofiel3 2 4 9 3" xfId="15055"/>
    <cellStyle name="Labels - Opmaakprofiel3 2 4 9 4" xfId="27107"/>
    <cellStyle name="Labels - Opmaakprofiel3 2 4 9 5" xfId="45439"/>
    <cellStyle name="Labels - Opmaakprofiel3 2 4 9 6" xfId="48599"/>
    <cellStyle name="Labels - Opmaakprofiel3 2 40" xfId="5240"/>
    <cellStyle name="Labels - Opmaakprofiel3 2 40 2" xfId="9570"/>
    <cellStyle name="Labels - Opmaakprofiel3 2 40 2 2" xfId="21868"/>
    <cellStyle name="Labels - Opmaakprofiel3 2 40 2 3" xfId="33920"/>
    <cellStyle name="Labels - Opmaakprofiel3 2 40 2 4" xfId="28039"/>
    <cellStyle name="Labels - Opmaakprofiel3 2 40 2 5" xfId="54535"/>
    <cellStyle name="Labels - Opmaakprofiel3 2 40 3" xfId="15056"/>
    <cellStyle name="Labels - Opmaakprofiel3 2 40 4" xfId="27108"/>
    <cellStyle name="Labels - Opmaakprofiel3 2 40 5" xfId="39611"/>
    <cellStyle name="Labels - Opmaakprofiel3 2 40 6" xfId="48600"/>
    <cellStyle name="Labels - Opmaakprofiel3 2 41" xfId="5241"/>
    <cellStyle name="Labels - Opmaakprofiel3 2 41 2" xfId="9571"/>
    <cellStyle name="Labels - Opmaakprofiel3 2 41 2 2" xfId="21869"/>
    <cellStyle name="Labels - Opmaakprofiel3 2 41 2 3" xfId="33921"/>
    <cellStyle name="Labels - Opmaakprofiel3 2 41 2 4" xfId="42636"/>
    <cellStyle name="Labels - Opmaakprofiel3 2 41 2 5" xfId="54536"/>
    <cellStyle name="Labels - Opmaakprofiel3 2 41 3" xfId="15057"/>
    <cellStyle name="Labels - Opmaakprofiel3 2 41 4" xfId="27109"/>
    <cellStyle name="Labels - Opmaakprofiel3 2 41 5" xfId="39610"/>
    <cellStyle name="Labels - Opmaakprofiel3 2 41 6" xfId="48601"/>
    <cellStyle name="Labels - Opmaakprofiel3 2 42" xfId="5242"/>
    <cellStyle name="Labels - Opmaakprofiel3 2 42 2" xfId="15058"/>
    <cellStyle name="Labels - Opmaakprofiel3 2 42 3" xfId="27110"/>
    <cellStyle name="Labels - Opmaakprofiel3 2 42 4" xfId="39609"/>
    <cellStyle name="Labels - Opmaakprofiel3 2 42 5" xfId="48602"/>
    <cellStyle name="Labels - Opmaakprofiel3 2 43" xfId="7787"/>
    <cellStyle name="Labels - Opmaakprofiel3 2 43 2" xfId="20085"/>
    <cellStyle name="Labels - Opmaakprofiel3 2 43 3" xfId="41888"/>
    <cellStyle name="Labels - Opmaakprofiel3 2 43 4" xfId="31678"/>
    <cellStyle name="Labels - Opmaakprofiel3 2 43 5" xfId="52757"/>
    <cellStyle name="Labels - Opmaakprofiel3 2 44" xfId="14113"/>
    <cellStyle name="Labels - Opmaakprofiel3 2 5" xfId="690"/>
    <cellStyle name="Labels - Opmaakprofiel3 2 5 10" xfId="5243"/>
    <cellStyle name="Labels - Opmaakprofiel3 2 5 10 2" xfId="9572"/>
    <cellStyle name="Labels - Opmaakprofiel3 2 5 10 2 2" xfId="21870"/>
    <cellStyle name="Labels - Opmaakprofiel3 2 5 10 2 3" xfId="33922"/>
    <cellStyle name="Labels - Opmaakprofiel3 2 5 10 2 4" xfId="31452"/>
    <cellStyle name="Labels - Opmaakprofiel3 2 5 10 2 5" xfId="54537"/>
    <cellStyle name="Labels - Opmaakprofiel3 2 5 10 3" xfId="15060"/>
    <cellStyle name="Labels - Opmaakprofiel3 2 5 10 4" xfId="27112"/>
    <cellStyle name="Labels - Opmaakprofiel3 2 5 10 5" xfId="39608"/>
    <cellStyle name="Labels - Opmaakprofiel3 2 5 10 6" xfId="48603"/>
    <cellStyle name="Labels - Opmaakprofiel3 2 5 11" xfId="5244"/>
    <cellStyle name="Labels - Opmaakprofiel3 2 5 11 2" xfId="9573"/>
    <cellStyle name="Labels - Opmaakprofiel3 2 5 11 2 2" xfId="21871"/>
    <cellStyle name="Labels - Opmaakprofiel3 2 5 11 2 3" xfId="33923"/>
    <cellStyle name="Labels - Opmaakprofiel3 2 5 11 2 4" xfId="31827"/>
    <cellStyle name="Labels - Opmaakprofiel3 2 5 11 2 5" xfId="54538"/>
    <cellStyle name="Labels - Opmaakprofiel3 2 5 11 3" xfId="15061"/>
    <cellStyle name="Labels - Opmaakprofiel3 2 5 11 4" xfId="27113"/>
    <cellStyle name="Labels - Opmaakprofiel3 2 5 11 5" xfId="45437"/>
    <cellStyle name="Labels - Opmaakprofiel3 2 5 11 6" xfId="48604"/>
    <cellStyle name="Labels - Opmaakprofiel3 2 5 12" xfId="5245"/>
    <cellStyle name="Labels - Opmaakprofiel3 2 5 12 2" xfId="15062"/>
    <cellStyle name="Labels - Opmaakprofiel3 2 5 12 3" xfId="27114"/>
    <cellStyle name="Labels - Opmaakprofiel3 2 5 12 4" xfId="39607"/>
    <cellStyle name="Labels - Opmaakprofiel3 2 5 12 5" xfId="48605"/>
    <cellStyle name="Labels - Opmaakprofiel3 2 5 13" xfId="7521"/>
    <cellStyle name="Labels - Opmaakprofiel3 2 5 13 2" xfId="19819"/>
    <cellStyle name="Labels - Opmaakprofiel3 2 5 13 3" xfId="41622"/>
    <cellStyle name="Labels - Opmaakprofiel3 2 5 13 4" xfId="43474"/>
    <cellStyle name="Labels - Opmaakprofiel3 2 5 13 5" xfId="52491"/>
    <cellStyle name="Labels - Opmaakprofiel3 2 5 14" xfId="15059"/>
    <cellStyle name="Labels - Opmaakprofiel3 2 5 2" xfId="863"/>
    <cellStyle name="Labels - Opmaakprofiel3 2 5 2 2" xfId="1436"/>
    <cellStyle name="Labels - Opmaakprofiel3 2 5 2 2 2" xfId="9574"/>
    <cellStyle name="Labels - Opmaakprofiel3 2 5 2 2 2 2" xfId="21872"/>
    <cellStyle name="Labels - Opmaakprofiel3 2 5 2 2 2 3" xfId="33924"/>
    <cellStyle name="Labels - Opmaakprofiel3 2 5 2 2 2 4" xfId="28044"/>
    <cellStyle name="Labels - Opmaakprofiel3 2 5 2 2 2 5" xfId="54539"/>
    <cellStyle name="Labels - Opmaakprofiel3 2 5 2 2 3" xfId="15064"/>
    <cellStyle name="Labels - Opmaakprofiel3 2 5 2 2 4" xfId="27116"/>
    <cellStyle name="Labels - Opmaakprofiel3 2 5 2 2 5" xfId="39606"/>
    <cellStyle name="Labels - Opmaakprofiel3 2 5 2 2 6" xfId="48606"/>
    <cellStyle name="Labels - Opmaakprofiel3 2 5 2 3" xfId="2874"/>
    <cellStyle name="Labels - Opmaakprofiel3 2 5 2 3 2" xfId="9575"/>
    <cellStyle name="Labels - Opmaakprofiel3 2 5 2 3 2 2" xfId="21873"/>
    <cellStyle name="Labels - Opmaakprofiel3 2 5 2 3 2 3" xfId="33925"/>
    <cellStyle name="Labels - Opmaakprofiel3 2 5 2 3 2 4" xfId="42635"/>
    <cellStyle name="Labels - Opmaakprofiel3 2 5 2 3 2 5" xfId="54540"/>
    <cellStyle name="Labels - Opmaakprofiel3 2 5 2 3 3" xfId="15065"/>
    <cellStyle name="Labels - Opmaakprofiel3 2 5 2 3 4" xfId="27117"/>
    <cellStyle name="Labels - Opmaakprofiel3 2 5 2 3 5" xfId="45435"/>
    <cellStyle name="Labels - Opmaakprofiel3 2 5 2 3 6" xfId="48607"/>
    <cellStyle name="Labels - Opmaakprofiel3 2 5 2 4" xfId="3727"/>
    <cellStyle name="Labels - Opmaakprofiel3 2 5 2 4 2" xfId="9576"/>
    <cellStyle name="Labels - Opmaakprofiel3 2 5 2 4 2 2" xfId="21874"/>
    <cellStyle name="Labels - Opmaakprofiel3 2 5 2 4 2 3" xfId="33926"/>
    <cellStyle name="Labels - Opmaakprofiel3 2 5 2 4 2 4" xfId="28045"/>
    <cellStyle name="Labels - Opmaakprofiel3 2 5 2 4 2 5" xfId="54541"/>
    <cellStyle name="Labels - Opmaakprofiel3 2 5 2 4 3" xfId="15066"/>
    <cellStyle name="Labels - Opmaakprofiel3 2 5 2 4 4" xfId="27118"/>
    <cellStyle name="Labels - Opmaakprofiel3 2 5 2 4 5" xfId="39605"/>
    <cellStyle name="Labels - Opmaakprofiel3 2 5 2 4 6" xfId="48608"/>
    <cellStyle name="Labels - Opmaakprofiel3 2 5 2 5" xfId="5246"/>
    <cellStyle name="Labels - Opmaakprofiel3 2 5 2 5 2" xfId="9577"/>
    <cellStyle name="Labels - Opmaakprofiel3 2 5 2 5 2 2" xfId="21875"/>
    <cellStyle name="Labels - Opmaakprofiel3 2 5 2 5 2 3" xfId="33927"/>
    <cellStyle name="Labels - Opmaakprofiel3 2 5 2 5 2 4" xfId="42634"/>
    <cellStyle name="Labels - Opmaakprofiel3 2 5 2 5 2 5" xfId="54542"/>
    <cellStyle name="Labels - Opmaakprofiel3 2 5 2 5 3" xfId="15067"/>
    <cellStyle name="Labels - Opmaakprofiel3 2 5 2 5 4" xfId="27119"/>
    <cellStyle name="Labels - Opmaakprofiel3 2 5 2 5 5" xfId="45434"/>
    <cellStyle name="Labels - Opmaakprofiel3 2 5 2 5 6" xfId="48609"/>
    <cellStyle name="Labels - Opmaakprofiel3 2 5 2 6" xfId="5247"/>
    <cellStyle name="Labels - Opmaakprofiel3 2 5 2 6 2" xfId="9578"/>
    <cellStyle name="Labels - Opmaakprofiel3 2 5 2 6 2 2" xfId="21876"/>
    <cellStyle name="Labels - Opmaakprofiel3 2 5 2 6 2 3" xfId="33928"/>
    <cellStyle name="Labels - Opmaakprofiel3 2 5 2 6 2 4" xfId="34670"/>
    <cellStyle name="Labels - Opmaakprofiel3 2 5 2 6 2 5" xfId="54543"/>
    <cellStyle name="Labels - Opmaakprofiel3 2 5 2 6 3" xfId="15068"/>
    <cellStyle name="Labels - Opmaakprofiel3 2 5 2 6 4" xfId="27120"/>
    <cellStyle name="Labels - Opmaakprofiel3 2 5 2 6 5" xfId="39604"/>
    <cellStyle name="Labels - Opmaakprofiel3 2 5 2 6 6" xfId="48610"/>
    <cellStyle name="Labels - Opmaakprofiel3 2 5 2 7" xfId="5248"/>
    <cellStyle name="Labels - Opmaakprofiel3 2 5 2 7 2" xfId="15069"/>
    <cellStyle name="Labels - Opmaakprofiel3 2 5 2 7 3" xfId="27121"/>
    <cellStyle name="Labels - Opmaakprofiel3 2 5 2 7 4" xfId="39603"/>
    <cellStyle name="Labels - Opmaakprofiel3 2 5 2 7 5" xfId="48611"/>
    <cellStyle name="Labels - Opmaakprofiel3 2 5 2 8" xfId="7403"/>
    <cellStyle name="Labels - Opmaakprofiel3 2 5 2 8 2" xfId="19701"/>
    <cellStyle name="Labels - Opmaakprofiel3 2 5 2 8 3" xfId="41504"/>
    <cellStyle name="Labels - Opmaakprofiel3 2 5 2 8 4" xfId="15576"/>
    <cellStyle name="Labels - Opmaakprofiel3 2 5 2 8 5" xfId="52373"/>
    <cellStyle name="Labels - Opmaakprofiel3 2 5 2 9" xfId="15063"/>
    <cellStyle name="Labels - Opmaakprofiel3 2 5 3" xfId="500"/>
    <cellStyle name="Labels - Opmaakprofiel3 2 5 3 2" xfId="2140"/>
    <cellStyle name="Labels - Opmaakprofiel3 2 5 3 2 2" xfId="9579"/>
    <cellStyle name="Labels - Opmaakprofiel3 2 5 3 2 2 2" xfId="21877"/>
    <cellStyle name="Labels - Opmaakprofiel3 2 5 3 2 2 3" xfId="33929"/>
    <cellStyle name="Labels - Opmaakprofiel3 2 5 3 2 2 4" xfId="34489"/>
    <cellStyle name="Labels - Opmaakprofiel3 2 5 3 2 2 5" xfId="54544"/>
    <cellStyle name="Labels - Opmaakprofiel3 2 5 3 2 3" xfId="15071"/>
    <cellStyle name="Labels - Opmaakprofiel3 2 5 3 2 4" xfId="27123"/>
    <cellStyle name="Labels - Opmaakprofiel3 2 5 3 2 5" xfId="45433"/>
    <cellStyle name="Labels - Opmaakprofiel3 2 5 3 2 6" xfId="48612"/>
    <cellStyle name="Labels - Opmaakprofiel3 2 5 3 3" xfId="2571"/>
    <cellStyle name="Labels - Opmaakprofiel3 2 5 3 3 2" xfId="9580"/>
    <cellStyle name="Labels - Opmaakprofiel3 2 5 3 3 2 2" xfId="21878"/>
    <cellStyle name="Labels - Opmaakprofiel3 2 5 3 3 2 3" xfId="33930"/>
    <cellStyle name="Labels - Opmaakprofiel3 2 5 3 3 2 4" xfId="42633"/>
    <cellStyle name="Labels - Opmaakprofiel3 2 5 3 3 2 5" xfId="54545"/>
    <cellStyle name="Labels - Opmaakprofiel3 2 5 3 3 3" xfId="15072"/>
    <cellStyle name="Labels - Opmaakprofiel3 2 5 3 3 4" xfId="27124"/>
    <cellStyle name="Labels - Opmaakprofiel3 2 5 3 3 5" xfId="39601"/>
    <cellStyle name="Labels - Opmaakprofiel3 2 5 3 3 6" xfId="48613"/>
    <cellStyle name="Labels - Opmaakprofiel3 2 5 3 4" xfId="3455"/>
    <cellStyle name="Labels - Opmaakprofiel3 2 5 3 4 2" xfId="9581"/>
    <cellStyle name="Labels - Opmaakprofiel3 2 5 3 4 2 2" xfId="21879"/>
    <cellStyle name="Labels - Opmaakprofiel3 2 5 3 4 2 3" xfId="33931"/>
    <cellStyle name="Labels - Opmaakprofiel3 2 5 3 4 2 4" xfId="28050"/>
    <cellStyle name="Labels - Opmaakprofiel3 2 5 3 4 2 5" xfId="54546"/>
    <cellStyle name="Labels - Opmaakprofiel3 2 5 3 4 3" xfId="15073"/>
    <cellStyle name="Labels - Opmaakprofiel3 2 5 3 4 4" xfId="27125"/>
    <cellStyle name="Labels - Opmaakprofiel3 2 5 3 4 5" xfId="45432"/>
    <cellStyle name="Labels - Opmaakprofiel3 2 5 3 4 6" xfId="48614"/>
    <cellStyle name="Labels - Opmaakprofiel3 2 5 3 5" xfId="5249"/>
    <cellStyle name="Labels - Opmaakprofiel3 2 5 3 5 2" xfId="9582"/>
    <cellStyle name="Labels - Opmaakprofiel3 2 5 3 5 2 2" xfId="21880"/>
    <cellStyle name="Labels - Opmaakprofiel3 2 5 3 5 2 3" xfId="33932"/>
    <cellStyle name="Labels - Opmaakprofiel3 2 5 3 5 2 4" xfId="42632"/>
    <cellStyle name="Labels - Opmaakprofiel3 2 5 3 5 2 5" xfId="54547"/>
    <cellStyle name="Labels - Opmaakprofiel3 2 5 3 5 3" xfId="15074"/>
    <cellStyle name="Labels - Opmaakprofiel3 2 5 3 5 4" xfId="27126"/>
    <cellStyle name="Labels - Opmaakprofiel3 2 5 3 5 5" xfId="39600"/>
    <cellStyle name="Labels - Opmaakprofiel3 2 5 3 5 6" xfId="48615"/>
    <cellStyle name="Labels - Opmaakprofiel3 2 5 3 6" xfId="5250"/>
    <cellStyle name="Labels - Opmaakprofiel3 2 5 3 6 2" xfId="9583"/>
    <cellStyle name="Labels - Opmaakprofiel3 2 5 3 6 2 2" xfId="21881"/>
    <cellStyle name="Labels - Opmaakprofiel3 2 5 3 6 2 3" xfId="33933"/>
    <cellStyle name="Labels - Opmaakprofiel3 2 5 3 6 2 4" xfId="28051"/>
    <cellStyle name="Labels - Opmaakprofiel3 2 5 3 6 2 5" xfId="54548"/>
    <cellStyle name="Labels - Opmaakprofiel3 2 5 3 6 3" xfId="15075"/>
    <cellStyle name="Labels - Opmaakprofiel3 2 5 3 6 4" xfId="27127"/>
    <cellStyle name="Labels - Opmaakprofiel3 2 5 3 6 5" xfId="45431"/>
    <cellStyle name="Labels - Opmaakprofiel3 2 5 3 6 6" xfId="48616"/>
    <cellStyle name="Labels - Opmaakprofiel3 2 5 3 7" xfId="5251"/>
    <cellStyle name="Labels - Opmaakprofiel3 2 5 3 7 2" xfId="15076"/>
    <cellStyle name="Labels - Opmaakprofiel3 2 5 3 7 3" xfId="27128"/>
    <cellStyle name="Labels - Opmaakprofiel3 2 5 3 7 4" xfId="39599"/>
    <cellStyle name="Labels - Opmaakprofiel3 2 5 3 7 5" xfId="48617"/>
    <cellStyle name="Labels - Opmaakprofiel3 2 5 3 8" xfId="7649"/>
    <cellStyle name="Labels - Opmaakprofiel3 2 5 3 8 2" xfId="19947"/>
    <cellStyle name="Labels - Opmaakprofiel3 2 5 3 8 3" xfId="41750"/>
    <cellStyle name="Labels - Opmaakprofiel3 2 5 3 8 4" xfId="24989"/>
    <cellStyle name="Labels - Opmaakprofiel3 2 5 3 8 5" xfId="52619"/>
    <cellStyle name="Labels - Opmaakprofiel3 2 5 3 9" xfId="15070"/>
    <cellStyle name="Labels - Opmaakprofiel3 2 5 4" xfId="580"/>
    <cellStyle name="Labels - Opmaakprofiel3 2 5 4 2" xfId="2007"/>
    <cellStyle name="Labels - Opmaakprofiel3 2 5 4 2 2" xfId="9584"/>
    <cellStyle name="Labels - Opmaakprofiel3 2 5 4 2 2 2" xfId="21882"/>
    <cellStyle name="Labels - Opmaakprofiel3 2 5 4 2 2 3" xfId="33934"/>
    <cellStyle name="Labels - Opmaakprofiel3 2 5 4 2 2 4" xfId="42631"/>
    <cellStyle name="Labels - Opmaakprofiel3 2 5 4 2 2 5" xfId="54549"/>
    <cellStyle name="Labels - Opmaakprofiel3 2 5 4 2 3" xfId="15078"/>
    <cellStyle name="Labels - Opmaakprofiel3 2 5 4 2 4" xfId="27130"/>
    <cellStyle name="Labels - Opmaakprofiel3 2 5 4 2 5" xfId="39598"/>
    <cellStyle name="Labels - Opmaakprofiel3 2 5 4 2 6" xfId="48618"/>
    <cellStyle name="Labels - Opmaakprofiel3 2 5 4 3" xfId="2651"/>
    <cellStyle name="Labels - Opmaakprofiel3 2 5 4 3 2" xfId="9585"/>
    <cellStyle name="Labels - Opmaakprofiel3 2 5 4 3 2 2" xfId="21883"/>
    <cellStyle name="Labels - Opmaakprofiel3 2 5 4 3 2 3" xfId="33935"/>
    <cellStyle name="Labels - Opmaakprofiel3 2 5 4 3 2 4" xfId="34407"/>
    <cellStyle name="Labels - Opmaakprofiel3 2 5 4 3 2 5" xfId="54550"/>
    <cellStyle name="Labels - Opmaakprofiel3 2 5 4 3 3" xfId="15079"/>
    <cellStyle name="Labels - Opmaakprofiel3 2 5 4 3 4" xfId="27131"/>
    <cellStyle name="Labels - Opmaakprofiel3 2 5 4 3 5" xfId="45429"/>
    <cellStyle name="Labels - Opmaakprofiel3 2 5 4 3 6" xfId="48619"/>
    <cellStyle name="Labels - Opmaakprofiel3 2 5 4 4" xfId="3528"/>
    <cellStyle name="Labels - Opmaakprofiel3 2 5 4 4 2" xfId="9586"/>
    <cellStyle name="Labels - Opmaakprofiel3 2 5 4 4 2 2" xfId="21884"/>
    <cellStyle name="Labels - Opmaakprofiel3 2 5 4 4 2 3" xfId="33936"/>
    <cellStyle name="Labels - Opmaakprofiel3 2 5 4 4 2 4" xfId="31794"/>
    <cellStyle name="Labels - Opmaakprofiel3 2 5 4 4 2 5" xfId="54551"/>
    <cellStyle name="Labels - Opmaakprofiel3 2 5 4 4 3" xfId="15080"/>
    <cellStyle name="Labels - Opmaakprofiel3 2 5 4 4 4" xfId="27132"/>
    <cellStyle name="Labels - Opmaakprofiel3 2 5 4 4 5" xfId="39597"/>
    <cellStyle name="Labels - Opmaakprofiel3 2 5 4 4 6" xfId="48620"/>
    <cellStyle name="Labels - Opmaakprofiel3 2 5 4 5" xfId="5252"/>
    <cellStyle name="Labels - Opmaakprofiel3 2 5 4 5 2" xfId="9587"/>
    <cellStyle name="Labels - Opmaakprofiel3 2 5 4 5 2 2" xfId="21885"/>
    <cellStyle name="Labels - Opmaakprofiel3 2 5 4 5 2 3" xfId="33937"/>
    <cellStyle name="Labels - Opmaakprofiel3 2 5 4 5 2 4" xfId="42630"/>
    <cellStyle name="Labels - Opmaakprofiel3 2 5 4 5 2 5" xfId="54552"/>
    <cellStyle name="Labels - Opmaakprofiel3 2 5 4 5 3" xfId="15081"/>
    <cellStyle name="Labels - Opmaakprofiel3 2 5 4 5 4" xfId="27133"/>
    <cellStyle name="Labels - Opmaakprofiel3 2 5 4 5 5" xfId="39596"/>
    <cellStyle name="Labels - Opmaakprofiel3 2 5 4 5 6" xfId="48621"/>
    <cellStyle name="Labels - Opmaakprofiel3 2 5 4 6" xfId="5253"/>
    <cellStyle name="Labels - Opmaakprofiel3 2 5 4 6 2" xfId="9588"/>
    <cellStyle name="Labels - Opmaakprofiel3 2 5 4 6 2 2" xfId="21886"/>
    <cellStyle name="Labels - Opmaakprofiel3 2 5 4 6 2 3" xfId="33938"/>
    <cellStyle name="Labels - Opmaakprofiel3 2 5 4 6 2 4" xfId="28056"/>
    <cellStyle name="Labels - Opmaakprofiel3 2 5 4 6 2 5" xfId="54553"/>
    <cellStyle name="Labels - Opmaakprofiel3 2 5 4 6 3" xfId="15082"/>
    <cellStyle name="Labels - Opmaakprofiel3 2 5 4 6 4" xfId="27134"/>
    <cellStyle name="Labels - Opmaakprofiel3 2 5 4 6 5" xfId="39595"/>
    <cellStyle name="Labels - Opmaakprofiel3 2 5 4 6 6" xfId="48622"/>
    <cellStyle name="Labels - Opmaakprofiel3 2 5 4 7" xfId="5254"/>
    <cellStyle name="Labels - Opmaakprofiel3 2 5 4 7 2" xfId="15083"/>
    <cellStyle name="Labels - Opmaakprofiel3 2 5 4 7 3" xfId="27135"/>
    <cellStyle name="Labels - Opmaakprofiel3 2 5 4 7 4" xfId="45428"/>
    <cellStyle name="Labels - Opmaakprofiel3 2 5 4 7 5" xfId="48623"/>
    <cellStyle name="Labels - Opmaakprofiel3 2 5 4 8" xfId="7595"/>
    <cellStyle name="Labels - Opmaakprofiel3 2 5 4 8 2" xfId="19893"/>
    <cellStyle name="Labels - Opmaakprofiel3 2 5 4 8 3" xfId="41696"/>
    <cellStyle name="Labels - Opmaakprofiel3 2 5 4 8 4" xfId="31482"/>
    <cellStyle name="Labels - Opmaakprofiel3 2 5 4 8 5" xfId="52565"/>
    <cellStyle name="Labels - Opmaakprofiel3 2 5 4 9" xfId="15077"/>
    <cellStyle name="Labels - Opmaakprofiel3 2 5 5" xfId="657"/>
    <cellStyle name="Labels - Opmaakprofiel3 2 5 5 2" xfId="1493"/>
    <cellStyle name="Labels - Opmaakprofiel3 2 5 5 2 2" xfId="9589"/>
    <cellStyle name="Labels - Opmaakprofiel3 2 5 5 2 2 2" xfId="21887"/>
    <cellStyle name="Labels - Opmaakprofiel3 2 5 5 2 2 3" xfId="33939"/>
    <cellStyle name="Labels - Opmaakprofiel3 2 5 5 2 2 4" xfId="42629"/>
    <cellStyle name="Labels - Opmaakprofiel3 2 5 5 2 2 5" xfId="54554"/>
    <cellStyle name="Labels - Opmaakprofiel3 2 5 5 2 3" xfId="15085"/>
    <cellStyle name="Labels - Opmaakprofiel3 2 5 5 2 4" xfId="27137"/>
    <cellStyle name="Labels - Opmaakprofiel3 2 5 5 2 5" xfId="45427"/>
    <cellStyle name="Labels - Opmaakprofiel3 2 5 5 2 6" xfId="48624"/>
    <cellStyle name="Labels - Opmaakprofiel3 2 5 5 3" xfId="2723"/>
    <cellStyle name="Labels - Opmaakprofiel3 2 5 5 3 2" xfId="9590"/>
    <cellStyle name="Labels - Opmaakprofiel3 2 5 5 3 2 2" xfId="21888"/>
    <cellStyle name="Labels - Opmaakprofiel3 2 5 5 3 2 3" xfId="33940"/>
    <cellStyle name="Labels - Opmaakprofiel3 2 5 5 3 2 4" xfId="28057"/>
    <cellStyle name="Labels - Opmaakprofiel3 2 5 5 3 2 5" xfId="54555"/>
    <cellStyle name="Labels - Opmaakprofiel3 2 5 5 3 3" xfId="15086"/>
    <cellStyle name="Labels - Opmaakprofiel3 2 5 5 3 4" xfId="27138"/>
    <cellStyle name="Labels - Opmaakprofiel3 2 5 5 3 5" xfId="39593"/>
    <cellStyle name="Labels - Opmaakprofiel3 2 5 5 3 6" xfId="48625"/>
    <cellStyle name="Labels - Opmaakprofiel3 2 5 5 4" xfId="3590"/>
    <cellStyle name="Labels - Opmaakprofiel3 2 5 5 4 2" xfId="9591"/>
    <cellStyle name="Labels - Opmaakprofiel3 2 5 5 4 2 2" xfId="21889"/>
    <cellStyle name="Labels - Opmaakprofiel3 2 5 5 4 2 3" xfId="33941"/>
    <cellStyle name="Labels - Opmaakprofiel3 2 5 5 4 2 4" xfId="42628"/>
    <cellStyle name="Labels - Opmaakprofiel3 2 5 5 4 2 5" xfId="54556"/>
    <cellStyle name="Labels - Opmaakprofiel3 2 5 5 4 3" xfId="15087"/>
    <cellStyle name="Labels - Opmaakprofiel3 2 5 5 4 4" xfId="27139"/>
    <cellStyle name="Labels - Opmaakprofiel3 2 5 5 4 5" xfId="45426"/>
    <cellStyle name="Labels - Opmaakprofiel3 2 5 5 4 6" xfId="48626"/>
    <cellStyle name="Labels - Opmaakprofiel3 2 5 5 5" xfId="5255"/>
    <cellStyle name="Labels - Opmaakprofiel3 2 5 5 5 2" xfId="9592"/>
    <cellStyle name="Labels - Opmaakprofiel3 2 5 5 5 2 2" xfId="21890"/>
    <cellStyle name="Labels - Opmaakprofiel3 2 5 5 5 2 3" xfId="33942"/>
    <cellStyle name="Labels - Opmaakprofiel3 2 5 5 5 2 4" xfId="31573"/>
    <cellStyle name="Labels - Opmaakprofiel3 2 5 5 5 2 5" xfId="54557"/>
    <cellStyle name="Labels - Opmaakprofiel3 2 5 5 5 3" xfId="15088"/>
    <cellStyle name="Labels - Opmaakprofiel3 2 5 5 5 4" xfId="27140"/>
    <cellStyle name="Labels - Opmaakprofiel3 2 5 5 5 5" xfId="39592"/>
    <cellStyle name="Labels - Opmaakprofiel3 2 5 5 5 6" xfId="48627"/>
    <cellStyle name="Labels - Opmaakprofiel3 2 5 5 6" xfId="5256"/>
    <cellStyle name="Labels - Opmaakprofiel3 2 5 5 6 2" xfId="9593"/>
    <cellStyle name="Labels - Opmaakprofiel3 2 5 5 6 2 2" xfId="21891"/>
    <cellStyle name="Labels - Opmaakprofiel3 2 5 5 6 2 3" xfId="33943"/>
    <cellStyle name="Labels - Opmaakprofiel3 2 5 5 6 2 4" xfId="42627"/>
    <cellStyle name="Labels - Opmaakprofiel3 2 5 5 6 2 5" xfId="54558"/>
    <cellStyle name="Labels - Opmaakprofiel3 2 5 5 6 3" xfId="15089"/>
    <cellStyle name="Labels - Opmaakprofiel3 2 5 5 6 4" xfId="27141"/>
    <cellStyle name="Labels - Opmaakprofiel3 2 5 5 6 5" xfId="45425"/>
    <cellStyle name="Labels - Opmaakprofiel3 2 5 5 6 6" xfId="48628"/>
    <cellStyle name="Labels - Opmaakprofiel3 2 5 5 7" xfId="5257"/>
    <cellStyle name="Labels - Opmaakprofiel3 2 5 5 7 2" xfId="15090"/>
    <cellStyle name="Labels - Opmaakprofiel3 2 5 5 7 3" xfId="27142"/>
    <cellStyle name="Labels - Opmaakprofiel3 2 5 5 7 4" xfId="39591"/>
    <cellStyle name="Labels - Opmaakprofiel3 2 5 5 7 5" xfId="48629"/>
    <cellStyle name="Labels - Opmaakprofiel3 2 5 5 8" xfId="7544"/>
    <cellStyle name="Labels - Opmaakprofiel3 2 5 5 8 2" xfId="19842"/>
    <cellStyle name="Labels - Opmaakprofiel3 2 5 5 8 3" xfId="41645"/>
    <cellStyle name="Labels - Opmaakprofiel3 2 5 5 8 4" xfId="43464"/>
    <cellStyle name="Labels - Opmaakprofiel3 2 5 5 8 5" xfId="52514"/>
    <cellStyle name="Labels - Opmaakprofiel3 2 5 5 9" xfId="15084"/>
    <cellStyle name="Labels - Opmaakprofiel3 2 5 6" xfId="1279"/>
    <cellStyle name="Labels - Opmaakprofiel3 2 5 6 2" xfId="1994"/>
    <cellStyle name="Labels - Opmaakprofiel3 2 5 6 2 2" xfId="9594"/>
    <cellStyle name="Labels - Opmaakprofiel3 2 5 6 2 2 2" xfId="21892"/>
    <cellStyle name="Labels - Opmaakprofiel3 2 5 6 2 2 3" xfId="33944"/>
    <cellStyle name="Labels - Opmaakprofiel3 2 5 6 2 2 4" xfId="34515"/>
    <cellStyle name="Labels - Opmaakprofiel3 2 5 6 2 2 5" xfId="54559"/>
    <cellStyle name="Labels - Opmaakprofiel3 2 5 6 2 3" xfId="15092"/>
    <cellStyle name="Labels - Opmaakprofiel3 2 5 6 2 4" xfId="27144"/>
    <cellStyle name="Labels - Opmaakprofiel3 2 5 6 2 5" xfId="39590"/>
    <cellStyle name="Labels - Opmaakprofiel3 2 5 6 2 6" xfId="48630"/>
    <cellStyle name="Labels - Opmaakprofiel3 2 5 6 3" xfId="3290"/>
    <cellStyle name="Labels - Opmaakprofiel3 2 5 6 3 2" xfId="9595"/>
    <cellStyle name="Labels - Opmaakprofiel3 2 5 6 3 2 2" xfId="21893"/>
    <cellStyle name="Labels - Opmaakprofiel3 2 5 6 3 2 3" xfId="33945"/>
    <cellStyle name="Labels - Opmaakprofiel3 2 5 6 3 2 4" xfId="42626"/>
    <cellStyle name="Labels - Opmaakprofiel3 2 5 6 3 2 5" xfId="54560"/>
    <cellStyle name="Labels - Opmaakprofiel3 2 5 6 3 3" xfId="15093"/>
    <cellStyle name="Labels - Opmaakprofiel3 2 5 6 3 4" xfId="27145"/>
    <cellStyle name="Labels - Opmaakprofiel3 2 5 6 3 5" xfId="39589"/>
    <cellStyle name="Labels - Opmaakprofiel3 2 5 6 3 6" xfId="48631"/>
    <cellStyle name="Labels - Opmaakprofiel3 2 5 6 4" xfId="4088"/>
    <cellStyle name="Labels - Opmaakprofiel3 2 5 6 4 2" xfId="9596"/>
    <cellStyle name="Labels - Opmaakprofiel3 2 5 6 4 2 2" xfId="21894"/>
    <cellStyle name="Labels - Opmaakprofiel3 2 5 6 4 2 3" xfId="33946"/>
    <cellStyle name="Labels - Opmaakprofiel3 2 5 6 4 2 4" xfId="28062"/>
    <cellStyle name="Labels - Opmaakprofiel3 2 5 6 4 2 5" xfId="54561"/>
    <cellStyle name="Labels - Opmaakprofiel3 2 5 6 4 3" xfId="15094"/>
    <cellStyle name="Labels - Opmaakprofiel3 2 5 6 4 4" xfId="27146"/>
    <cellStyle name="Labels - Opmaakprofiel3 2 5 6 4 5" xfId="39588"/>
    <cellStyle name="Labels - Opmaakprofiel3 2 5 6 4 6" xfId="48632"/>
    <cellStyle name="Labels - Opmaakprofiel3 2 5 6 5" xfId="5258"/>
    <cellStyle name="Labels - Opmaakprofiel3 2 5 6 5 2" xfId="9597"/>
    <cellStyle name="Labels - Opmaakprofiel3 2 5 6 5 2 2" xfId="21895"/>
    <cellStyle name="Labels - Opmaakprofiel3 2 5 6 5 2 3" xfId="33947"/>
    <cellStyle name="Labels - Opmaakprofiel3 2 5 6 5 2 4" xfId="28063"/>
    <cellStyle name="Labels - Opmaakprofiel3 2 5 6 5 2 5" xfId="54562"/>
    <cellStyle name="Labels - Opmaakprofiel3 2 5 6 5 3" xfId="15095"/>
    <cellStyle name="Labels - Opmaakprofiel3 2 5 6 5 4" xfId="27147"/>
    <cellStyle name="Labels - Opmaakprofiel3 2 5 6 5 5" xfId="45424"/>
    <cellStyle name="Labels - Opmaakprofiel3 2 5 6 5 6" xfId="48633"/>
    <cellStyle name="Labels - Opmaakprofiel3 2 5 6 6" xfId="5259"/>
    <cellStyle name="Labels - Opmaakprofiel3 2 5 6 6 2" xfId="9598"/>
    <cellStyle name="Labels - Opmaakprofiel3 2 5 6 6 2 2" xfId="21896"/>
    <cellStyle name="Labels - Opmaakprofiel3 2 5 6 6 2 3" xfId="33948"/>
    <cellStyle name="Labels - Opmaakprofiel3 2 5 6 6 2 4" xfId="31605"/>
    <cellStyle name="Labels - Opmaakprofiel3 2 5 6 6 2 5" xfId="54563"/>
    <cellStyle name="Labels - Opmaakprofiel3 2 5 6 6 3" xfId="15096"/>
    <cellStyle name="Labels - Opmaakprofiel3 2 5 6 6 4" xfId="27148"/>
    <cellStyle name="Labels - Opmaakprofiel3 2 5 6 6 5" xfId="39587"/>
    <cellStyle name="Labels - Opmaakprofiel3 2 5 6 6 6" xfId="48634"/>
    <cellStyle name="Labels - Opmaakprofiel3 2 5 6 7" xfId="5260"/>
    <cellStyle name="Labels - Opmaakprofiel3 2 5 6 7 2" xfId="15097"/>
    <cellStyle name="Labels - Opmaakprofiel3 2 5 6 7 3" xfId="27149"/>
    <cellStyle name="Labels - Opmaakprofiel3 2 5 6 7 4" xfId="45423"/>
    <cellStyle name="Labels - Opmaakprofiel3 2 5 6 7 5" xfId="48635"/>
    <cellStyle name="Labels - Opmaakprofiel3 2 5 6 8" xfId="7097"/>
    <cellStyle name="Labels - Opmaakprofiel3 2 5 6 8 2" xfId="19395"/>
    <cellStyle name="Labels - Opmaakprofiel3 2 5 6 8 3" xfId="41198"/>
    <cellStyle name="Labels - Opmaakprofiel3 2 5 6 8 4" xfId="36977"/>
    <cellStyle name="Labels - Opmaakprofiel3 2 5 6 8 5" xfId="52068"/>
    <cellStyle name="Labels - Opmaakprofiel3 2 5 6 9" xfId="15091"/>
    <cellStyle name="Labels - Opmaakprofiel3 2 5 7" xfId="1928"/>
    <cellStyle name="Labels - Opmaakprofiel3 2 5 7 2" xfId="9599"/>
    <cellStyle name="Labels - Opmaakprofiel3 2 5 7 2 2" xfId="21897"/>
    <cellStyle name="Labels - Opmaakprofiel3 2 5 7 2 3" xfId="33949"/>
    <cellStyle name="Labels - Opmaakprofiel3 2 5 7 2 4" xfId="42625"/>
    <cellStyle name="Labels - Opmaakprofiel3 2 5 7 2 5" xfId="54564"/>
    <cellStyle name="Labels - Opmaakprofiel3 2 5 7 3" xfId="15098"/>
    <cellStyle name="Labels - Opmaakprofiel3 2 5 7 4" xfId="27150"/>
    <cellStyle name="Labels - Opmaakprofiel3 2 5 7 5" xfId="39586"/>
    <cellStyle name="Labels - Opmaakprofiel3 2 5 7 6" xfId="48636"/>
    <cellStyle name="Labels - Opmaakprofiel3 2 5 8" xfId="2755"/>
    <cellStyle name="Labels - Opmaakprofiel3 2 5 8 2" xfId="9600"/>
    <cellStyle name="Labels - Opmaakprofiel3 2 5 8 2 2" xfId="21898"/>
    <cellStyle name="Labels - Opmaakprofiel3 2 5 8 2 3" xfId="33950"/>
    <cellStyle name="Labels - Opmaakprofiel3 2 5 8 2 4" xfId="31792"/>
    <cellStyle name="Labels - Opmaakprofiel3 2 5 8 2 5" xfId="54565"/>
    <cellStyle name="Labels - Opmaakprofiel3 2 5 8 3" xfId="15099"/>
    <cellStyle name="Labels - Opmaakprofiel3 2 5 8 4" xfId="27151"/>
    <cellStyle name="Labels - Opmaakprofiel3 2 5 8 5" xfId="45422"/>
    <cellStyle name="Labels - Opmaakprofiel3 2 5 8 6" xfId="48637"/>
    <cellStyle name="Labels - Opmaakprofiel3 2 5 9" xfId="3617"/>
    <cellStyle name="Labels - Opmaakprofiel3 2 5 9 2" xfId="9601"/>
    <cellStyle name="Labels - Opmaakprofiel3 2 5 9 2 2" xfId="21899"/>
    <cellStyle name="Labels - Opmaakprofiel3 2 5 9 2 3" xfId="33951"/>
    <cellStyle name="Labels - Opmaakprofiel3 2 5 9 2 4" xfId="42624"/>
    <cellStyle name="Labels - Opmaakprofiel3 2 5 9 2 5" xfId="54566"/>
    <cellStyle name="Labels - Opmaakprofiel3 2 5 9 3" xfId="15100"/>
    <cellStyle name="Labels - Opmaakprofiel3 2 5 9 4" xfId="27152"/>
    <cellStyle name="Labels - Opmaakprofiel3 2 5 9 5" xfId="39585"/>
    <cellStyle name="Labels - Opmaakprofiel3 2 5 9 6" xfId="48638"/>
    <cellStyle name="Labels - Opmaakprofiel3 2 6" xfId="746"/>
    <cellStyle name="Labels - Opmaakprofiel3 2 6 10" xfId="5261"/>
    <cellStyle name="Labels - Opmaakprofiel3 2 6 10 2" xfId="9602"/>
    <cellStyle name="Labels - Opmaakprofiel3 2 6 10 2 2" xfId="21900"/>
    <cellStyle name="Labels - Opmaakprofiel3 2 6 10 2 3" xfId="33952"/>
    <cellStyle name="Labels - Opmaakprofiel3 2 6 10 2 4" xfId="28068"/>
    <cellStyle name="Labels - Opmaakprofiel3 2 6 10 2 5" xfId="54567"/>
    <cellStyle name="Labels - Opmaakprofiel3 2 6 10 3" xfId="15102"/>
    <cellStyle name="Labels - Opmaakprofiel3 2 6 10 4" xfId="27154"/>
    <cellStyle name="Labels - Opmaakprofiel3 2 6 10 5" xfId="39584"/>
    <cellStyle name="Labels - Opmaakprofiel3 2 6 10 6" xfId="48639"/>
    <cellStyle name="Labels - Opmaakprofiel3 2 6 11" xfId="5262"/>
    <cellStyle name="Labels - Opmaakprofiel3 2 6 11 2" xfId="9603"/>
    <cellStyle name="Labels - Opmaakprofiel3 2 6 11 2 2" xfId="21901"/>
    <cellStyle name="Labels - Opmaakprofiel3 2 6 11 2 3" xfId="33953"/>
    <cellStyle name="Labels - Opmaakprofiel3 2 6 11 2 4" xfId="42623"/>
    <cellStyle name="Labels - Opmaakprofiel3 2 6 11 2 5" xfId="54568"/>
    <cellStyle name="Labels - Opmaakprofiel3 2 6 11 3" xfId="15103"/>
    <cellStyle name="Labels - Opmaakprofiel3 2 6 11 4" xfId="27155"/>
    <cellStyle name="Labels - Opmaakprofiel3 2 6 11 5" xfId="45420"/>
    <cellStyle name="Labels - Opmaakprofiel3 2 6 11 6" xfId="48640"/>
    <cellStyle name="Labels - Opmaakprofiel3 2 6 12" xfId="5263"/>
    <cellStyle name="Labels - Opmaakprofiel3 2 6 12 2" xfId="15104"/>
    <cellStyle name="Labels - Opmaakprofiel3 2 6 12 3" xfId="27156"/>
    <cellStyle name="Labels - Opmaakprofiel3 2 6 12 4" xfId="39583"/>
    <cellStyle name="Labels - Opmaakprofiel3 2 6 12 5" xfId="48641"/>
    <cellStyle name="Labels - Opmaakprofiel3 2 6 13" xfId="10174"/>
    <cellStyle name="Labels - Opmaakprofiel3 2 6 13 2" xfId="22472"/>
    <cellStyle name="Labels - Opmaakprofiel3 2 6 13 3" xfId="44236"/>
    <cellStyle name="Labels - Opmaakprofiel3 2 6 13 4" xfId="34293"/>
    <cellStyle name="Labels - Opmaakprofiel3 2 6 13 5" xfId="55139"/>
    <cellStyle name="Labels - Opmaakprofiel3 2 6 14" xfId="15101"/>
    <cellStyle name="Labels - Opmaakprofiel3 2 6 2" xfId="916"/>
    <cellStyle name="Labels - Opmaakprofiel3 2 6 2 2" xfId="1722"/>
    <cellStyle name="Labels - Opmaakprofiel3 2 6 2 2 2" xfId="9604"/>
    <cellStyle name="Labels - Opmaakprofiel3 2 6 2 2 2 2" xfId="21902"/>
    <cellStyle name="Labels - Opmaakprofiel3 2 6 2 2 2 3" xfId="33954"/>
    <cellStyle name="Labels - Opmaakprofiel3 2 6 2 2 2 4" xfId="28069"/>
    <cellStyle name="Labels - Opmaakprofiel3 2 6 2 2 2 5" xfId="54569"/>
    <cellStyle name="Labels - Opmaakprofiel3 2 6 2 2 3" xfId="15106"/>
    <cellStyle name="Labels - Opmaakprofiel3 2 6 2 2 4" xfId="27158"/>
    <cellStyle name="Labels - Opmaakprofiel3 2 6 2 2 5" xfId="39581"/>
    <cellStyle name="Labels - Opmaakprofiel3 2 6 2 2 6" xfId="48642"/>
    <cellStyle name="Labels - Opmaakprofiel3 2 6 2 3" xfId="2927"/>
    <cellStyle name="Labels - Opmaakprofiel3 2 6 2 3 2" xfId="9605"/>
    <cellStyle name="Labels - Opmaakprofiel3 2 6 2 3 2 2" xfId="21903"/>
    <cellStyle name="Labels - Opmaakprofiel3 2 6 2 3 2 3" xfId="33955"/>
    <cellStyle name="Labels - Opmaakprofiel3 2 6 2 3 2 4" xfId="42622"/>
    <cellStyle name="Labels - Opmaakprofiel3 2 6 2 3 2 5" xfId="54570"/>
    <cellStyle name="Labels - Opmaakprofiel3 2 6 2 3 3" xfId="15107"/>
    <cellStyle name="Labels - Opmaakprofiel3 2 6 2 3 4" xfId="27159"/>
    <cellStyle name="Labels - Opmaakprofiel3 2 6 2 3 5" xfId="45419"/>
    <cellStyle name="Labels - Opmaakprofiel3 2 6 2 3 6" xfId="48643"/>
    <cellStyle name="Labels - Opmaakprofiel3 2 6 2 4" xfId="3779"/>
    <cellStyle name="Labels - Opmaakprofiel3 2 6 2 4 2" xfId="9606"/>
    <cellStyle name="Labels - Opmaakprofiel3 2 6 2 4 2 2" xfId="21904"/>
    <cellStyle name="Labels - Opmaakprofiel3 2 6 2 4 2 3" xfId="33956"/>
    <cellStyle name="Labels - Opmaakprofiel3 2 6 2 4 2 4" xfId="28070"/>
    <cellStyle name="Labels - Opmaakprofiel3 2 6 2 4 2 5" xfId="54571"/>
    <cellStyle name="Labels - Opmaakprofiel3 2 6 2 4 3" xfId="15108"/>
    <cellStyle name="Labels - Opmaakprofiel3 2 6 2 4 4" xfId="27160"/>
    <cellStyle name="Labels - Opmaakprofiel3 2 6 2 4 5" xfId="39580"/>
    <cellStyle name="Labels - Opmaakprofiel3 2 6 2 4 6" xfId="48644"/>
    <cellStyle name="Labels - Opmaakprofiel3 2 6 2 5" xfId="5264"/>
    <cellStyle name="Labels - Opmaakprofiel3 2 6 2 5 2" xfId="9607"/>
    <cellStyle name="Labels - Opmaakprofiel3 2 6 2 5 2 2" xfId="21905"/>
    <cellStyle name="Labels - Opmaakprofiel3 2 6 2 5 2 3" xfId="33957"/>
    <cellStyle name="Labels - Opmaakprofiel3 2 6 2 5 2 4" xfId="42621"/>
    <cellStyle name="Labels - Opmaakprofiel3 2 6 2 5 2 5" xfId="54572"/>
    <cellStyle name="Labels - Opmaakprofiel3 2 6 2 5 3" xfId="15109"/>
    <cellStyle name="Labels - Opmaakprofiel3 2 6 2 5 4" xfId="27161"/>
    <cellStyle name="Labels - Opmaakprofiel3 2 6 2 5 5" xfId="45418"/>
    <cellStyle name="Labels - Opmaakprofiel3 2 6 2 5 6" xfId="48645"/>
    <cellStyle name="Labels - Opmaakprofiel3 2 6 2 6" xfId="5265"/>
    <cellStyle name="Labels - Opmaakprofiel3 2 6 2 6 2" xfId="9608"/>
    <cellStyle name="Labels - Opmaakprofiel3 2 6 2 6 2 2" xfId="21906"/>
    <cellStyle name="Labels - Opmaakprofiel3 2 6 2 6 2 3" xfId="33958"/>
    <cellStyle name="Labels - Opmaakprofiel3 2 6 2 6 2 4" xfId="28071"/>
    <cellStyle name="Labels - Opmaakprofiel3 2 6 2 6 2 5" xfId="54573"/>
    <cellStyle name="Labels - Opmaakprofiel3 2 6 2 6 3" xfId="15110"/>
    <cellStyle name="Labels - Opmaakprofiel3 2 6 2 6 4" xfId="27162"/>
    <cellStyle name="Labels - Opmaakprofiel3 2 6 2 6 5" xfId="39579"/>
    <cellStyle name="Labels - Opmaakprofiel3 2 6 2 6 6" xfId="48646"/>
    <cellStyle name="Labels - Opmaakprofiel3 2 6 2 7" xfId="5266"/>
    <cellStyle name="Labels - Opmaakprofiel3 2 6 2 7 2" xfId="15111"/>
    <cellStyle name="Labels - Opmaakprofiel3 2 6 2 7 3" xfId="27163"/>
    <cellStyle name="Labels - Opmaakprofiel3 2 6 2 7 4" xfId="45417"/>
    <cellStyle name="Labels - Opmaakprofiel3 2 6 2 7 5" xfId="48647"/>
    <cellStyle name="Labels - Opmaakprofiel3 2 6 2 8" xfId="10059"/>
    <cellStyle name="Labels - Opmaakprofiel3 2 6 2 8 2" xfId="22357"/>
    <cellStyle name="Labels - Opmaakprofiel3 2 6 2 8 3" xfId="44121"/>
    <cellStyle name="Labels - Opmaakprofiel3 2 6 2 8 4" xfId="28525"/>
    <cellStyle name="Labels - Opmaakprofiel3 2 6 2 8 5" xfId="55024"/>
    <cellStyle name="Labels - Opmaakprofiel3 2 6 2 9" xfId="15105"/>
    <cellStyle name="Labels - Opmaakprofiel3 2 6 3" xfId="1013"/>
    <cellStyle name="Labels - Opmaakprofiel3 2 6 3 2" xfId="1699"/>
    <cellStyle name="Labels - Opmaakprofiel3 2 6 3 2 2" xfId="9609"/>
    <cellStyle name="Labels - Opmaakprofiel3 2 6 3 2 2 2" xfId="21907"/>
    <cellStyle name="Labels - Opmaakprofiel3 2 6 3 2 2 3" xfId="33959"/>
    <cellStyle name="Labels - Opmaakprofiel3 2 6 3 2 2 4" xfId="34633"/>
    <cellStyle name="Labels - Opmaakprofiel3 2 6 3 2 2 5" xfId="54574"/>
    <cellStyle name="Labels - Opmaakprofiel3 2 6 3 2 3" xfId="15113"/>
    <cellStyle name="Labels - Opmaakprofiel3 2 6 3 2 4" xfId="27165"/>
    <cellStyle name="Labels - Opmaakprofiel3 2 6 3 2 5" xfId="45416"/>
    <cellStyle name="Labels - Opmaakprofiel3 2 6 3 2 6" xfId="48648"/>
    <cellStyle name="Labels - Opmaakprofiel3 2 6 3 3" xfId="3024"/>
    <cellStyle name="Labels - Opmaakprofiel3 2 6 3 3 2" xfId="9610"/>
    <cellStyle name="Labels - Opmaakprofiel3 2 6 3 3 2 2" xfId="21908"/>
    <cellStyle name="Labels - Opmaakprofiel3 2 6 3 3 2 3" xfId="33960"/>
    <cellStyle name="Labels - Opmaakprofiel3 2 6 3 3 2 4" xfId="28074"/>
    <cellStyle name="Labels - Opmaakprofiel3 2 6 3 3 2 5" xfId="54575"/>
    <cellStyle name="Labels - Opmaakprofiel3 2 6 3 3 3" xfId="15114"/>
    <cellStyle name="Labels - Opmaakprofiel3 2 6 3 3 4" xfId="27166"/>
    <cellStyle name="Labels - Opmaakprofiel3 2 6 3 3 5" xfId="39577"/>
    <cellStyle name="Labels - Opmaakprofiel3 2 6 3 3 6" xfId="48649"/>
    <cellStyle name="Labels - Opmaakprofiel3 2 6 3 4" xfId="3869"/>
    <cellStyle name="Labels - Opmaakprofiel3 2 6 3 4 2" xfId="9611"/>
    <cellStyle name="Labels - Opmaakprofiel3 2 6 3 4 2 2" xfId="21909"/>
    <cellStyle name="Labels - Opmaakprofiel3 2 6 3 4 2 3" xfId="33961"/>
    <cellStyle name="Labels - Opmaakprofiel3 2 6 3 4 2 4" xfId="42620"/>
    <cellStyle name="Labels - Opmaakprofiel3 2 6 3 4 2 5" xfId="54576"/>
    <cellStyle name="Labels - Opmaakprofiel3 2 6 3 4 3" xfId="15115"/>
    <cellStyle name="Labels - Opmaakprofiel3 2 6 3 4 4" xfId="27167"/>
    <cellStyle name="Labels - Opmaakprofiel3 2 6 3 4 5" xfId="45415"/>
    <cellStyle name="Labels - Opmaakprofiel3 2 6 3 4 6" xfId="48650"/>
    <cellStyle name="Labels - Opmaakprofiel3 2 6 3 5" xfId="5267"/>
    <cellStyle name="Labels - Opmaakprofiel3 2 6 3 5 2" xfId="9612"/>
    <cellStyle name="Labels - Opmaakprofiel3 2 6 3 5 2 2" xfId="21910"/>
    <cellStyle name="Labels - Opmaakprofiel3 2 6 3 5 2 3" xfId="33962"/>
    <cellStyle name="Labels - Opmaakprofiel3 2 6 3 5 2 4" xfId="31388"/>
    <cellStyle name="Labels - Opmaakprofiel3 2 6 3 5 2 5" xfId="54577"/>
    <cellStyle name="Labels - Opmaakprofiel3 2 6 3 5 3" xfId="15116"/>
    <cellStyle name="Labels - Opmaakprofiel3 2 6 3 5 4" xfId="27168"/>
    <cellStyle name="Labels - Opmaakprofiel3 2 6 3 5 5" xfId="39576"/>
    <cellStyle name="Labels - Opmaakprofiel3 2 6 3 5 6" xfId="48651"/>
    <cellStyle name="Labels - Opmaakprofiel3 2 6 3 6" xfId="5268"/>
    <cellStyle name="Labels - Opmaakprofiel3 2 6 3 6 2" xfId="9613"/>
    <cellStyle name="Labels - Opmaakprofiel3 2 6 3 6 2 2" xfId="21911"/>
    <cellStyle name="Labels - Opmaakprofiel3 2 6 3 6 2 3" xfId="33963"/>
    <cellStyle name="Labels - Opmaakprofiel3 2 6 3 6 2 4" xfId="42619"/>
    <cellStyle name="Labels - Opmaakprofiel3 2 6 3 6 2 5" xfId="54578"/>
    <cellStyle name="Labels - Opmaakprofiel3 2 6 3 6 3" xfId="15117"/>
    <cellStyle name="Labels - Opmaakprofiel3 2 6 3 6 4" xfId="27169"/>
    <cellStyle name="Labels - Opmaakprofiel3 2 6 3 6 5" xfId="39575"/>
    <cellStyle name="Labels - Opmaakprofiel3 2 6 3 6 6" xfId="48652"/>
    <cellStyle name="Labels - Opmaakprofiel3 2 6 3 7" xfId="5269"/>
    <cellStyle name="Labels - Opmaakprofiel3 2 6 3 7 2" xfId="15118"/>
    <cellStyle name="Labels - Opmaakprofiel3 2 6 3 7 3" xfId="27170"/>
    <cellStyle name="Labels - Opmaakprofiel3 2 6 3 7 4" xfId="39574"/>
    <cellStyle name="Labels - Opmaakprofiel3 2 6 3 7 5" xfId="48653"/>
    <cellStyle name="Labels - Opmaakprofiel3 2 6 3 8" xfId="7301"/>
    <cellStyle name="Labels - Opmaakprofiel3 2 6 3 8 2" xfId="19599"/>
    <cellStyle name="Labels - Opmaakprofiel3 2 6 3 8 3" xfId="41402"/>
    <cellStyle name="Labels - Opmaakprofiel3 2 6 3 8 4" xfId="36858"/>
    <cellStyle name="Labels - Opmaakprofiel3 2 6 3 8 5" xfId="52271"/>
    <cellStyle name="Labels - Opmaakprofiel3 2 6 3 9" xfId="15112"/>
    <cellStyle name="Labels - Opmaakprofiel3 2 6 4" xfId="1102"/>
    <cellStyle name="Labels - Opmaakprofiel3 2 6 4 2" xfId="1547"/>
    <cellStyle name="Labels - Opmaakprofiel3 2 6 4 2 2" xfId="9614"/>
    <cellStyle name="Labels - Opmaakprofiel3 2 6 4 2 2 2" xfId="21912"/>
    <cellStyle name="Labels - Opmaakprofiel3 2 6 4 2 2 3" xfId="33964"/>
    <cellStyle name="Labels - Opmaakprofiel3 2 6 4 2 2 4" xfId="32062"/>
    <cellStyle name="Labels - Opmaakprofiel3 2 6 4 2 2 5" xfId="54579"/>
    <cellStyle name="Labels - Opmaakprofiel3 2 6 4 2 3" xfId="15120"/>
    <cellStyle name="Labels - Opmaakprofiel3 2 6 4 2 4" xfId="27172"/>
    <cellStyle name="Labels - Opmaakprofiel3 2 6 4 2 5" xfId="39573"/>
    <cellStyle name="Labels - Opmaakprofiel3 2 6 4 2 6" xfId="48654"/>
    <cellStyle name="Labels - Opmaakprofiel3 2 6 4 3" xfId="3113"/>
    <cellStyle name="Labels - Opmaakprofiel3 2 6 4 3 2" xfId="9615"/>
    <cellStyle name="Labels - Opmaakprofiel3 2 6 4 3 2 2" xfId="21913"/>
    <cellStyle name="Labels - Opmaakprofiel3 2 6 4 3 2 3" xfId="33965"/>
    <cellStyle name="Labels - Opmaakprofiel3 2 6 4 3 2 4" xfId="42618"/>
    <cellStyle name="Labels - Opmaakprofiel3 2 6 4 3 2 5" xfId="54580"/>
    <cellStyle name="Labels - Opmaakprofiel3 2 6 4 3 3" xfId="15121"/>
    <cellStyle name="Labels - Opmaakprofiel3 2 6 4 3 4" xfId="27173"/>
    <cellStyle name="Labels - Opmaakprofiel3 2 6 4 3 5" xfId="45413"/>
    <cellStyle name="Labels - Opmaakprofiel3 2 6 4 3 6" xfId="48655"/>
    <cellStyle name="Labels - Opmaakprofiel3 2 6 4 4" xfId="3948"/>
    <cellStyle name="Labels - Opmaakprofiel3 2 6 4 4 2" xfId="9616"/>
    <cellStyle name="Labels - Opmaakprofiel3 2 6 4 4 2 2" xfId="21914"/>
    <cellStyle name="Labels - Opmaakprofiel3 2 6 4 4 2 3" xfId="33966"/>
    <cellStyle name="Labels - Opmaakprofiel3 2 6 4 4 2 4" xfId="32088"/>
    <cellStyle name="Labels - Opmaakprofiel3 2 6 4 4 2 5" xfId="54581"/>
    <cellStyle name="Labels - Opmaakprofiel3 2 6 4 4 3" xfId="15122"/>
    <cellStyle name="Labels - Opmaakprofiel3 2 6 4 4 4" xfId="27174"/>
    <cellStyle name="Labels - Opmaakprofiel3 2 6 4 4 5" xfId="39572"/>
    <cellStyle name="Labels - Opmaakprofiel3 2 6 4 4 6" xfId="48656"/>
    <cellStyle name="Labels - Opmaakprofiel3 2 6 4 5" xfId="5270"/>
    <cellStyle name="Labels - Opmaakprofiel3 2 6 4 5 2" xfId="9617"/>
    <cellStyle name="Labels - Opmaakprofiel3 2 6 4 5 2 2" xfId="21915"/>
    <cellStyle name="Labels - Opmaakprofiel3 2 6 4 5 2 3" xfId="33967"/>
    <cellStyle name="Labels - Opmaakprofiel3 2 6 4 5 2 4" xfId="42617"/>
    <cellStyle name="Labels - Opmaakprofiel3 2 6 4 5 2 5" xfId="54582"/>
    <cellStyle name="Labels - Opmaakprofiel3 2 6 4 5 3" xfId="15123"/>
    <cellStyle name="Labels - Opmaakprofiel3 2 6 4 5 4" xfId="27175"/>
    <cellStyle name="Labels - Opmaakprofiel3 2 6 4 5 5" xfId="45412"/>
    <cellStyle name="Labels - Opmaakprofiel3 2 6 4 5 6" xfId="48657"/>
    <cellStyle name="Labels - Opmaakprofiel3 2 6 4 6" xfId="5271"/>
    <cellStyle name="Labels - Opmaakprofiel3 2 6 4 6 2" xfId="9618"/>
    <cellStyle name="Labels - Opmaakprofiel3 2 6 4 6 2 2" xfId="21916"/>
    <cellStyle name="Labels - Opmaakprofiel3 2 6 4 6 2 3" xfId="33968"/>
    <cellStyle name="Labels - Opmaakprofiel3 2 6 4 6 2 4" xfId="28081"/>
    <cellStyle name="Labels - Opmaakprofiel3 2 6 4 6 2 5" xfId="54583"/>
    <cellStyle name="Labels - Opmaakprofiel3 2 6 4 6 3" xfId="15124"/>
    <cellStyle name="Labels - Opmaakprofiel3 2 6 4 6 4" xfId="27176"/>
    <cellStyle name="Labels - Opmaakprofiel3 2 6 4 6 5" xfId="39571"/>
    <cellStyle name="Labels - Opmaakprofiel3 2 6 4 6 6" xfId="48658"/>
    <cellStyle name="Labels - Opmaakprofiel3 2 6 4 7" xfId="5272"/>
    <cellStyle name="Labels - Opmaakprofiel3 2 6 4 7 2" xfId="15125"/>
    <cellStyle name="Labels - Opmaakprofiel3 2 6 4 7 3" xfId="27177"/>
    <cellStyle name="Labels - Opmaakprofiel3 2 6 4 7 4" xfId="45411"/>
    <cellStyle name="Labels - Opmaakprofiel3 2 6 4 7 5" xfId="48659"/>
    <cellStyle name="Labels - Opmaakprofiel3 2 6 4 8" xfId="7241"/>
    <cellStyle name="Labels - Opmaakprofiel3 2 6 4 8 2" xfId="19539"/>
    <cellStyle name="Labels - Opmaakprofiel3 2 6 4 8 3" xfId="41342"/>
    <cellStyle name="Labels - Opmaakprofiel3 2 6 4 8 4" xfId="36893"/>
    <cellStyle name="Labels - Opmaakprofiel3 2 6 4 8 5" xfId="52211"/>
    <cellStyle name="Labels - Opmaakprofiel3 2 6 4 9" xfId="15119"/>
    <cellStyle name="Labels - Opmaakprofiel3 2 6 5" xfId="1184"/>
    <cellStyle name="Labels - Opmaakprofiel3 2 6 5 2" xfId="1781"/>
    <cellStyle name="Labels - Opmaakprofiel3 2 6 5 2 2" xfId="9619"/>
    <cellStyle name="Labels - Opmaakprofiel3 2 6 5 2 2 2" xfId="21917"/>
    <cellStyle name="Labels - Opmaakprofiel3 2 6 5 2 2 3" xfId="33969"/>
    <cellStyle name="Labels - Opmaakprofiel3 2 6 5 2 2 4" xfId="42616"/>
    <cellStyle name="Labels - Opmaakprofiel3 2 6 5 2 2 5" xfId="54584"/>
    <cellStyle name="Labels - Opmaakprofiel3 2 6 5 2 3" xfId="15127"/>
    <cellStyle name="Labels - Opmaakprofiel3 2 6 5 2 4" xfId="27179"/>
    <cellStyle name="Labels - Opmaakprofiel3 2 6 5 2 5" xfId="45410"/>
    <cellStyle name="Labels - Opmaakprofiel3 2 6 5 2 6" xfId="48660"/>
    <cellStyle name="Labels - Opmaakprofiel3 2 6 5 3" xfId="3195"/>
    <cellStyle name="Labels - Opmaakprofiel3 2 6 5 3 2" xfId="9620"/>
    <cellStyle name="Labels - Opmaakprofiel3 2 6 5 3 2 2" xfId="21918"/>
    <cellStyle name="Labels - Opmaakprofiel3 2 6 5 3 2 3" xfId="33970"/>
    <cellStyle name="Labels - Opmaakprofiel3 2 6 5 3 2 4" xfId="28082"/>
    <cellStyle name="Labels - Opmaakprofiel3 2 6 5 3 2 5" xfId="54585"/>
    <cellStyle name="Labels - Opmaakprofiel3 2 6 5 3 3" xfId="15128"/>
    <cellStyle name="Labels - Opmaakprofiel3 2 6 5 3 4" xfId="27180"/>
    <cellStyle name="Labels - Opmaakprofiel3 2 6 5 3 5" xfId="39569"/>
    <cellStyle name="Labels - Opmaakprofiel3 2 6 5 3 6" xfId="48661"/>
    <cellStyle name="Labels - Opmaakprofiel3 2 6 5 4" xfId="4014"/>
    <cellStyle name="Labels - Opmaakprofiel3 2 6 5 4 2" xfId="9621"/>
    <cellStyle name="Labels - Opmaakprofiel3 2 6 5 4 2 2" xfId="21919"/>
    <cellStyle name="Labels - Opmaakprofiel3 2 6 5 4 2 3" xfId="33971"/>
    <cellStyle name="Labels - Opmaakprofiel3 2 6 5 4 2 4" xfId="28083"/>
    <cellStyle name="Labels - Opmaakprofiel3 2 6 5 4 2 5" xfId="54586"/>
    <cellStyle name="Labels - Opmaakprofiel3 2 6 5 4 3" xfId="15129"/>
    <cellStyle name="Labels - Opmaakprofiel3 2 6 5 4 4" xfId="27181"/>
    <cellStyle name="Labels - Opmaakprofiel3 2 6 5 4 5" xfId="39568"/>
    <cellStyle name="Labels - Opmaakprofiel3 2 6 5 4 6" xfId="48662"/>
    <cellStyle name="Labels - Opmaakprofiel3 2 6 5 5" xfId="5273"/>
    <cellStyle name="Labels - Opmaakprofiel3 2 6 5 5 2" xfId="9622"/>
    <cellStyle name="Labels - Opmaakprofiel3 2 6 5 5 2 2" xfId="21920"/>
    <cellStyle name="Labels - Opmaakprofiel3 2 6 5 5 2 3" xfId="33972"/>
    <cellStyle name="Labels - Opmaakprofiel3 2 6 5 5 2 4" xfId="31563"/>
    <cellStyle name="Labels - Opmaakprofiel3 2 6 5 5 2 5" xfId="54587"/>
    <cellStyle name="Labels - Opmaakprofiel3 2 6 5 5 3" xfId="15130"/>
    <cellStyle name="Labels - Opmaakprofiel3 2 6 5 5 4" xfId="27182"/>
    <cellStyle name="Labels - Opmaakprofiel3 2 6 5 5 5" xfId="39567"/>
    <cellStyle name="Labels - Opmaakprofiel3 2 6 5 5 6" xfId="48663"/>
    <cellStyle name="Labels - Opmaakprofiel3 2 6 5 6" xfId="5274"/>
    <cellStyle name="Labels - Opmaakprofiel3 2 6 5 6 2" xfId="9623"/>
    <cellStyle name="Labels - Opmaakprofiel3 2 6 5 6 2 2" xfId="21921"/>
    <cellStyle name="Labels - Opmaakprofiel3 2 6 5 6 2 3" xfId="33973"/>
    <cellStyle name="Labels - Opmaakprofiel3 2 6 5 6 2 4" xfId="42615"/>
    <cellStyle name="Labels - Opmaakprofiel3 2 6 5 6 2 5" xfId="54588"/>
    <cellStyle name="Labels - Opmaakprofiel3 2 6 5 6 3" xfId="15131"/>
    <cellStyle name="Labels - Opmaakprofiel3 2 6 5 6 4" xfId="27183"/>
    <cellStyle name="Labels - Opmaakprofiel3 2 6 5 6 5" xfId="45409"/>
    <cellStyle name="Labels - Opmaakprofiel3 2 6 5 6 6" xfId="48664"/>
    <cellStyle name="Labels - Opmaakprofiel3 2 6 5 7" xfId="5275"/>
    <cellStyle name="Labels - Opmaakprofiel3 2 6 5 7 2" xfId="15132"/>
    <cellStyle name="Labels - Opmaakprofiel3 2 6 5 7 3" xfId="27184"/>
    <cellStyle name="Labels - Opmaakprofiel3 2 6 5 7 4" xfId="39566"/>
    <cellStyle name="Labels - Opmaakprofiel3 2 6 5 7 5" xfId="48665"/>
    <cellStyle name="Labels - Opmaakprofiel3 2 6 5 8" xfId="7186"/>
    <cellStyle name="Labels - Opmaakprofiel3 2 6 5 8 2" xfId="19484"/>
    <cellStyle name="Labels - Opmaakprofiel3 2 6 5 8 3" xfId="41287"/>
    <cellStyle name="Labels - Opmaakprofiel3 2 6 5 8 4" xfId="43614"/>
    <cellStyle name="Labels - Opmaakprofiel3 2 6 5 8 5" xfId="52156"/>
    <cellStyle name="Labels - Opmaakprofiel3 2 6 5 9" xfId="15126"/>
    <cellStyle name="Labels - Opmaakprofiel3 2 6 6" xfId="1154"/>
    <cellStyle name="Labels - Opmaakprofiel3 2 6 6 2" xfId="2464"/>
    <cellStyle name="Labels - Opmaakprofiel3 2 6 6 2 2" xfId="9624"/>
    <cellStyle name="Labels - Opmaakprofiel3 2 6 6 2 2 2" xfId="21922"/>
    <cellStyle name="Labels - Opmaakprofiel3 2 6 6 2 2 3" xfId="33974"/>
    <cellStyle name="Labels - Opmaakprofiel3 2 6 6 2 2 4" xfId="28086"/>
    <cellStyle name="Labels - Opmaakprofiel3 2 6 6 2 2 5" xfId="54589"/>
    <cellStyle name="Labels - Opmaakprofiel3 2 6 6 2 3" xfId="15134"/>
    <cellStyle name="Labels - Opmaakprofiel3 2 6 6 2 4" xfId="27186"/>
    <cellStyle name="Labels - Opmaakprofiel3 2 6 6 2 5" xfId="39565"/>
    <cellStyle name="Labels - Opmaakprofiel3 2 6 6 2 6" xfId="48666"/>
    <cellStyle name="Labels - Opmaakprofiel3 2 6 6 3" xfId="3165"/>
    <cellStyle name="Labels - Opmaakprofiel3 2 6 6 3 2" xfId="9625"/>
    <cellStyle name="Labels - Opmaakprofiel3 2 6 6 3 2 2" xfId="21923"/>
    <cellStyle name="Labels - Opmaakprofiel3 2 6 6 3 2 3" xfId="33975"/>
    <cellStyle name="Labels - Opmaakprofiel3 2 6 6 3 2 4" xfId="42614"/>
    <cellStyle name="Labels - Opmaakprofiel3 2 6 6 3 2 5" xfId="54590"/>
    <cellStyle name="Labels - Opmaakprofiel3 2 6 6 3 3" xfId="15135"/>
    <cellStyle name="Labels - Opmaakprofiel3 2 6 6 3 4" xfId="27187"/>
    <cellStyle name="Labels - Opmaakprofiel3 2 6 6 3 5" xfId="45407"/>
    <cellStyle name="Labels - Opmaakprofiel3 2 6 6 3 6" xfId="48667"/>
    <cellStyle name="Labels - Opmaakprofiel3 2 6 6 4" xfId="3987"/>
    <cellStyle name="Labels - Opmaakprofiel3 2 6 6 4 2" xfId="9626"/>
    <cellStyle name="Labels - Opmaakprofiel3 2 6 6 4 2 2" xfId="21924"/>
    <cellStyle name="Labels - Opmaakprofiel3 2 6 6 4 2 3" xfId="33976"/>
    <cellStyle name="Labels - Opmaakprofiel3 2 6 6 4 2 4" xfId="31383"/>
    <cellStyle name="Labels - Opmaakprofiel3 2 6 6 4 2 5" xfId="54591"/>
    <cellStyle name="Labels - Opmaakprofiel3 2 6 6 4 3" xfId="15136"/>
    <cellStyle name="Labels - Opmaakprofiel3 2 6 6 4 4" xfId="27188"/>
    <cellStyle name="Labels - Opmaakprofiel3 2 6 6 4 5" xfId="39564"/>
    <cellStyle name="Labels - Opmaakprofiel3 2 6 6 4 6" xfId="48668"/>
    <cellStyle name="Labels - Opmaakprofiel3 2 6 6 5" xfId="5276"/>
    <cellStyle name="Labels - Opmaakprofiel3 2 6 6 5 2" xfId="9627"/>
    <cellStyle name="Labels - Opmaakprofiel3 2 6 6 5 2 2" xfId="21925"/>
    <cellStyle name="Labels - Opmaakprofiel3 2 6 6 5 2 3" xfId="33977"/>
    <cellStyle name="Labels - Opmaakprofiel3 2 6 6 5 2 4" xfId="42613"/>
    <cellStyle name="Labels - Opmaakprofiel3 2 6 6 5 2 5" xfId="54592"/>
    <cellStyle name="Labels - Opmaakprofiel3 2 6 6 5 3" xfId="15137"/>
    <cellStyle name="Labels - Opmaakprofiel3 2 6 6 5 4" xfId="27189"/>
    <cellStyle name="Labels - Opmaakprofiel3 2 6 6 5 5" xfId="45406"/>
    <cellStyle name="Labels - Opmaakprofiel3 2 6 6 5 6" xfId="48669"/>
    <cellStyle name="Labels - Opmaakprofiel3 2 6 6 6" xfId="5277"/>
    <cellStyle name="Labels - Opmaakprofiel3 2 6 6 6 2" xfId="9628"/>
    <cellStyle name="Labels - Opmaakprofiel3 2 6 6 6 2 2" xfId="21926"/>
    <cellStyle name="Labels - Opmaakprofiel3 2 6 6 6 2 3" xfId="33978"/>
    <cellStyle name="Labels - Opmaakprofiel3 2 6 6 6 2 4" xfId="32059"/>
    <cellStyle name="Labels - Opmaakprofiel3 2 6 6 6 2 5" xfId="54593"/>
    <cellStyle name="Labels - Opmaakprofiel3 2 6 6 6 3" xfId="15138"/>
    <cellStyle name="Labels - Opmaakprofiel3 2 6 6 6 4" xfId="27190"/>
    <cellStyle name="Labels - Opmaakprofiel3 2 6 6 6 5" xfId="39563"/>
    <cellStyle name="Labels - Opmaakprofiel3 2 6 6 6 6" xfId="48670"/>
    <cellStyle name="Labels - Opmaakprofiel3 2 6 6 7" xfId="5278"/>
    <cellStyle name="Labels - Opmaakprofiel3 2 6 6 7 2" xfId="15139"/>
    <cellStyle name="Labels - Opmaakprofiel3 2 6 6 7 3" xfId="27191"/>
    <cellStyle name="Labels - Opmaakprofiel3 2 6 6 7 4" xfId="45405"/>
    <cellStyle name="Labels - Opmaakprofiel3 2 6 6 7 5" xfId="48671"/>
    <cellStyle name="Labels - Opmaakprofiel3 2 6 6 8" xfId="9897"/>
    <cellStyle name="Labels - Opmaakprofiel3 2 6 6 8 2" xfId="22195"/>
    <cellStyle name="Labels - Opmaakprofiel3 2 6 6 8 3" xfId="43962"/>
    <cellStyle name="Labels - Opmaakprofiel3 2 6 6 8 4" xfId="28332"/>
    <cellStyle name="Labels - Opmaakprofiel3 2 6 6 8 5" xfId="54862"/>
    <cellStyle name="Labels - Opmaakprofiel3 2 6 6 9" xfId="15133"/>
    <cellStyle name="Labels - Opmaakprofiel3 2 6 7" xfId="1976"/>
    <cellStyle name="Labels - Opmaakprofiel3 2 6 7 2" xfId="9629"/>
    <cellStyle name="Labels - Opmaakprofiel3 2 6 7 2 2" xfId="21927"/>
    <cellStyle name="Labels - Opmaakprofiel3 2 6 7 2 3" xfId="33979"/>
    <cellStyle name="Labels - Opmaakprofiel3 2 6 7 2 4" xfId="42612"/>
    <cellStyle name="Labels - Opmaakprofiel3 2 6 7 2 5" xfId="54594"/>
    <cellStyle name="Labels - Opmaakprofiel3 2 6 7 3" xfId="15140"/>
    <cellStyle name="Labels - Opmaakprofiel3 2 6 7 4" xfId="27192"/>
    <cellStyle name="Labels - Opmaakprofiel3 2 6 7 5" xfId="39562"/>
    <cellStyle name="Labels - Opmaakprofiel3 2 6 7 6" xfId="48672"/>
    <cellStyle name="Labels - Opmaakprofiel3 2 6 8" xfId="2792"/>
    <cellStyle name="Labels - Opmaakprofiel3 2 6 8 2" xfId="9630"/>
    <cellStyle name="Labels - Opmaakprofiel3 2 6 8 2 2" xfId="21928"/>
    <cellStyle name="Labels - Opmaakprofiel3 2 6 8 2 3" xfId="33980"/>
    <cellStyle name="Labels - Opmaakprofiel3 2 6 8 2 4" xfId="32083"/>
    <cellStyle name="Labels - Opmaakprofiel3 2 6 8 2 5" xfId="54595"/>
    <cellStyle name="Labels - Opmaakprofiel3 2 6 8 3" xfId="15141"/>
    <cellStyle name="Labels - Opmaakprofiel3 2 6 8 4" xfId="27193"/>
    <cellStyle name="Labels - Opmaakprofiel3 2 6 8 5" xfId="39561"/>
    <cellStyle name="Labels - Opmaakprofiel3 2 6 8 6" xfId="48673"/>
    <cellStyle name="Labels - Opmaakprofiel3 2 6 9" xfId="3654"/>
    <cellStyle name="Labels - Opmaakprofiel3 2 6 9 2" xfId="9631"/>
    <cellStyle name="Labels - Opmaakprofiel3 2 6 9 2 2" xfId="21929"/>
    <cellStyle name="Labels - Opmaakprofiel3 2 6 9 2 3" xfId="33981"/>
    <cellStyle name="Labels - Opmaakprofiel3 2 6 9 2 4" xfId="42611"/>
    <cellStyle name="Labels - Opmaakprofiel3 2 6 9 2 5" xfId="54596"/>
    <cellStyle name="Labels - Opmaakprofiel3 2 6 9 3" xfId="15142"/>
    <cellStyle name="Labels - Opmaakprofiel3 2 6 9 4" xfId="27194"/>
    <cellStyle name="Labels - Opmaakprofiel3 2 6 9 5" xfId="39560"/>
    <cellStyle name="Labels - Opmaakprofiel3 2 6 9 6" xfId="48674"/>
    <cellStyle name="Labels - Opmaakprofiel3 2 7" xfId="685"/>
    <cellStyle name="Labels - Opmaakprofiel3 2 7 10" xfId="5279"/>
    <cellStyle name="Labels - Opmaakprofiel3 2 7 10 2" xfId="9632"/>
    <cellStyle name="Labels - Opmaakprofiel3 2 7 10 2 2" xfId="21930"/>
    <cellStyle name="Labels - Opmaakprofiel3 2 7 10 2 3" xfId="33982"/>
    <cellStyle name="Labels - Opmaakprofiel3 2 7 10 2 4" xfId="28093"/>
    <cellStyle name="Labels - Opmaakprofiel3 2 7 10 2 5" xfId="54597"/>
    <cellStyle name="Labels - Opmaakprofiel3 2 7 10 3" xfId="15144"/>
    <cellStyle name="Labels - Opmaakprofiel3 2 7 10 4" xfId="27196"/>
    <cellStyle name="Labels - Opmaakprofiel3 2 7 10 5" xfId="39559"/>
    <cellStyle name="Labels - Opmaakprofiel3 2 7 10 6" xfId="48675"/>
    <cellStyle name="Labels - Opmaakprofiel3 2 7 11" xfId="5280"/>
    <cellStyle name="Labels - Opmaakprofiel3 2 7 11 2" xfId="9633"/>
    <cellStyle name="Labels - Opmaakprofiel3 2 7 11 2 2" xfId="21931"/>
    <cellStyle name="Labels - Opmaakprofiel3 2 7 11 2 3" xfId="33983"/>
    <cellStyle name="Labels - Opmaakprofiel3 2 7 11 2 4" xfId="31470"/>
    <cellStyle name="Labels - Opmaakprofiel3 2 7 11 2 5" xfId="54598"/>
    <cellStyle name="Labels - Opmaakprofiel3 2 7 11 3" xfId="15145"/>
    <cellStyle name="Labels - Opmaakprofiel3 2 7 11 4" xfId="27197"/>
    <cellStyle name="Labels - Opmaakprofiel3 2 7 11 5" xfId="45404"/>
    <cellStyle name="Labels - Opmaakprofiel3 2 7 11 6" xfId="48676"/>
    <cellStyle name="Labels - Opmaakprofiel3 2 7 12" xfId="5281"/>
    <cellStyle name="Labels - Opmaakprofiel3 2 7 12 2" xfId="15146"/>
    <cellStyle name="Labels - Opmaakprofiel3 2 7 12 3" xfId="27198"/>
    <cellStyle name="Labels - Opmaakprofiel3 2 7 12 4" xfId="39558"/>
    <cellStyle name="Labels - Opmaakprofiel3 2 7 12 5" xfId="48677"/>
    <cellStyle name="Labels - Opmaakprofiel3 2 7 13" xfId="7525"/>
    <cellStyle name="Labels - Opmaakprofiel3 2 7 13 2" xfId="19823"/>
    <cellStyle name="Labels - Opmaakprofiel3 2 7 13 3" xfId="41626"/>
    <cellStyle name="Labels - Opmaakprofiel3 2 7 13 4" xfId="12522"/>
    <cellStyle name="Labels - Opmaakprofiel3 2 7 13 5" xfId="52495"/>
    <cellStyle name="Labels - Opmaakprofiel3 2 7 14" xfId="15143"/>
    <cellStyle name="Labels - Opmaakprofiel3 2 7 2" xfId="858"/>
    <cellStyle name="Labels - Opmaakprofiel3 2 7 2 2" xfId="1441"/>
    <cellStyle name="Labels - Opmaakprofiel3 2 7 2 2 2" xfId="9634"/>
    <cellStyle name="Labels - Opmaakprofiel3 2 7 2 2 2 2" xfId="21932"/>
    <cellStyle name="Labels - Opmaakprofiel3 2 7 2 2 2 3" xfId="33984"/>
    <cellStyle name="Labels - Opmaakprofiel3 2 7 2 2 2 4" xfId="32125"/>
    <cellStyle name="Labels - Opmaakprofiel3 2 7 2 2 2 5" xfId="54599"/>
    <cellStyle name="Labels - Opmaakprofiel3 2 7 2 2 3" xfId="15148"/>
    <cellStyle name="Labels - Opmaakprofiel3 2 7 2 2 4" xfId="27200"/>
    <cellStyle name="Labels - Opmaakprofiel3 2 7 2 2 5" xfId="39557"/>
    <cellStyle name="Labels - Opmaakprofiel3 2 7 2 2 6" xfId="48678"/>
    <cellStyle name="Labels - Opmaakprofiel3 2 7 2 3" xfId="2869"/>
    <cellStyle name="Labels - Opmaakprofiel3 2 7 2 3 2" xfId="9635"/>
    <cellStyle name="Labels - Opmaakprofiel3 2 7 2 3 2 2" xfId="21933"/>
    <cellStyle name="Labels - Opmaakprofiel3 2 7 2 3 2 3" xfId="33985"/>
    <cellStyle name="Labels - Opmaakprofiel3 2 7 2 3 2 4" xfId="42610"/>
    <cellStyle name="Labels - Opmaakprofiel3 2 7 2 3 2 5" xfId="54600"/>
    <cellStyle name="Labels - Opmaakprofiel3 2 7 2 3 3" xfId="15149"/>
    <cellStyle name="Labels - Opmaakprofiel3 2 7 2 3 4" xfId="27201"/>
    <cellStyle name="Labels - Opmaakprofiel3 2 7 2 3 5" xfId="45402"/>
    <cellStyle name="Labels - Opmaakprofiel3 2 7 2 3 6" xfId="48679"/>
    <cellStyle name="Labels - Opmaakprofiel3 2 7 2 4" xfId="3722"/>
    <cellStyle name="Labels - Opmaakprofiel3 2 7 2 4 2" xfId="9636"/>
    <cellStyle name="Labels - Opmaakprofiel3 2 7 2 4 2 2" xfId="21934"/>
    <cellStyle name="Labels - Opmaakprofiel3 2 7 2 4 2 3" xfId="33986"/>
    <cellStyle name="Labels - Opmaakprofiel3 2 7 2 4 2 4" xfId="28098"/>
    <cellStyle name="Labels - Opmaakprofiel3 2 7 2 4 2 5" xfId="54601"/>
    <cellStyle name="Labels - Opmaakprofiel3 2 7 2 4 3" xfId="15150"/>
    <cellStyle name="Labels - Opmaakprofiel3 2 7 2 4 4" xfId="27202"/>
    <cellStyle name="Labels - Opmaakprofiel3 2 7 2 4 5" xfId="39556"/>
    <cellStyle name="Labels - Opmaakprofiel3 2 7 2 4 6" xfId="48680"/>
    <cellStyle name="Labels - Opmaakprofiel3 2 7 2 5" xfId="5282"/>
    <cellStyle name="Labels - Opmaakprofiel3 2 7 2 5 2" xfId="9637"/>
    <cellStyle name="Labels - Opmaakprofiel3 2 7 2 5 2 2" xfId="21935"/>
    <cellStyle name="Labels - Opmaakprofiel3 2 7 2 5 2 3" xfId="33987"/>
    <cellStyle name="Labels - Opmaakprofiel3 2 7 2 5 2 4" xfId="42609"/>
    <cellStyle name="Labels - Opmaakprofiel3 2 7 2 5 2 5" xfId="54602"/>
    <cellStyle name="Labels - Opmaakprofiel3 2 7 2 5 3" xfId="15151"/>
    <cellStyle name="Labels - Opmaakprofiel3 2 7 2 5 4" xfId="27203"/>
    <cellStyle name="Labels - Opmaakprofiel3 2 7 2 5 5" xfId="45401"/>
    <cellStyle name="Labels - Opmaakprofiel3 2 7 2 5 6" xfId="48681"/>
    <cellStyle name="Labels - Opmaakprofiel3 2 7 2 6" xfId="5283"/>
    <cellStyle name="Labels - Opmaakprofiel3 2 7 2 6 2" xfId="9638"/>
    <cellStyle name="Labels - Opmaakprofiel3 2 7 2 6 2 2" xfId="21936"/>
    <cellStyle name="Labels - Opmaakprofiel3 2 7 2 6 2 3" xfId="33988"/>
    <cellStyle name="Labels - Opmaakprofiel3 2 7 2 6 2 4" xfId="28099"/>
    <cellStyle name="Labels - Opmaakprofiel3 2 7 2 6 2 5" xfId="54603"/>
    <cellStyle name="Labels - Opmaakprofiel3 2 7 2 6 3" xfId="15152"/>
    <cellStyle name="Labels - Opmaakprofiel3 2 7 2 6 4" xfId="27204"/>
    <cellStyle name="Labels - Opmaakprofiel3 2 7 2 6 5" xfId="39555"/>
    <cellStyle name="Labels - Opmaakprofiel3 2 7 2 6 6" xfId="48682"/>
    <cellStyle name="Labels - Opmaakprofiel3 2 7 2 7" xfId="5284"/>
    <cellStyle name="Labels - Opmaakprofiel3 2 7 2 7 2" xfId="15153"/>
    <cellStyle name="Labels - Opmaakprofiel3 2 7 2 7 3" xfId="27205"/>
    <cellStyle name="Labels - Opmaakprofiel3 2 7 2 7 4" xfId="39554"/>
    <cellStyle name="Labels - Opmaakprofiel3 2 7 2 7 5" xfId="48683"/>
    <cellStyle name="Labels - Opmaakprofiel3 2 7 2 8" xfId="10097"/>
    <cellStyle name="Labels - Opmaakprofiel3 2 7 2 8 2" xfId="22395"/>
    <cellStyle name="Labels - Opmaakprofiel3 2 7 2 8 3" xfId="44159"/>
    <cellStyle name="Labels - Opmaakprofiel3 2 7 2 8 4" xfId="28602"/>
    <cellStyle name="Labels - Opmaakprofiel3 2 7 2 8 5" xfId="55062"/>
    <cellStyle name="Labels - Opmaakprofiel3 2 7 2 9" xfId="15147"/>
    <cellStyle name="Labels - Opmaakprofiel3 2 7 3" xfId="601"/>
    <cellStyle name="Labels - Opmaakprofiel3 2 7 3 2" xfId="1639"/>
    <cellStyle name="Labels - Opmaakprofiel3 2 7 3 2 2" xfId="9639"/>
    <cellStyle name="Labels - Opmaakprofiel3 2 7 3 2 2 2" xfId="21937"/>
    <cellStyle name="Labels - Opmaakprofiel3 2 7 3 2 2 3" xfId="33989"/>
    <cellStyle name="Labels - Opmaakprofiel3 2 7 3 2 2 4" xfId="42608"/>
    <cellStyle name="Labels - Opmaakprofiel3 2 7 3 2 2 5" xfId="54604"/>
    <cellStyle name="Labels - Opmaakprofiel3 2 7 3 2 3" xfId="15155"/>
    <cellStyle name="Labels - Opmaakprofiel3 2 7 3 2 4" xfId="27207"/>
    <cellStyle name="Labels - Opmaakprofiel3 2 7 3 2 5" xfId="45400"/>
    <cellStyle name="Labels - Opmaakprofiel3 2 7 3 2 6" xfId="48684"/>
    <cellStyle name="Labels - Opmaakprofiel3 2 7 3 3" xfId="2672"/>
    <cellStyle name="Labels - Opmaakprofiel3 2 7 3 3 2" xfId="9640"/>
    <cellStyle name="Labels - Opmaakprofiel3 2 7 3 3 2 2" xfId="21938"/>
    <cellStyle name="Labels - Opmaakprofiel3 2 7 3 3 2 3" xfId="33990"/>
    <cellStyle name="Labels - Opmaakprofiel3 2 7 3 3 2 4" xfId="34461"/>
    <cellStyle name="Labels - Opmaakprofiel3 2 7 3 3 2 5" xfId="54605"/>
    <cellStyle name="Labels - Opmaakprofiel3 2 7 3 3 3" xfId="15156"/>
    <cellStyle name="Labels - Opmaakprofiel3 2 7 3 3 4" xfId="27208"/>
    <cellStyle name="Labels - Opmaakprofiel3 2 7 3 3 5" xfId="39552"/>
    <cellStyle name="Labels - Opmaakprofiel3 2 7 3 3 6" xfId="48685"/>
    <cellStyle name="Labels - Opmaakprofiel3 2 7 3 4" xfId="3544"/>
    <cellStyle name="Labels - Opmaakprofiel3 2 7 3 4 2" xfId="9641"/>
    <cellStyle name="Labels - Opmaakprofiel3 2 7 3 4 2 2" xfId="21939"/>
    <cellStyle name="Labels - Opmaakprofiel3 2 7 3 4 2 3" xfId="33991"/>
    <cellStyle name="Labels - Opmaakprofiel3 2 7 3 4 2 4" xfId="42607"/>
    <cellStyle name="Labels - Opmaakprofiel3 2 7 3 4 2 5" xfId="54606"/>
    <cellStyle name="Labels - Opmaakprofiel3 2 7 3 4 3" xfId="15157"/>
    <cellStyle name="Labels - Opmaakprofiel3 2 7 3 4 4" xfId="27209"/>
    <cellStyle name="Labels - Opmaakprofiel3 2 7 3 4 5" xfId="45399"/>
    <cellStyle name="Labels - Opmaakprofiel3 2 7 3 4 6" xfId="48686"/>
    <cellStyle name="Labels - Opmaakprofiel3 2 7 3 5" xfId="5285"/>
    <cellStyle name="Labels - Opmaakprofiel3 2 7 3 5 2" xfId="9642"/>
    <cellStyle name="Labels - Opmaakprofiel3 2 7 3 5 2 2" xfId="21940"/>
    <cellStyle name="Labels - Opmaakprofiel3 2 7 3 5 2 3" xfId="33992"/>
    <cellStyle name="Labels - Opmaakprofiel3 2 7 3 5 2 4" xfId="34538"/>
    <cellStyle name="Labels - Opmaakprofiel3 2 7 3 5 2 5" xfId="54607"/>
    <cellStyle name="Labels - Opmaakprofiel3 2 7 3 5 3" xfId="15158"/>
    <cellStyle name="Labels - Opmaakprofiel3 2 7 3 5 4" xfId="27210"/>
    <cellStyle name="Labels - Opmaakprofiel3 2 7 3 5 5" xfId="39551"/>
    <cellStyle name="Labels - Opmaakprofiel3 2 7 3 5 6" xfId="48687"/>
    <cellStyle name="Labels - Opmaakprofiel3 2 7 3 6" xfId="5286"/>
    <cellStyle name="Labels - Opmaakprofiel3 2 7 3 6 2" xfId="9643"/>
    <cellStyle name="Labels - Opmaakprofiel3 2 7 3 6 2 2" xfId="21941"/>
    <cellStyle name="Labels - Opmaakprofiel3 2 7 3 6 2 3" xfId="33993"/>
    <cellStyle name="Labels - Opmaakprofiel3 2 7 3 6 2 4" xfId="42606"/>
    <cellStyle name="Labels - Opmaakprofiel3 2 7 3 6 2 5" xfId="54608"/>
    <cellStyle name="Labels - Opmaakprofiel3 2 7 3 6 3" xfId="15159"/>
    <cellStyle name="Labels - Opmaakprofiel3 2 7 3 6 4" xfId="27211"/>
    <cellStyle name="Labels - Opmaakprofiel3 2 7 3 6 5" xfId="45398"/>
    <cellStyle name="Labels - Opmaakprofiel3 2 7 3 6 6" xfId="48688"/>
    <cellStyle name="Labels - Opmaakprofiel3 2 7 3 7" xfId="5287"/>
    <cellStyle name="Labels - Opmaakprofiel3 2 7 3 7 2" xfId="15160"/>
    <cellStyle name="Labels - Opmaakprofiel3 2 7 3 7 3" xfId="27212"/>
    <cellStyle name="Labels - Opmaakprofiel3 2 7 3 7 4" xfId="39550"/>
    <cellStyle name="Labels - Opmaakprofiel3 2 7 3 7 5" xfId="48689"/>
    <cellStyle name="Labels - Opmaakprofiel3 2 7 3 8" xfId="7582"/>
    <cellStyle name="Labels - Opmaakprofiel3 2 7 3 8 2" xfId="19880"/>
    <cellStyle name="Labels - Opmaakprofiel3 2 7 3 8 3" xfId="41683"/>
    <cellStyle name="Labels - Opmaakprofiel3 2 7 3 8 4" xfId="34387"/>
    <cellStyle name="Labels - Opmaakprofiel3 2 7 3 8 5" xfId="52552"/>
    <cellStyle name="Labels - Opmaakprofiel3 2 7 3 9" xfId="15154"/>
    <cellStyle name="Labels - Opmaakprofiel3 2 7 4" xfId="901"/>
    <cellStyle name="Labels - Opmaakprofiel3 2 7 4 2" xfId="1795"/>
    <cellStyle name="Labels - Opmaakprofiel3 2 7 4 2 2" xfId="9644"/>
    <cellStyle name="Labels - Opmaakprofiel3 2 7 4 2 2 2" xfId="21942"/>
    <cellStyle name="Labels - Opmaakprofiel3 2 7 4 2 2 3" xfId="33994"/>
    <cellStyle name="Labels - Opmaakprofiel3 2 7 4 2 2 4" xfId="28104"/>
    <cellStyle name="Labels - Opmaakprofiel3 2 7 4 2 2 5" xfId="54609"/>
    <cellStyle name="Labels - Opmaakprofiel3 2 7 4 2 3" xfId="15162"/>
    <cellStyle name="Labels - Opmaakprofiel3 2 7 4 2 4" xfId="27214"/>
    <cellStyle name="Labels - Opmaakprofiel3 2 7 4 2 5" xfId="39549"/>
    <cellStyle name="Labels - Opmaakprofiel3 2 7 4 2 6" xfId="48690"/>
    <cellStyle name="Labels - Opmaakprofiel3 2 7 4 3" xfId="2912"/>
    <cellStyle name="Labels - Opmaakprofiel3 2 7 4 3 2" xfId="9645"/>
    <cellStyle name="Labels - Opmaakprofiel3 2 7 4 3 2 2" xfId="21943"/>
    <cellStyle name="Labels - Opmaakprofiel3 2 7 4 3 2 3" xfId="33995"/>
    <cellStyle name="Labels - Opmaakprofiel3 2 7 4 3 2 4" xfId="28105"/>
    <cellStyle name="Labels - Opmaakprofiel3 2 7 4 3 2 5" xfId="54610"/>
    <cellStyle name="Labels - Opmaakprofiel3 2 7 4 3 3" xfId="15163"/>
    <cellStyle name="Labels - Opmaakprofiel3 2 7 4 3 4" xfId="27215"/>
    <cellStyle name="Labels - Opmaakprofiel3 2 7 4 3 5" xfId="45396"/>
    <cellStyle name="Labels - Opmaakprofiel3 2 7 4 3 6" xfId="48691"/>
    <cellStyle name="Labels - Opmaakprofiel3 2 7 4 4" xfId="3765"/>
    <cellStyle name="Labels - Opmaakprofiel3 2 7 4 4 2" xfId="9646"/>
    <cellStyle name="Labels - Opmaakprofiel3 2 7 4 4 2 2" xfId="21944"/>
    <cellStyle name="Labels - Opmaakprofiel3 2 7 4 4 2 3" xfId="33996"/>
    <cellStyle name="Labels - Opmaakprofiel3 2 7 4 4 2 4" xfId="34236"/>
    <cellStyle name="Labels - Opmaakprofiel3 2 7 4 4 2 5" xfId="54611"/>
    <cellStyle name="Labels - Opmaakprofiel3 2 7 4 4 3" xfId="15164"/>
    <cellStyle name="Labels - Opmaakprofiel3 2 7 4 4 4" xfId="27216"/>
    <cellStyle name="Labels - Opmaakprofiel3 2 7 4 4 5" xfId="39548"/>
    <cellStyle name="Labels - Opmaakprofiel3 2 7 4 4 6" xfId="48692"/>
    <cellStyle name="Labels - Opmaakprofiel3 2 7 4 5" xfId="5288"/>
    <cellStyle name="Labels - Opmaakprofiel3 2 7 4 5 2" xfId="9647"/>
    <cellStyle name="Labels - Opmaakprofiel3 2 7 4 5 2 2" xfId="21945"/>
    <cellStyle name="Labels - Opmaakprofiel3 2 7 4 5 2 3" xfId="33997"/>
    <cellStyle name="Labels - Opmaakprofiel3 2 7 4 5 2 4" xfId="42605"/>
    <cellStyle name="Labels - Opmaakprofiel3 2 7 4 5 2 5" xfId="54612"/>
    <cellStyle name="Labels - Opmaakprofiel3 2 7 4 5 3" xfId="15165"/>
    <cellStyle name="Labels - Opmaakprofiel3 2 7 4 5 4" xfId="27217"/>
    <cellStyle name="Labels - Opmaakprofiel3 2 7 4 5 5" xfId="39547"/>
    <cellStyle name="Labels - Opmaakprofiel3 2 7 4 5 6" xfId="48693"/>
    <cellStyle name="Labels - Opmaakprofiel3 2 7 4 6" xfId="5289"/>
    <cellStyle name="Labels - Opmaakprofiel3 2 7 4 6 2" xfId="9648"/>
    <cellStyle name="Labels - Opmaakprofiel3 2 7 4 6 2 2" xfId="21946"/>
    <cellStyle name="Labels - Opmaakprofiel3 2 7 4 6 2 3" xfId="33998"/>
    <cellStyle name="Labels - Opmaakprofiel3 2 7 4 6 2 4" xfId="34498"/>
    <cellStyle name="Labels - Opmaakprofiel3 2 7 4 6 2 5" xfId="54613"/>
    <cellStyle name="Labels - Opmaakprofiel3 2 7 4 6 3" xfId="15166"/>
    <cellStyle name="Labels - Opmaakprofiel3 2 7 4 6 4" xfId="27218"/>
    <cellStyle name="Labels - Opmaakprofiel3 2 7 4 6 5" xfId="39546"/>
    <cellStyle name="Labels - Opmaakprofiel3 2 7 4 6 6" xfId="48694"/>
    <cellStyle name="Labels - Opmaakprofiel3 2 7 4 7" xfId="5290"/>
    <cellStyle name="Labels - Opmaakprofiel3 2 7 4 7 2" xfId="15167"/>
    <cellStyle name="Labels - Opmaakprofiel3 2 7 4 7 3" xfId="27219"/>
    <cellStyle name="Labels - Opmaakprofiel3 2 7 4 7 4" xfId="45395"/>
    <cellStyle name="Labels - Opmaakprofiel3 2 7 4 7 5" xfId="48695"/>
    <cellStyle name="Labels - Opmaakprofiel3 2 7 4 8" xfId="10069"/>
    <cellStyle name="Labels - Opmaakprofiel3 2 7 4 8 2" xfId="22367"/>
    <cellStyle name="Labels - Opmaakprofiel3 2 7 4 8 3" xfId="44131"/>
    <cellStyle name="Labels - Opmaakprofiel3 2 7 4 8 4" xfId="28546"/>
    <cellStyle name="Labels - Opmaakprofiel3 2 7 4 8 5" xfId="55034"/>
    <cellStyle name="Labels - Opmaakprofiel3 2 7 4 9" xfId="15161"/>
    <cellStyle name="Labels - Opmaakprofiel3 2 7 5" xfId="667"/>
    <cellStyle name="Labels - Opmaakprofiel3 2 7 5 2" xfId="1843"/>
    <cellStyle name="Labels - Opmaakprofiel3 2 7 5 2 2" xfId="9649"/>
    <cellStyle name="Labels - Opmaakprofiel3 2 7 5 2 2 2" xfId="21947"/>
    <cellStyle name="Labels - Opmaakprofiel3 2 7 5 2 2 3" xfId="33999"/>
    <cellStyle name="Labels - Opmaakprofiel3 2 7 5 2 2 4" xfId="42604"/>
    <cellStyle name="Labels - Opmaakprofiel3 2 7 5 2 2 5" xfId="54614"/>
    <cellStyle name="Labels - Opmaakprofiel3 2 7 5 2 3" xfId="15169"/>
    <cellStyle name="Labels - Opmaakprofiel3 2 7 5 2 4" xfId="27221"/>
    <cellStyle name="Labels - Opmaakprofiel3 2 7 5 2 5" xfId="45394"/>
    <cellStyle name="Labels - Opmaakprofiel3 2 7 5 2 6" xfId="48696"/>
    <cellStyle name="Labels - Opmaakprofiel3 2 7 5 3" xfId="2733"/>
    <cellStyle name="Labels - Opmaakprofiel3 2 7 5 3 2" xfId="9650"/>
    <cellStyle name="Labels - Opmaakprofiel3 2 7 5 3 2 2" xfId="21948"/>
    <cellStyle name="Labels - Opmaakprofiel3 2 7 5 3 2 3" xfId="34000"/>
    <cellStyle name="Labels - Opmaakprofiel3 2 7 5 3 2 4" xfId="28110"/>
    <cellStyle name="Labels - Opmaakprofiel3 2 7 5 3 2 5" xfId="54615"/>
    <cellStyle name="Labels - Opmaakprofiel3 2 7 5 3 3" xfId="15170"/>
    <cellStyle name="Labels - Opmaakprofiel3 2 7 5 3 4" xfId="27222"/>
    <cellStyle name="Labels - Opmaakprofiel3 2 7 5 3 5" xfId="39544"/>
    <cellStyle name="Labels - Opmaakprofiel3 2 7 5 3 6" xfId="48697"/>
    <cellStyle name="Labels - Opmaakprofiel3 2 7 5 4" xfId="3600"/>
    <cellStyle name="Labels - Opmaakprofiel3 2 7 5 4 2" xfId="9651"/>
    <cellStyle name="Labels - Opmaakprofiel3 2 7 5 4 2 2" xfId="21949"/>
    <cellStyle name="Labels - Opmaakprofiel3 2 7 5 4 2 3" xfId="34001"/>
    <cellStyle name="Labels - Opmaakprofiel3 2 7 5 4 2 4" xfId="28111"/>
    <cellStyle name="Labels - Opmaakprofiel3 2 7 5 4 2 5" xfId="54616"/>
    <cellStyle name="Labels - Opmaakprofiel3 2 7 5 4 3" xfId="15171"/>
    <cellStyle name="Labels - Opmaakprofiel3 2 7 5 4 4" xfId="27223"/>
    <cellStyle name="Labels - Opmaakprofiel3 2 7 5 4 5" xfId="45393"/>
    <cellStyle name="Labels - Opmaakprofiel3 2 7 5 4 6" xfId="48698"/>
    <cellStyle name="Labels - Opmaakprofiel3 2 7 5 5" xfId="5291"/>
    <cellStyle name="Labels - Opmaakprofiel3 2 7 5 5 2" xfId="9652"/>
    <cellStyle name="Labels - Opmaakprofiel3 2 7 5 5 2 2" xfId="21950"/>
    <cellStyle name="Labels - Opmaakprofiel3 2 7 5 5 2 3" xfId="34002"/>
    <cellStyle name="Labels - Opmaakprofiel3 2 7 5 5 2 4" xfId="42603"/>
    <cellStyle name="Labels - Opmaakprofiel3 2 7 5 5 2 5" xfId="54617"/>
    <cellStyle name="Labels - Opmaakprofiel3 2 7 5 5 3" xfId="15172"/>
    <cellStyle name="Labels - Opmaakprofiel3 2 7 5 5 4" xfId="27224"/>
    <cellStyle name="Labels - Opmaakprofiel3 2 7 5 5 5" xfId="39543"/>
    <cellStyle name="Labels - Opmaakprofiel3 2 7 5 5 6" xfId="48699"/>
    <cellStyle name="Labels - Opmaakprofiel3 2 7 5 6" xfId="5292"/>
    <cellStyle name="Labels - Opmaakprofiel3 2 7 5 6 2" xfId="9653"/>
    <cellStyle name="Labels - Opmaakprofiel3 2 7 5 6 2 2" xfId="21951"/>
    <cellStyle name="Labels - Opmaakprofiel3 2 7 5 6 2 3" xfId="34003"/>
    <cellStyle name="Labels - Opmaakprofiel3 2 7 5 6 2 4" xfId="31562"/>
    <cellStyle name="Labels - Opmaakprofiel3 2 7 5 6 2 5" xfId="54618"/>
    <cellStyle name="Labels - Opmaakprofiel3 2 7 5 6 3" xfId="15173"/>
    <cellStyle name="Labels - Opmaakprofiel3 2 7 5 6 4" xfId="27225"/>
    <cellStyle name="Labels - Opmaakprofiel3 2 7 5 6 5" xfId="45392"/>
    <cellStyle name="Labels - Opmaakprofiel3 2 7 5 6 6" xfId="48700"/>
    <cellStyle name="Labels - Opmaakprofiel3 2 7 5 7" xfId="5293"/>
    <cellStyle name="Labels - Opmaakprofiel3 2 7 5 7 2" xfId="15174"/>
    <cellStyle name="Labels - Opmaakprofiel3 2 7 5 7 3" xfId="27226"/>
    <cellStyle name="Labels - Opmaakprofiel3 2 7 5 7 4" xfId="39542"/>
    <cellStyle name="Labels - Opmaakprofiel3 2 7 5 7 5" xfId="48701"/>
    <cellStyle name="Labels - Opmaakprofiel3 2 7 5 8" xfId="7537"/>
    <cellStyle name="Labels - Opmaakprofiel3 2 7 5 8 2" xfId="19835"/>
    <cellStyle name="Labels - Opmaakprofiel3 2 7 5 8 3" xfId="41638"/>
    <cellStyle name="Labels - Opmaakprofiel3 2 7 5 8 4" xfId="34497"/>
    <cellStyle name="Labels - Opmaakprofiel3 2 7 5 8 5" xfId="52507"/>
    <cellStyle name="Labels - Opmaakprofiel3 2 7 5 9" xfId="15168"/>
    <cellStyle name="Labels - Opmaakprofiel3 2 7 6" xfId="1248"/>
    <cellStyle name="Labels - Opmaakprofiel3 2 7 6 2" xfId="2126"/>
    <cellStyle name="Labels - Opmaakprofiel3 2 7 6 2 2" xfId="9654"/>
    <cellStyle name="Labels - Opmaakprofiel3 2 7 6 2 2 2" xfId="21952"/>
    <cellStyle name="Labels - Opmaakprofiel3 2 7 6 2 2 3" xfId="34004"/>
    <cellStyle name="Labels - Opmaakprofiel3 2 7 6 2 2 4" xfId="42602"/>
    <cellStyle name="Labels - Opmaakprofiel3 2 7 6 2 2 5" xfId="54619"/>
    <cellStyle name="Labels - Opmaakprofiel3 2 7 6 2 3" xfId="15176"/>
    <cellStyle name="Labels - Opmaakprofiel3 2 7 6 2 4" xfId="27228"/>
    <cellStyle name="Labels - Opmaakprofiel3 2 7 6 2 5" xfId="39541"/>
    <cellStyle name="Labels - Opmaakprofiel3 2 7 6 2 6" xfId="48702"/>
    <cellStyle name="Labels - Opmaakprofiel3 2 7 6 3" xfId="3259"/>
    <cellStyle name="Labels - Opmaakprofiel3 2 7 6 3 2" xfId="9655"/>
    <cellStyle name="Labels - Opmaakprofiel3 2 7 6 3 2 2" xfId="21953"/>
    <cellStyle name="Labels - Opmaakprofiel3 2 7 6 3 2 3" xfId="34005"/>
    <cellStyle name="Labels - Opmaakprofiel3 2 7 6 3 2 4" xfId="31836"/>
    <cellStyle name="Labels - Opmaakprofiel3 2 7 6 3 2 5" xfId="54620"/>
    <cellStyle name="Labels - Opmaakprofiel3 2 7 6 3 3" xfId="15177"/>
    <cellStyle name="Labels - Opmaakprofiel3 2 7 6 3 4" xfId="27229"/>
    <cellStyle name="Labels - Opmaakprofiel3 2 7 6 3 5" xfId="39540"/>
    <cellStyle name="Labels - Opmaakprofiel3 2 7 6 3 6" xfId="48703"/>
    <cellStyle name="Labels - Opmaakprofiel3 2 7 6 4" xfId="4071"/>
    <cellStyle name="Labels - Opmaakprofiel3 2 7 6 4 2" xfId="9656"/>
    <cellStyle name="Labels - Opmaakprofiel3 2 7 6 4 2 2" xfId="21954"/>
    <cellStyle name="Labels - Opmaakprofiel3 2 7 6 4 2 3" xfId="34006"/>
    <cellStyle name="Labels - Opmaakprofiel3 2 7 6 4 2 4" xfId="42601"/>
    <cellStyle name="Labels - Opmaakprofiel3 2 7 6 4 2 5" xfId="54621"/>
    <cellStyle name="Labels - Opmaakprofiel3 2 7 6 4 3" xfId="15178"/>
    <cellStyle name="Labels - Opmaakprofiel3 2 7 6 4 4" xfId="27230"/>
    <cellStyle name="Labels - Opmaakprofiel3 2 7 6 4 5" xfId="39539"/>
    <cellStyle name="Labels - Opmaakprofiel3 2 7 6 4 6" xfId="48704"/>
    <cellStyle name="Labels - Opmaakprofiel3 2 7 6 5" xfId="5294"/>
    <cellStyle name="Labels - Opmaakprofiel3 2 7 6 5 2" xfId="9657"/>
    <cellStyle name="Labels - Opmaakprofiel3 2 7 6 5 2 2" xfId="21955"/>
    <cellStyle name="Labels - Opmaakprofiel3 2 7 6 5 2 3" xfId="34007"/>
    <cellStyle name="Labels - Opmaakprofiel3 2 7 6 5 2 4" xfId="28116"/>
    <cellStyle name="Labels - Opmaakprofiel3 2 7 6 5 2 5" xfId="54622"/>
    <cellStyle name="Labels - Opmaakprofiel3 2 7 6 5 3" xfId="15179"/>
    <cellStyle name="Labels - Opmaakprofiel3 2 7 6 5 4" xfId="27231"/>
    <cellStyle name="Labels - Opmaakprofiel3 2 7 6 5 5" xfId="45390"/>
    <cellStyle name="Labels - Opmaakprofiel3 2 7 6 5 6" xfId="48705"/>
    <cellStyle name="Labels - Opmaakprofiel3 2 7 6 6" xfId="5295"/>
    <cellStyle name="Labels - Opmaakprofiel3 2 7 6 6 2" xfId="9658"/>
    <cellStyle name="Labels - Opmaakprofiel3 2 7 6 6 2 2" xfId="21956"/>
    <cellStyle name="Labels - Opmaakprofiel3 2 7 6 6 2 3" xfId="34008"/>
    <cellStyle name="Labels - Opmaakprofiel3 2 7 6 6 2 4" xfId="28117"/>
    <cellStyle name="Labels - Opmaakprofiel3 2 7 6 6 2 5" xfId="54623"/>
    <cellStyle name="Labels - Opmaakprofiel3 2 7 6 6 3" xfId="15180"/>
    <cellStyle name="Labels - Opmaakprofiel3 2 7 6 6 4" xfId="27232"/>
    <cellStyle name="Labels - Opmaakprofiel3 2 7 6 6 5" xfId="39538"/>
    <cellStyle name="Labels - Opmaakprofiel3 2 7 6 6 6" xfId="48706"/>
    <cellStyle name="Labels - Opmaakprofiel3 2 7 6 7" xfId="5296"/>
    <cellStyle name="Labels - Opmaakprofiel3 2 7 6 7 2" xfId="15181"/>
    <cellStyle name="Labels - Opmaakprofiel3 2 7 6 7 3" xfId="27233"/>
    <cellStyle name="Labels - Opmaakprofiel3 2 7 6 7 4" xfId="45389"/>
    <cellStyle name="Labels - Opmaakprofiel3 2 7 6 7 5" xfId="48707"/>
    <cellStyle name="Labels - Opmaakprofiel3 2 7 6 8" xfId="7126"/>
    <cellStyle name="Labels - Opmaakprofiel3 2 7 6 8 2" xfId="19424"/>
    <cellStyle name="Labels - Opmaakprofiel3 2 7 6 8 3" xfId="41227"/>
    <cellStyle name="Labels - Opmaakprofiel3 2 7 6 8 4" xfId="36960"/>
    <cellStyle name="Labels - Opmaakprofiel3 2 7 6 8 5" xfId="52097"/>
    <cellStyle name="Labels - Opmaakprofiel3 2 7 6 9" xfId="15175"/>
    <cellStyle name="Labels - Opmaakprofiel3 2 7 7" xfId="2267"/>
    <cellStyle name="Labels - Opmaakprofiel3 2 7 7 2" xfId="9659"/>
    <cellStyle name="Labels - Opmaakprofiel3 2 7 7 2 2" xfId="21957"/>
    <cellStyle name="Labels - Opmaakprofiel3 2 7 7 2 3" xfId="34009"/>
    <cellStyle name="Labels - Opmaakprofiel3 2 7 7 2 4" xfId="42600"/>
    <cellStyle name="Labels - Opmaakprofiel3 2 7 7 2 5" xfId="54624"/>
    <cellStyle name="Labels - Opmaakprofiel3 2 7 7 3" xfId="15182"/>
    <cellStyle name="Labels - Opmaakprofiel3 2 7 7 4" xfId="27234"/>
    <cellStyle name="Labels - Opmaakprofiel3 2 7 7 5" xfId="39537"/>
    <cellStyle name="Labels - Opmaakprofiel3 2 7 7 6" xfId="48708"/>
    <cellStyle name="Labels - Opmaakprofiel3 2 7 8" xfId="2750"/>
    <cellStyle name="Labels - Opmaakprofiel3 2 7 8 2" xfId="9660"/>
    <cellStyle name="Labels - Opmaakprofiel3 2 7 8 2 2" xfId="21958"/>
    <cellStyle name="Labels - Opmaakprofiel3 2 7 8 2 3" xfId="34010"/>
    <cellStyle name="Labels - Opmaakprofiel3 2 7 8 2 4" xfId="32018"/>
    <cellStyle name="Labels - Opmaakprofiel3 2 7 8 2 5" xfId="54625"/>
    <cellStyle name="Labels - Opmaakprofiel3 2 7 8 3" xfId="15183"/>
    <cellStyle name="Labels - Opmaakprofiel3 2 7 8 4" xfId="27235"/>
    <cellStyle name="Labels - Opmaakprofiel3 2 7 8 5" xfId="45388"/>
    <cellStyle name="Labels - Opmaakprofiel3 2 7 8 6" xfId="48709"/>
    <cellStyle name="Labels - Opmaakprofiel3 2 7 9" xfId="3612"/>
    <cellStyle name="Labels - Opmaakprofiel3 2 7 9 2" xfId="9661"/>
    <cellStyle name="Labels - Opmaakprofiel3 2 7 9 2 2" xfId="21959"/>
    <cellStyle name="Labels - Opmaakprofiel3 2 7 9 2 3" xfId="34011"/>
    <cellStyle name="Labels - Opmaakprofiel3 2 7 9 2 4" xfId="42599"/>
    <cellStyle name="Labels - Opmaakprofiel3 2 7 9 2 5" xfId="54626"/>
    <cellStyle name="Labels - Opmaakprofiel3 2 7 9 3" xfId="15184"/>
    <cellStyle name="Labels - Opmaakprofiel3 2 7 9 4" xfId="27236"/>
    <cellStyle name="Labels - Opmaakprofiel3 2 7 9 5" xfId="39536"/>
    <cellStyle name="Labels - Opmaakprofiel3 2 7 9 6" xfId="48710"/>
    <cellStyle name="Labels - Opmaakprofiel3 2 8" xfId="729"/>
    <cellStyle name="Labels - Opmaakprofiel3 2 8 10" xfId="5297"/>
    <cellStyle name="Labels - Opmaakprofiel3 2 8 10 2" xfId="9662"/>
    <cellStyle name="Labels - Opmaakprofiel3 2 8 10 2 2" xfId="21960"/>
    <cellStyle name="Labels - Opmaakprofiel3 2 8 10 2 3" xfId="34012"/>
    <cellStyle name="Labels - Opmaakprofiel3 2 8 10 2 4" xfId="31840"/>
    <cellStyle name="Labels - Opmaakprofiel3 2 8 10 2 5" xfId="54627"/>
    <cellStyle name="Labels - Opmaakprofiel3 2 8 10 3" xfId="15186"/>
    <cellStyle name="Labels - Opmaakprofiel3 2 8 10 4" xfId="27238"/>
    <cellStyle name="Labels - Opmaakprofiel3 2 8 10 5" xfId="39535"/>
    <cellStyle name="Labels - Opmaakprofiel3 2 8 10 6" xfId="48711"/>
    <cellStyle name="Labels - Opmaakprofiel3 2 8 11" xfId="5298"/>
    <cellStyle name="Labels - Opmaakprofiel3 2 8 11 2" xfId="9663"/>
    <cellStyle name="Labels - Opmaakprofiel3 2 8 11 2 2" xfId="21961"/>
    <cellStyle name="Labels - Opmaakprofiel3 2 8 11 2 3" xfId="34013"/>
    <cellStyle name="Labels - Opmaakprofiel3 2 8 11 2 4" xfId="42598"/>
    <cellStyle name="Labels - Opmaakprofiel3 2 8 11 2 5" xfId="54628"/>
    <cellStyle name="Labels - Opmaakprofiel3 2 8 11 3" xfId="15187"/>
    <cellStyle name="Labels - Opmaakprofiel3 2 8 11 4" xfId="27239"/>
    <cellStyle name="Labels - Opmaakprofiel3 2 8 11 5" xfId="45386"/>
    <cellStyle name="Labels - Opmaakprofiel3 2 8 11 6" xfId="48712"/>
    <cellStyle name="Labels - Opmaakprofiel3 2 8 12" xfId="5299"/>
    <cellStyle name="Labels - Opmaakprofiel3 2 8 12 2" xfId="15188"/>
    <cellStyle name="Labels - Opmaakprofiel3 2 8 12 3" xfId="27240"/>
    <cellStyle name="Labels - Opmaakprofiel3 2 8 12 4" xfId="39534"/>
    <cellStyle name="Labels - Opmaakprofiel3 2 8 12 5" xfId="48713"/>
    <cellStyle name="Labels - Opmaakprofiel3 2 8 13" xfId="7494"/>
    <cellStyle name="Labels - Opmaakprofiel3 2 8 13 2" xfId="19792"/>
    <cellStyle name="Labels - Opmaakprofiel3 2 8 13 3" xfId="41595"/>
    <cellStyle name="Labels - Opmaakprofiel3 2 8 13 4" xfId="43485"/>
    <cellStyle name="Labels - Opmaakprofiel3 2 8 13 5" xfId="52464"/>
    <cellStyle name="Labels - Opmaakprofiel3 2 8 14" xfId="15185"/>
    <cellStyle name="Labels - Opmaakprofiel3 2 8 2" xfId="899"/>
    <cellStyle name="Labels - Opmaakprofiel3 2 8 2 2" xfId="1817"/>
    <cellStyle name="Labels - Opmaakprofiel3 2 8 2 2 2" xfId="9664"/>
    <cellStyle name="Labels - Opmaakprofiel3 2 8 2 2 2 2" xfId="21962"/>
    <cellStyle name="Labels - Opmaakprofiel3 2 8 2 2 2 3" xfId="34014"/>
    <cellStyle name="Labels - Opmaakprofiel3 2 8 2 2 2 4" xfId="28122"/>
    <cellStyle name="Labels - Opmaakprofiel3 2 8 2 2 2 5" xfId="54629"/>
    <cellStyle name="Labels - Opmaakprofiel3 2 8 2 2 3" xfId="15190"/>
    <cellStyle name="Labels - Opmaakprofiel3 2 8 2 2 4" xfId="27242"/>
    <cellStyle name="Labels - Opmaakprofiel3 2 8 2 2 5" xfId="39533"/>
    <cellStyle name="Labels - Opmaakprofiel3 2 8 2 2 6" xfId="48714"/>
    <cellStyle name="Labels - Opmaakprofiel3 2 8 2 3" xfId="2910"/>
    <cellStyle name="Labels - Opmaakprofiel3 2 8 2 3 2" xfId="9665"/>
    <cellStyle name="Labels - Opmaakprofiel3 2 8 2 3 2 2" xfId="21963"/>
    <cellStyle name="Labels - Opmaakprofiel3 2 8 2 3 2 3" xfId="34015"/>
    <cellStyle name="Labels - Opmaakprofiel3 2 8 2 3 2 4" xfId="42597"/>
    <cellStyle name="Labels - Opmaakprofiel3 2 8 2 3 2 5" xfId="54630"/>
    <cellStyle name="Labels - Opmaakprofiel3 2 8 2 3 3" xfId="15191"/>
    <cellStyle name="Labels - Opmaakprofiel3 2 8 2 3 4" xfId="27243"/>
    <cellStyle name="Labels - Opmaakprofiel3 2 8 2 3 5" xfId="45385"/>
    <cellStyle name="Labels - Opmaakprofiel3 2 8 2 3 6" xfId="48715"/>
    <cellStyle name="Labels - Opmaakprofiel3 2 8 2 4" xfId="3763"/>
    <cellStyle name="Labels - Opmaakprofiel3 2 8 2 4 2" xfId="9666"/>
    <cellStyle name="Labels - Opmaakprofiel3 2 8 2 4 2 2" xfId="21964"/>
    <cellStyle name="Labels - Opmaakprofiel3 2 8 2 4 2 3" xfId="34016"/>
    <cellStyle name="Labels - Opmaakprofiel3 2 8 2 4 2 4" xfId="28123"/>
    <cellStyle name="Labels - Opmaakprofiel3 2 8 2 4 2 5" xfId="54631"/>
    <cellStyle name="Labels - Opmaakprofiel3 2 8 2 4 3" xfId="15192"/>
    <cellStyle name="Labels - Opmaakprofiel3 2 8 2 4 4" xfId="27244"/>
    <cellStyle name="Labels - Opmaakprofiel3 2 8 2 4 5" xfId="39532"/>
    <cellStyle name="Labels - Opmaakprofiel3 2 8 2 4 6" xfId="48716"/>
    <cellStyle name="Labels - Opmaakprofiel3 2 8 2 5" xfId="5300"/>
    <cellStyle name="Labels - Opmaakprofiel3 2 8 2 5 2" xfId="9667"/>
    <cellStyle name="Labels - Opmaakprofiel3 2 8 2 5 2 2" xfId="21965"/>
    <cellStyle name="Labels - Opmaakprofiel3 2 8 2 5 2 3" xfId="34017"/>
    <cellStyle name="Labels - Opmaakprofiel3 2 8 2 5 2 4" xfId="42596"/>
    <cellStyle name="Labels - Opmaakprofiel3 2 8 2 5 2 5" xfId="54632"/>
    <cellStyle name="Labels - Opmaakprofiel3 2 8 2 5 3" xfId="15193"/>
    <cellStyle name="Labels - Opmaakprofiel3 2 8 2 5 4" xfId="27245"/>
    <cellStyle name="Labels - Opmaakprofiel3 2 8 2 5 5" xfId="45384"/>
    <cellStyle name="Labels - Opmaakprofiel3 2 8 2 5 6" xfId="48717"/>
    <cellStyle name="Labels - Opmaakprofiel3 2 8 2 6" xfId="5301"/>
    <cellStyle name="Labels - Opmaakprofiel3 2 8 2 6 2" xfId="9668"/>
    <cellStyle name="Labels - Opmaakprofiel3 2 8 2 6 2 2" xfId="21966"/>
    <cellStyle name="Labels - Opmaakprofiel3 2 8 2 6 2 3" xfId="34018"/>
    <cellStyle name="Labels - Opmaakprofiel3 2 8 2 6 2 4" xfId="34588"/>
    <cellStyle name="Labels - Opmaakprofiel3 2 8 2 6 2 5" xfId="54633"/>
    <cellStyle name="Labels - Opmaakprofiel3 2 8 2 6 3" xfId="15194"/>
    <cellStyle name="Labels - Opmaakprofiel3 2 8 2 6 4" xfId="27246"/>
    <cellStyle name="Labels - Opmaakprofiel3 2 8 2 6 5" xfId="39531"/>
    <cellStyle name="Labels - Opmaakprofiel3 2 8 2 6 6" xfId="48718"/>
    <cellStyle name="Labels - Opmaakprofiel3 2 8 2 7" xfId="5302"/>
    <cellStyle name="Labels - Opmaakprofiel3 2 8 2 7 2" xfId="15195"/>
    <cellStyle name="Labels - Opmaakprofiel3 2 8 2 7 3" xfId="27247"/>
    <cellStyle name="Labels - Opmaakprofiel3 2 8 2 7 4" xfId="45383"/>
    <cellStyle name="Labels - Opmaakprofiel3 2 8 2 7 5" xfId="48719"/>
    <cellStyle name="Labels - Opmaakprofiel3 2 8 2 8" xfId="10066"/>
    <cellStyle name="Labels - Opmaakprofiel3 2 8 2 8 2" xfId="22364"/>
    <cellStyle name="Labels - Opmaakprofiel3 2 8 2 8 3" xfId="44128"/>
    <cellStyle name="Labels - Opmaakprofiel3 2 8 2 8 4" xfId="28539"/>
    <cellStyle name="Labels - Opmaakprofiel3 2 8 2 8 5" xfId="55031"/>
    <cellStyle name="Labels - Opmaakprofiel3 2 8 2 9" xfId="15189"/>
    <cellStyle name="Labels - Opmaakprofiel3 2 8 3" xfId="998"/>
    <cellStyle name="Labels - Opmaakprofiel3 2 8 3 2" xfId="2108"/>
    <cellStyle name="Labels - Opmaakprofiel3 2 8 3 2 2" xfId="9669"/>
    <cellStyle name="Labels - Opmaakprofiel3 2 8 3 2 2 2" xfId="21967"/>
    <cellStyle name="Labels - Opmaakprofiel3 2 8 3 2 2 3" xfId="34019"/>
    <cellStyle name="Labels - Opmaakprofiel3 2 8 3 2 2 4" xfId="31787"/>
    <cellStyle name="Labels - Opmaakprofiel3 2 8 3 2 2 5" xfId="54634"/>
    <cellStyle name="Labels - Opmaakprofiel3 2 8 3 2 3" xfId="15197"/>
    <cellStyle name="Labels - Opmaakprofiel3 2 8 3 2 4" xfId="27249"/>
    <cellStyle name="Labels - Opmaakprofiel3 2 8 3 2 5" xfId="45382"/>
    <cellStyle name="Labels - Opmaakprofiel3 2 8 3 2 6" xfId="48720"/>
    <cellStyle name="Labels - Opmaakprofiel3 2 8 3 3" xfId="3009"/>
    <cellStyle name="Labels - Opmaakprofiel3 2 8 3 3 2" xfId="9670"/>
    <cellStyle name="Labels - Opmaakprofiel3 2 8 3 3 2 2" xfId="21968"/>
    <cellStyle name="Labels - Opmaakprofiel3 2 8 3 3 2 3" xfId="34020"/>
    <cellStyle name="Labels - Opmaakprofiel3 2 8 3 3 2 4" xfId="28128"/>
    <cellStyle name="Labels - Opmaakprofiel3 2 8 3 3 2 5" xfId="54635"/>
    <cellStyle name="Labels - Opmaakprofiel3 2 8 3 3 3" xfId="15198"/>
    <cellStyle name="Labels - Opmaakprofiel3 2 8 3 3 4" xfId="27250"/>
    <cellStyle name="Labels - Opmaakprofiel3 2 8 3 3 5" xfId="39529"/>
    <cellStyle name="Labels - Opmaakprofiel3 2 8 3 3 6" xfId="48721"/>
    <cellStyle name="Labels - Opmaakprofiel3 2 8 3 4" xfId="3855"/>
    <cellStyle name="Labels - Opmaakprofiel3 2 8 3 4 2" xfId="9671"/>
    <cellStyle name="Labels - Opmaakprofiel3 2 8 3 4 2 2" xfId="21969"/>
    <cellStyle name="Labels - Opmaakprofiel3 2 8 3 4 2 3" xfId="34021"/>
    <cellStyle name="Labels - Opmaakprofiel3 2 8 3 4 2 4" xfId="42595"/>
    <cellStyle name="Labels - Opmaakprofiel3 2 8 3 4 2 5" xfId="54636"/>
    <cellStyle name="Labels - Opmaakprofiel3 2 8 3 4 3" xfId="15199"/>
    <cellStyle name="Labels - Opmaakprofiel3 2 8 3 4 4" xfId="27251"/>
    <cellStyle name="Labels - Opmaakprofiel3 2 8 3 4 5" xfId="45381"/>
    <cellStyle name="Labels - Opmaakprofiel3 2 8 3 4 6" xfId="48722"/>
    <cellStyle name="Labels - Opmaakprofiel3 2 8 3 5" xfId="5303"/>
    <cellStyle name="Labels - Opmaakprofiel3 2 8 3 5 2" xfId="9672"/>
    <cellStyle name="Labels - Opmaakprofiel3 2 8 3 5 2 2" xfId="21970"/>
    <cellStyle name="Labels - Opmaakprofiel3 2 8 3 5 2 3" xfId="34022"/>
    <cellStyle name="Labels - Opmaakprofiel3 2 8 3 5 2 4" xfId="28129"/>
    <cellStyle name="Labels - Opmaakprofiel3 2 8 3 5 2 5" xfId="54637"/>
    <cellStyle name="Labels - Opmaakprofiel3 2 8 3 5 3" xfId="15200"/>
    <cellStyle name="Labels - Opmaakprofiel3 2 8 3 5 4" xfId="27252"/>
    <cellStyle name="Labels - Opmaakprofiel3 2 8 3 5 5" xfId="39528"/>
    <cellStyle name="Labels - Opmaakprofiel3 2 8 3 5 6" xfId="48723"/>
    <cellStyle name="Labels - Opmaakprofiel3 2 8 3 6" xfId="5304"/>
    <cellStyle name="Labels - Opmaakprofiel3 2 8 3 6 2" xfId="9673"/>
    <cellStyle name="Labels - Opmaakprofiel3 2 8 3 6 2 2" xfId="21971"/>
    <cellStyle name="Labels - Opmaakprofiel3 2 8 3 6 2 3" xfId="34023"/>
    <cellStyle name="Labels - Opmaakprofiel3 2 8 3 6 2 4" xfId="42594"/>
    <cellStyle name="Labels - Opmaakprofiel3 2 8 3 6 2 5" xfId="54638"/>
    <cellStyle name="Labels - Opmaakprofiel3 2 8 3 6 3" xfId="15201"/>
    <cellStyle name="Labels - Opmaakprofiel3 2 8 3 6 4" xfId="27253"/>
    <cellStyle name="Labels - Opmaakprofiel3 2 8 3 6 5" xfId="39527"/>
    <cellStyle name="Labels - Opmaakprofiel3 2 8 3 6 6" xfId="48724"/>
    <cellStyle name="Labels - Opmaakprofiel3 2 8 3 7" xfId="5305"/>
    <cellStyle name="Labels - Opmaakprofiel3 2 8 3 7 2" xfId="15202"/>
    <cellStyle name="Labels - Opmaakprofiel3 2 8 3 7 3" xfId="27254"/>
    <cellStyle name="Labels - Opmaakprofiel3 2 8 3 7 4" xfId="39526"/>
    <cellStyle name="Labels - Opmaakprofiel3 2 8 3 7 5" xfId="48725"/>
    <cellStyle name="Labels - Opmaakprofiel3 2 8 3 8" xfId="10004"/>
    <cellStyle name="Labels - Opmaakprofiel3 2 8 3 8 2" xfId="22302"/>
    <cellStyle name="Labels - Opmaakprofiel3 2 8 3 8 3" xfId="44067"/>
    <cellStyle name="Labels - Opmaakprofiel3 2 8 3 8 4" xfId="42456"/>
    <cellStyle name="Labels - Opmaakprofiel3 2 8 3 8 5" xfId="54969"/>
    <cellStyle name="Labels - Opmaakprofiel3 2 8 3 9" xfId="15196"/>
    <cellStyle name="Labels - Opmaakprofiel3 2 8 4" xfId="1110"/>
    <cellStyle name="Labels - Opmaakprofiel3 2 8 4 2" xfId="1540"/>
    <cellStyle name="Labels - Opmaakprofiel3 2 8 4 2 2" xfId="9674"/>
    <cellStyle name="Labels - Opmaakprofiel3 2 8 4 2 2 2" xfId="21972"/>
    <cellStyle name="Labels - Opmaakprofiel3 2 8 4 2 2 3" xfId="34024"/>
    <cellStyle name="Labels - Opmaakprofiel3 2 8 4 2 2 4" xfId="31934"/>
    <cellStyle name="Labels - Opmaakprofiel3 2 8 4 2 2 5" xfId="54639"/>
    <cellStyle name="Labels - Opmaakprofiel3 2 8 4 2 3" xfId="15204"/>
    <cellStyle name="Labels - Opmaakprofiel3 2 8 4 2 4" xfId="27256"/>
    <cellStyle name="Labels - Opmaakprofiel3 2 8 4 2 5" xfId="39525"/>
    <cellStyle name="Labels - Opmaakprofiel3 2 8 4 2 6" xfId="48726"/>
    <cellStyle name="Labels - Opmaakprofiel3 2 8 4 3" xfId="3121"/>
    <cellStyle name="Labels - Opmaakprofiel3 2 8 4 3 2" xfId="9675"/>
    <cellStyle name="Labels - Opmaakprofiel3 2 8 4 3 2 2" xfId="21973"/>
    <cellStyle name="Labels - Opmaakprofiel3 2 8 4 3 2 3" xfId="34025"/>
    <cellStyle name="Labels - Opmaakprofiel3 2 8 4 3 2 4" xfId="42593"/>
    <cellStyle name="Labels - Opmaakprofiel3 2 8 4 3 2 5" xfId="54640"/>
    <cellStyle name="Labels - Opmaakprofiel3 2 8 4 3 3" xfId="15205"/>
    <cellStyle name="Labels - Opmaakprofiel3 2 8 4 3 4" xfId="27257"/>
    <cellStyle name="Labels - Opmaakprofiel3 2 8 4 3 5" xfId="45379"/>
    <cellStyle name="Labels - Opmaakprofiel3 2 8 4 3 6" xfId="48727"/>
    <cellStyle name="Labels - Opmaakprofiel3 2 8 4 4" xfId="3955"/>
    <cellStyle name="Labels - Opmaakprofiel3 2 8 4 4 2" xfId="9676"/>
    <cellStyle name="Labels - Opmaakprofiel3 2 8 4 4 2 2" xfId="21974"/>
    <cellStyle name="Labels - Opmaakprofiel3 2 8 4 4 2 3" xfId="34026"/>
    <cellStyle name="Labels - Opmaakprofiel3 2 8 4 4 2 4" xfId="34545"/>
    <cellStyle name="Labels - Opmaakprofiel3 2 8 4 4 2 5" xfId="54641"/>
    <cellStyle name="Labels - Opmaakprofiel3 2 8 4 4 3" xfId="15206"/>
    <cellStyle name="Labels - Opmaakprofiel3 2 8 4 4 4" xfId="27258"/>
    <cellStyle name="Labels - Opmaakprofiel3 2 8 4 4 5" xfId="39524"/>
    <cellStyle name="Labels - Opmaakprofiel3 2 8 4 4 6" xfId="48728"/>
    <cellStyle name="Labels - Opmaakprofiel3 2 8 4 5" xfId="5306"/>
    <cellStyle name="Labels - Opmaakprofiel3 2 8 4 5 2" xfId="9677"/>
    <cellStyle name="Labels - Opmaakprofiel3 2 8 4 5 2 2" xfId="21975"/>
    <cellStyle name="Labels - Opmaakprofiel3 2 8 4 5 2 3" xfId="34027"/>
    <cellStyle name="Labels - Opmaakprofiel3 2 8 4 5 2 4" xfId="42592"/>
    <cellStyle name="Labels - Opmaakprofiel3 2 8 4 5 2 5" xfId="54642"/>
    <cellStyle name="Labels - Opmaakprofiel3 2 8 4 5 3" xfId="15207"/>
    <cellStyle name="Labels - Opmaakprofiel3 2 8 4 5 4" xfId="27259"/>
    <cellStyle name="Labels - Opmaakprofiel3 2 8 4 5 5" xfId="45378"/>
    <cellStyle name="Labels - Opmaakprofiel3 2 8 4 5 6" xfId="48729"/>
    <cellStyle name="Labels - Opmaakprofiel3 2 8 4 6" xfId="5307"/>
    <cellStyle name="Labels - Opmaakprofiel3 2 8 4 6 2" xfId="9678"/>
    <cellStyle name="Labels - Opmaakprofiel3 2 8 4 6 2 2" xfId="21976"/>
    <cellStyle name="Labels - Opmaakprofiel3 2 8 4 6 2 3" xfId="34028"/>
    <cellStyle name="Labels - Opmaakprofiel3 2 8 4 6 2 4" xfId="28134"/>
    <cellStyle name="Labels - Opmaakprofiel3 2 8 4 6 2 5" xfId="54643"/>
    <cellStyle name="Labels - Opmaakprofiel3 2 8 4 6 3" xfId="15208"/>
    <cellStyle name="Labels - Opmaakprofiel3 2 8 4 6 4" xfId="27260"/>
    <cellStyle name="Labels - Opmaakprofiel3 2 8 4 6 5" xfId="39523"/>
    <cellStyle name="Labels - Opmaakprofiel3 2 8 4 6 6" xfId="48730"/>
    <cellStyle name="Labels - Opmaakprofiel3 2 8 4 7" xfId="5308"/>
    <cellStyle name="Labels - Opmaakprofiel3 2 8 4 7 2" xfId="15209"/>
    <cellStyle name="Labels - Opmaakprofiel3 2 8 4 7 3" xfId="27261"/>
    <cellStyle name="Labels - Opmaakprofiel3 2 8 4 7 4" xfId="45377"/>
    <cellStyle name="Labels - Opmaakprofiel3 2 8 4 7 5" xfId="48731"/>
    <cellStyle name="Labels - Opmaakprofiel3 2 8 4 8" xfId="9924"/>
    <cellStyle name="Labels - Opmaakprofiel3 2 8 4 8 2" xfId="22222"/>
    <cellStyle name="Labels - Opmaakprofiel3 2 8 4 8 3" xfId="43988"/>
    <cellStyle name="Labels - Opmaakprofiel3 2 8 4 8 4" xfId="42489"/>
    <cellStyle name="Labels - Opmaakprofiel3 2 8 4 8 5" xfId="54889"/>
    <cellStyle name="Labels - Opmaakprofiel3 2 8 4 9" xfId="15203"/>
    <cellStyle name="Labels - Opmaakprofiel3 2 8 5" xfId="1172"/>
    <cellStyle name="Labels - Opmaakprofiel3 2 8 5 2" xfId="1682"/>
    <cellStyle name="Labels - Opmaakprofiel3 2 8 5 2 2" xfId="9679"/>
    <cellStyle name="Labels - Opmaakprofiel3 2 8 5 2 2 2" xfId="21977"/>
    <cellStyle name="Labels - Opmaakprofiel3 2 8 5 2 2 3" xfId="34029"/>
    <cellStyle name="Labels - Opmaakprofiel3 2 8 5 2 2 4" xfId="42591"/>
    <cellStyle name="Labels - Opmaakprofiel3 2 8 5 2 2 5" xfId="54644"/>
    <cellStyle name="Labels - Opmaakprofiel3 2 8 5 2 3" xfId="15211"/>
    <cellStyle name="Labels - Opmaakprofiel3 2 8 5 2 4" xfId="27263"/>
    <cellStyle name="Labels - Opmaakprofiel3 2 8 5 2 5" xfId="45376"/>
    <cellStyle name="Labels - Opmaakprofiel3 2 8 5 2 6" xfId="48732"/>
    <cellStyle name="Labels - Opmaakprofiel3 2 8 5 3" xfId="3183"/>
    <cellStyle name="Labels - Opmaakprofiel3 2 8 5 3 2" xfId="9680"/>
    <cellStyle name="Labels - Opmaakprofiel3 2 8 5 3 2 2" xfId="21978"/>
    <cellStyle name="Labels - Opmaakprofiel3 2 8 5 3 2 3" xfId="34030"/>
    <cellStyle name="Labels - Opmaakprofiel3 2 8 5 3 2 4" xfId="32138"/>
    <cellStyle name="Labels - Opmaakprofiel3 2 8 5 3 2 5" xfId="54645"/>
    <cellStyle name="Labels - Opmaakprofiel3 2 8 5 3 3" xfId="15212"/>
    <cellStyle name="Labels - Opmaakprofiel3 2 8 5 3 4" xfId="27264"/>
    <cellStyle name="Labels - Opmaakprofiel3 2 8 5 3 5" xfId="39521"/>
    <cellStyle name="Labels - Opmaakprofiel3 2 8 5 3 6" xfId="48733"/>
    <cellStyle name="Labels - Opmaakprofiel3 2 8 5 4" xfId="4002"/>
    <cellStyle name="Labels - Opmaakprofiel3 2 8 5 4 2" xfId="9681"/>
    <cellStyle name="Labels - Opmaakprofiel3 2 8 5 4 2 2" xfId="21979"/>
    <cellStyle name="Labels - Opmaakprofiel3 2 8 5 4 2 3" xfId="34031"/>
    <cellStyle name="Labels - Opmaakprofiel3 2 8 5 4 2 4" xfId="28140"/>
    <cellStyle name="Labels - Opmaakprofiel3 2 8 5 4 2 5" xfId="54646"/>
    <cellStyle name="Labels - Opmaakprofiel3 2 8 5 4 3" xfId="15213"/>
    <cellStyle name="Labels - Opmaakprofiel3 2 8 5 4 4" xfId="27265"/>
    <cellStyle name="Labels - Opmaakprofiel3 2 8 5 4 5" xfId="39520"/>
    <cellStyle name="Labels - Opmaakprofiel3 2 8 5 4 6" xfId="48734"/>
    <cellStyle name="Labels - Opmaakprofiel3 2 8 5 5" xfId="5309"/>
    <cellStyle name="Labels - Opmaakprofiel3 2 8 5 5 2" xfId="9682"/>
    <cellStyle name="Labels - Opmaakprofiel3 2 8 5 5 2 2" xfId="21980"/>
    <cellStyle name="Labels - Opmaakprofiel3 2 8 5 5 2 3" xfId="34032"/>
    <cellStyle name="Labels - Opmaakprofiel3 2 8 5 5 2 4" xfId="32131"/>
    <cellStyle name="Labels - Opmaakprofiel3 2 8 5 5 2 5" xfId="54647"/>
    <cellStyle name="Labels - Opmaakprofiel3 2 8 5 5 3" xfId="15214"/>
    <cellStyle name="Labels - Opmaakprofiel3 2 8 5 5 4" xfId="27266"/>
    <cellStyle name="Labels - Opmaakprofiel3 2 8 5 5 5" xfId="39519"/>
    <cellStyle name="Labels - Opmaakprofiel3 2 8 5 5 6" xfId="48735"/>
    <cellStyle name="Labels - Opmaakprofiel3 2 8 5 6" xfId="5310"/>
    <cellStyle name="Labels - Opmaakprofiel3 2 8 5 6 2" xfId="9683"/>
    <cellStyle name="Labels - Opmaakprofiel3 2 8 5 6 2 2" xfId="21981"/>
    <cellStyle name="Labels - Opmaakprofiel3 2 8 5 6 2 3" xfId="34033"/>
    <cellStyle name="Labels - Opmaakprofiel3 2 8 5 6 2 4" xfId="42590"/>
    <cellStyle name="Labels - Opmaakprofiel3 2 8 5 6 2 5" xfId="54648"/>
    <cellStyle name="Labels - Opmaakprofiel3 2 8 5 6 3" xfId="15215"/>
    <cellStyle name="Labels - Opmaakprofiel3 2 8 5 6 4" xfId="27267"/>
    <cellStyle name="Labels - Opmaakprofiel3 2 8 5 6 5" xfId="45375"/>
    <cellStyle name="Labels - Opmaakprofiel3 2 8 5 6 6" xfId="48736"/>
    <cellStyle name="Labels - Opmaakprofiel3 2 8 5 7" xfId="5311"/>
    <cellStyle name="Labels - Opmaakprofiel3 2 8 5 7 2" xfId="15216"/>
    <cellStyle name="Labels - Opmaakprofiel3 2 8 5 7 3" xfId="27268"/>
    <cellStyle name="Labels - Opmaakprofiel3 2 8 5 7 4" xfId="39518"/>
    <cellStyle name="Labels - Opmaakprofiel3 2 8 5 7 5" xfId="48737"/>
    <cellStyle name="Labels - Opmaakprofiel3 2 8 5 8" xfId="7195"/>
    <cellStyle name="Labels - Opmaakprofiel3 2 8 5 8 2" xfId="19493"/>
    <cellStyle name="Labels - Opmaakprofiel3 2 8 5 8 3" xfId="41296"/>
    <cellStyle name="Labels - Opmaakprofiel3 2 8 5 8 4" xfId="36920"/>
    <cellStyle name="Labels - Opmaakprofiel3 2 8 5 8 5" xfId="52165"/>
    <cellStyle name="Labels - Opmaakprofiel3 2 8 5 9" xfId="15210"/>
    <cellStyle name="Labels - Opmaakprofiel3 2 8 6" xfId="1116"/>
    <cellStyle name="Labels - Opmaakprofiel3 2 8 6 2" xfId="2468"/>
    <cellStyle name="Labels - Opmaakprofiel3 2 8 6 2 2" xfId="9684"/>
    <cellStyle name="Labels - Opmaakprofiel3 2 8 6 2 2 2" xfId="21982"/>
    <cellStyle name="Labels - Opmaakprofiel3 2 8 6 2 2 3" xfId="34034"/>
    <cellStyle name="Labels - Opmaakprofiel3 2 8 6 2 2 4" xfId="28145"/>
    <cellStyle name="Labels - Opmaakprofiel3 2 8 6 2 2 5" xfId="54649"/>
    <cellStyle name="Labels - Opmaakprofiel3 2 8 6 2 3" xfId="15218"/>
    <cellStyle name="Labels - Opmaakprofiel3 2 8 6 2 4" xfId="27270"/>
    <cellStyle name="Labels - Opmaakprofiel3 2 8 6 2 5" xfId="39517"/>
    <cellStyle name="Labels - Opmaakprofiel3 2 8 6 2 6" xfId="48738"/>
    <cellStyle name="Labels - Opmaakprofiel3 2 8 6 3" xfId="3127"/>
    <cellStyle name="Labels - Opmaakprofiel3 2 8 6 3 2" xfId="9685"/>
    <cellStyle name="Labels - Opmaakprofiel3 2 8 6 3 2 2" xfId="21983"/>
    <cellStyle name="Labels - Opmaakprofiel3 2 8 6 3 2 3" xfId="34035"/>
    <cellStyle name="Labels - Opmaakprofiel3 2 8 6 3 2 4" xfId="42589"/>
    <cellStyle name="Labels - Opmaakprofiel3 2 8 6 3 2 5" xfId="54650"/>
    <cellStyle name="Labels - Opmaakprofiel3 2 8 6 3 3" xfId="15219"/>
    <cellStyle name="Labels - Opmaakprofiel3 2 8 6 3 4" xfId="27271"/>
    <cellStyle name="Labels - Opmaakprofiel3 2 8 6 3 5" xfId="45373"/>
    <cellStyle name="Labels - Opmaakprofiel3 2 8 6 3 6" xfId="48739"/>
    <cellStyle name="Labels - Opmaakprofiel3 2 8 6 4" xfId="3961"/>
    <cellStyle name="Labels - Opmaakprofiel3 2 8 6 4 2" xfId="9686"/>
    <cellStyle name="Labels - Opmaakprofiel3 2 8 6 4 2 2" xfId="21984"/>
    <cellStyle name="Labels - Opmaakprofiel3 2 8 6 4 2 3" xfId="34036"/>
    <cellStyle name="Labels - Opmaakprofiel3 2 8 6 4 2 4" xfId="28146"/>
    <cellStyle name="Labels - Opmaakprofiel3 2 8 6 4 2 5" xfId="54651"/>
    <cellStyle name="Labels - Opmaakprofiel3 2 8 6 4 3" xfId="15220"/>
    <cellStyle name="Labels - Opmaakprofiel3 2 8 6 4 4" xfId="27272"/>
    <cellStyle name="Labels - Opmaakprofiel3 2 8 6 4 5" xfId="39516"/>
    <cellStyle name="Labels - Opmaakprofiel3 2 8 6 4 6" xfId="48740"/>
    <cellStyle name="Labels - Opmaakprofiel3 2 8 6 5" xfId="5312"/>
    <cellStyle name="Labels - Opmaakprofiel3 2 8 6 5 2" xfId="9687"/>
    <cellStyle name="Labels - Opmaakprofiel3 2 8 6 5 2 2" xfId="21985"/>
    <cellStyle name="Labels - Opmaakprofiel3 2 8 6 5 2 3" xfId="34037"/>
    <cellStyle name="Labels - Opmaakprofiel3 2 8 6 5 2 4" xfId="42588"/>
    <cellStyle name="Labels - Opmaakprofiel3 2 8 6 5 2 5" xfId="54652"/>
    <cellStyle name="Labels - Opmaakprofiel3 2 8 6 5 3" xfId="15221"/>
    <cellStyle name="Labels - Opmaakprofiel3 2 8 6 5 4" xfId="27273"/>
    <cellStyle name="Labels - Opmaakprofiel3 2 8 6 5 5" xfId="45372"/>
    <cellStyle name="Labels - Opmaakprofiel3 2 8 6 5 6" xfId="48741"/>
    <cellStyle name="Labels - Opmaakprofiel3 2 8 6 6" xfId="5313"/>
    <cellStyle name="Labels - Opmaakprofiel3 2 8 6 6 2" xfId="9688"/>
    <cellStyle name="Labels - Opmaakprofiel3 2 8 6 6 2 2" xfId="21986"/>
    <cellStyle name="Labels - Opmaakprofiel3 2 8 6 6 2 3" xfId="34038"/>
    <cellStyle name="Labels - Opmaakprofiel3 2 8 6 6 2 4" xfId="28147"/>
    <cellStyle name="Labels - Opmaakprofiel3 2 8 6 6 2 5" xfId="54653"/>
    <cellStyle name="Labels - Opmaakprofiel3 2 8 6 6 3" xfId="15222"/>
    <cellStyle name="Labels - Opmaakprofiel3 2 8 6 6 4" xfId="27274"/>
    <cellStyle name="Labels - Opmaakprofiel3 2 8 6 6 5" xfId="39515"/>
    <cellStyle name="Labels - Opmaakprofiel3 2 8 6 6 6" xfId="48742"/>
    <cellStyle name="Labels - Opmaakprofiel3 2 8 6 7" xfId="5314"/>
    <cellStyle name="Labels - Opmaakprofiel3 2 8 6 7 2" xfId="15223"/>
    <cellStyle name="Labels - Opmaakprofiel3 2 8 6 7 3" xfId="27275"/>
    <cellStyle name="Labels - Opmaakprofiel3 2 8 6 7 4" xfId="45371"/>
    <cellStyle name="Labels - Opmaakprofiel3 2 8 6 7 5" xfId="48743"/>
    <cellStyle name="Labels - Opmaakprofiel3 2 8 6 8" xfId="9920"/>
    <cellStyle name="Labels - Opmaakprofiel3 2 8 6 8 2" xfId="22218"/>
    <cellStyle name="Labels - Opmaakprofiel3 2 8 6 8 3" xfId="43984"/>
    <cellStyle name="Labels - Opmaakprofiel3 2 8 6 8 4" xfId="42491"/>
    <cellStyle name="Labels - Opmaakprofiel3 2 8 6 8 5" xfId="54885"/>
    <cellStyle name="Labels - Opmaakprofiel3 2 8 6 9" xfId="15217"/>
    <cellStyle name="Labels - Opmaakprofiel3 2 8 7" xfId="2241"/>
    <cellStyle name="Labels - Opmaakprofiel3 2 8 7 2" xfId="9689"/>
    <cellStyle name="Labels - Opmaakprofiel3 2 8 7 2 2" xfId="21987"/>
    <cellStyle name="Labels - Opmaakprofiel3 2 8 7 2 3" xfId="34039"/>
    <cellStyle name="Labels - Opmaakprofiel3 2 8 7 2 4" xfId="42587"/>
    <cellStyle name="Labels - Opmaakprofiel3 2 8 7 2 5" xfId="54654"/>
    <cellStyle name="Labels - Opmaakprofiel3 2 8 7 3" xfId="15224"/>
    <cellStyle name="Labels - Opmaakprofiel3 2 8 7 4" xfId="27276"/>
    <cellStyle name="Labels - Opmaakprofiel3 2 8 7 5" xfId="39514"/>
    <cellStyle name="Labels - Opmaakprofiel3 2 8 7 6" xfId="48744"/>
    <cellStyle name="Labels - Opmaakprofiel3 2 8 8" xfId="2781"/>
    <cellStyle name="Labels - Opmaakprofiel3 2 8 8 2" xfId="9690"/>
    <cellStyle name="Labels - Opmaakprofiel3 2 8 8 2 2" xfId="21988"/>
    <cellStyle name="Labels - Opmaakprofiel3 2 8 8 2 3" xfId="34040"/>
    <cellStyle name="Labels - Opmaakprofiel3 2 8 8 2 4" xfId="31655"/>
    <cellStyle name="Labels - Opmaakprofiel3 2 8 8 2 5" xfId="54655"/>
    <cellStyle name="Labels - Opmaakprofiel3 2 8 8 3" xfId="15225"/>
    <cellStyle name="Labels - Opmaakprofiel3 2 8 8 4" xfId="27277"/>
    <cellStyle name="Labels - Opmaakprofiel3 2 8 8 5" xfId="39513"/>
    <cellStyle name="Labels - Opmaakprofiel3 2 8 8 6" xfId="48745"/>
    <cellStyle name="Labels - Opmaakprofiel3 2 8 9" xfId="3643"/>
    <cellStyle name="Labels - Opmaakprofiel3 2 8 9 2" xfId="9691"/>
    <cellStyle name="Labels - Opmaakprofiel3 2 8 9 2 2" xfId="21989"/>
    <cellStyle name="Labels - Opmaakprofiel3 2 8 9 2 3" xfId="34041"/>
    <cellStyle name="Labels - Opmaakprofiel3 2 8 9 2 4" xfId="42586"/>
    <cellStyle name="Labels - Opmaakprofiel3 2 8 9 2 5" xfId="54656"/>
    <cellStyle name="Labels - Opmaakprofiel3 2 8 9 3" xfId="15226"/>
    <cellStyle name="Labels - Opmaakprofiel3 2 8 9 4" xfId="27278"/>
    <cellStyle name="Labels - Opmaakprofiel3 2 8 9 5" xfId="39512"/>
    <cellStyle name="Labels - Opmaakprofiel3 2 8 9 6" xfId="48746"/>
    <cellStyle name="Labels - Opmaakprofiel3 2 9" xfId="684"/>
    <cellStyle name="Labels - Opmaakprofiel3 2 9 10" xfId="5315"/>
    <cellStyle name="Labels - Opmaakprofiel3 2 9 10 2" xfId="9692"/>
    <cellStyle name="Labels - Opmaakprofiel3 2 9 10 2 2" xfId="21990"/>
    <cellStyle name="Labels - Opmaakprofiel3 2 9 10 2 3" xfId="34042"/>
    <cellStyle name="Labels - Opmaakprofiel3 2 9 10 2 4" xfId="28150"/>
    <cellStyle name="Labels - Opmaakprofiel3 2 9 10 2 5" xfId="54657"/>
    <cellStyle name="Labels - Opmaakprofiel3 2 9 10 3" xfId="15228"/>
    <cellStyle name="Labels - Opmaakprofiel3 2 9 10 4" xfId="27280"/>
    <cellStyle name="Labels - Opmaakprofiel3 2 9 10 5" xfId="39511"/>
    <cellStyle name="Labels - Opmaakprofiel3 2 9 10 6" xfId="48747"/>
    <cellStyle name="Labels - Opmaakprofiel3 2 9 11" xfId="5316"/>
    <cellStyle name="Labels - Opmaakprofiel3 2 9 11 2" xfId="9693"/>
    <cellStyle name="Labels - Opmaakprofiel3 2 9 11 2 2" xfId="21991"/>
    <cellStyle name="Labels - Opmaakprofiel3 2 9 11 2 3" xfId="34043"/>
    <cellStyle name="Labels - Opmaakprofiel3 2 9 11 2 4" xfId="31398"/>
    <cellStyle name="Labels - Opmaakprofiel3 2 9 11 2 5" xfId="54658"/>
    <cellStyle name="Labels - Opmaakprofiel3 2 9 11 3" xfId="15229"/>
    <cellStyle name="Labels - Opmaakprofiel3 2 9 11 4" xfId="27281"/>
    <cellStyle name="Labels - Opmaakprofiel3 2 9 11 5" xfId="45369"/>
    <cellStyle name="Labels - Opmaakprofiel3 2 9 11 6" xfId="48748"/>
    <cellStyle name="Labels - Opmaakprofiel3 2 9 12" xfId="5317"/>
    <cellStyle name="Labels - Opmaakprofiel3 2 9 12 2" xfId="15230"/>
    <cellStyle name="Labels - Opmaakprofiel3 2 9 12 3" xfId="27282"/>
    <cellStyle name="Labels - Opmaakprofiel3 2 9 12 4" xfId="39510"/>
    <cellStyle name="Labels - Opmaakprofiel3 2 9 12 5" xfId="48749"/>
    <cellStyle name="Labels - Opmaakprofiel3 2 9 13" xfId="7526"/>
    <cellStyle name="Labels - Opmaakprofiel3 2 9 13 2" xfId="19824"/>
    <cellStyle name="Labels - Opmaakprofiel3 2 9 13 3" xfId="41627"/>
    <cellStyle name="Labels - Opmaakprofiel3 2 9 13 4" xfId="43472"/>
    <cellStyle name="Labels - Opmaakprofiel3 2 9 13 5" xfId="52496"/>
    <cellStyle name="Labels - Opmaakprofiel3 2 9 14" xfId="15227"/>
    <cellStyle name="Labels - Opmaakprofiel3 2 9 2" xfId="857"/>
    <cellStyle name="Labels - Opmaakprofiel3 2 9 2 2" xfId="1442"/>
    <cellStyle name="Labels - Opmaakprofiel3 2 9 2 2 2" xfId="9694"/>
    <cellStyle name="Labels - Opmaakprofiel3 2 9 2 2 2 2" xfId="21992"/>
    <cellStyle name="Labels - Opmaakprofiel3 2 9 2 2 2 3" xfId="34044"/>
    <cellStyle name="Labels - Opmaakprofiel3 2 9 2 2 2 4" xfId="32073"/>
    <cellStyle name="Labels - Opmaakprofiel3 2 9 2 2 2 5" xfId="54659"/>
    <cellStyle name="Labels - Opmaakprofiel3 2 9 2 2 3" xfId="15232"/>
    <cellStyle name="Labels - Opmaakprofiel3 2 9 2 2 4" xfId="27284"/>
    <cellStyle name="Labels - Opmaakprofiel3 2 9 2 2 5" xfId="39509"/>
    <cellStyle name="Labels - Opmaakprofiel3 2 9 2 2 6" xfId="48750"/>
    <cellStyle name="Labels - Opmaakprofiel3 2 9 2 3" xfId="2868"/>
    <cellStyle name="Labels - Opmaakprofiel3 2 9 2 3 2" xfId="9695"/>
    <cellStyle name="Labels - Opmaakprofiel3 2 9 2 3 2 2" xfId="21993"/>
    <cellStyle name="Labels - Opmaakprofiel3 2 9 2 3 2 3" xfId="34045"/>
    <cellStyle name="Labels - Opmaakprofiel3 2 9 2 3 2 4" xfId="42585"/>
    <cellStyle name="Labels - Opmaakprofiel3 2 9 2 3 2 5" xfId="54660"/>
    <cellStyle name="Labels - Opmaakprofiel3 2 9 2 3 3" xfId="15233"/>
    <cellStyle name="Labels - Opmaakprofiel3 2 9 2 3 4" xfId="27285"/>
    <cellStyle name="Labels - Opmaakprofiel3 2 9 2 3 5" xfId="45367"/>
    <cellStyle name="Labels - Opmaakprofiel3 2 9 2 3 6" xfId="48751"/>
    <cellStyle name="Labels - Opmaakprofiel3 2 9 2 4" xfId="3721"/>
    <cellStyle name="Labels - Opmaakprofiel3 2 9 2 4 2" xfId="9696"/>
    <cellStyle name="Labels - Opmaakprofiel3 2 9 2 4 2 2" xfId="21994"/>
    <cellStyle name="Labels - Opmaakprofiel3 2 9 2 4 2 3" xfId="34046"/>
    <cellStyle name="Labels - Opmaakprofiel3 2 9 2 4 2 4" xfId="28155"/>
    <cellStyle name="Labels - Opmaakprofiel3 2 9 2 4 2 5" xfId="54661"/>
    <cellStyle name="Labels - Opmaakprofiel3 2 9 2 4 3" xfId="15234"/>
    <cellStyle name="Labels - Opmaakprofiel3 2 9 2 4 4" xfId="27286"/>
    <cellStyle name="Labels - Opmaakprofiel3 2 9 2 4 5" xfId="39508"/>
    <cellStyle name="Labels - Opmaakprofiel3 2 9 2 4 6" xfId="48752"/>
    <cellStyle name="Labels - Opmaakprofiel3 2 9 2 5" xfId="5318"/>
    <cellStyle name="Labels - Opmaakprofiel3 2 9 2 5 2" xfId="9697"/>
    <cellStyle name="Labels - Opmaakprofiel3 2 9 2 5 2 2" xfId="21995"/>
    <cellStyle name="Labels - Opmaakprofiel3 2 9 2 5 2 3" xfId="34047"/>
    <cellStyle name="Labels - Opmaakprofiel3 2 9 2 5 2 4" xfId="42584"/>
    <cellStyle name="Labels - Opmaakprofiel3 2 9 2 5 2 5" xfId="54662"/>
    <cellStyle name="Labels - Opmaakprofiel3 2 9 2 5 3" xfId="15235"/>
    <cellStyle name="Labels - Opmaakprofiel3 2 9 2 5 4" xfId="27287"/>
    <cellStyle name="Labels - Opmaakprofiel3 2 9 2 5 5" xfId="45366"/>
    <cellStyle name="Labels - Opmaakprofiel3 2 9 2 5 6" xfId="48753"/>
    <cellStyle name="Labels - Opmaakprofiel3 2 9 2 6" xfId="5319"/>
    <cellStyle name="Labels - Opmaakprofiel3 2 9 2 6 2" xfId="9698"/>
    <cellStyle name="Labels - Opmaakprofiel3 2 9 2 6 2 2" xfId="21996"/>
    <cellStyle name="Labels - Opmaakprofiel3 2 9 2 6 2 3" xfId="34048"/>
    <cellStyle name="Labels - Opmaakprofiel3 2 9 2 6 2 4" xfId="28156"/>
    <cellStyle name="Labels - Opmaakprofiel3 2 9 2 6 2 5" xfId="54663"/>
    <cellStyle name="Labels - Opmaakprofiel3 2 9 2 6 3" xfId="15236"/>
    <cellStyle name="Labels - Opmaakprofiel3 2 9 2 6 4" xfId="27288"/>
    <cellStyle name="Labels - Opmaakprofiel3 2 9 2 6 5" xfId="39507"/>
    <cellStyle name="Labels - Opmaakprofiel3 2 9 2 6 6" xfId="48754"/>
    <cellStyle name="Labels - Opmaakprofiel3 2 9 2 7" xfId="5320"/>
    <cellStyle name="Labels - Opmaakprofiel3 2 9 2 7 2" xfId="15237"/>
    <cellStyle name="Labels - Opmaakprofiel3 2 9 2 7 3" xfId="27289"/>
    <cellStyle name="Labels - Opmaakprofiel3 2 9 2 7 4" xfId="39506"/>
    <cellStyle name="Labels - Opmaakprofiel3 2 9 2 7 5" xfId="48755"/>
    <cellStyle name="Labels - Opmaakprofiel3 2 9 2 8" xfId="7407"/>
    <cellStyle name="Labels - Opmaakprofiel3 2 9 2 8 2" xfId="19705"/>
    <cellStyle name="Labels - Opmaakprofiel3 2 9 2 8 3" xfId="41508"/>
    <cellStyle name="Labels - Opmaakprofiel3 2 9 2 8 4" xfId="15574"/>
    <cellStyle name="Labels - Opmaakprofiel3 2 9 2 8 5" xfId="52377"/>
    <cellStyle name="Labels - Opmaakprofiel3 2 9 2 9" xfId="15231"/>
    <cellStyle name="Labels - Opmaakprofiel3 2 9 3" xfId="497"/>
    <cellStyle name="Labels - Opmaakprofiel3 2 9 3 2" xfId="1751"/>
    <cellStyle name="Labels - Opmaakprofiel3 2 9 3 2 2" xfId="9699"/>
    <cellStyle name="Labels - Opmaakprofiel3 2 9 3 2 2 2" xfId="21997"/>
    <cellStyle name="Labels - Opmaakprofiel3 2 9 3 2 2 3" xfId="34049"/>
    <cellStyle name="Labels - Opmaakprofiel3 2 9 3 2 2 4" xfId="42583"/>
    <cellStyle name="Labels - Opmaakprofiel3 2 9 3 2 2 5" xfId="54664"/>
    <cellStyle name="Labels - Opmaakprofiel3 2 9 3 2 3" xfId="15239"/>
    <cellStyle name="Labels - Opmaakprofiel3 2 9 3 2 4" xfId="27291"/>
    <cellStyle name="Labels - Opmaakprofiel3 2 9 3 2 5" xfId="45365"/>
    <cellStyle name="Labels - Opmaakprofiel3 2 9 3 2 6" xfId="48756"/>
    <cellStyle name="Labels - Opmaakprofiel3 2 9 3 3" xfId="2568"/>
    <cellStyle name="Labels - Opmaakprofiel3 2 9 3 3 2" xfId="9700"/>
    <cellStyle name="Labels - Opmaakprofiel3 2 9 3 3 2 2" xfId="21998"/>
    <cellStyle name="Labels - Opmaakprofiel3 2 9 3 3 2 3" xfId="34050"/>
    <cellStyle name="Labels - Opmaakprofiel3 2 9 3 3 2 4" xfId="31641"/>
    <cellStyle name="Labels - Opmaakprofiel3 2 9 3 3 2 5" xfId="54665"/>
    <cellStyle name="Labels - Opmaakprofiel3 2 9 3 3 3" xfId="15240"/>
    <cellStyle name="Labels - Opmaakprofiel3 2 9 3 3 4" xfId="27292"/>
    <cellStyle name="Labels - Opmaakprofiel3 2 9 3 3 5" xfId="39505"/>
    <cellStyle name="Labels - Opmaakprofiel3 2 9 3 3 6" xfId="48757"/>
    <cellStyle name="Labels - Opmaakprofiel3 2 9 3 4" xfId="3452"/>
    <cellStyle name="Labels - Opmaakprofiel3 2 9 3 4 2" xfId="9701"/>
    <cellStyle name="Labels - Opmaakprofiel3 2 9 3 4 2 2" xfId="21999"/>
    <cellStyle name="Labels - Opmaakprofiel3 2 9 3 4 2 3" xfId="34051"/>
    <cellStyle name="Labels - Opmaakprofiel3 2 9 3 4 2 4" xfId="42582"/>
    <cellStyle name="Labels - Opmaakprofiel3 2 9 3 4 2 5" xfId="54666"/>
    <cellStyle name="Labels - Opmaakprofiel3 2 9 3 4 3" xfId="15241"/>
    <cellStyle name="Labels - Opmaakprofiel3 2 9 3 4 4" xfId="27293"/>
    <cellStyle name="Labels - Opmaakprofiel3 2 9 3 4 5" xfId="45364"/>
    <cellStyle name="Labels - Opmaakprofiel3 2 9 3 4 6" xfId="48758"/>
    <cellStyle name="Labels - Opmaakprofiel3 2 9 3 5" xfId="5321"/>
    <cellStyle name="Labels - Opmaakprofiel3 2 9 3 5 2" xfId="9702"/>
    <cellStyle name="Labels - Opmaakprofiel3 2 9 3 5 2 2" xfId="22000"/>
    <cellStyle name="Labels - Opmaakprofiel3 2 9 3 5 2 3" xfId="34052"/>
    <cellStyle name="Labels - Opmaakprofiel3 2 9 3 5 2 4" xfId="28159"/>
    <cellStyle name="Labels - Opmaakprofiel3 2 9 3 5 2 5" xfId="54667"/>
    <cellStyle name="Labels - Opmaakprofiel3 2 9 3 5 3" xfId="15242"/>
    <cellStyle name="Labels - Opmaakprofiel3 2 9 3 5 4" xfId="27294"/>
    <cellStyle name="Labels - Opmaakprofiel3 2 9 3 5 5" xfId="39504"/>
    <cellStyle name="Labels - Opmaakprofiel3 2 9 3 5 6" xfId="48759"/>
    <cellStyle name="Labels - Opmaakprofiel3 2 9 3 6" xfId="5322"/>
    <cellStyle name="Labels - Opmaakprofiel3 2 9 3 6 2" xfId="9703"/>
    <cellStyle name="Labels - Opmaakprofiel3 2 9 3 6 2 2" xfId="22001"/>
    <cellStyle name="Labels - Opmaakprofiel3 2 9 3 6 2 3" xfId="34053"/>
    <cellStyle name="Labels - Opmaakprofiel3 2 9 3 6 2 4" xfId="42581"/>
    <cellStyle name="Labels - Opmaakprofiel3 2 9 3 6 2 5" xfId="54668"/>
    <cellStyle name="Labels - Opmaakprofiel3 2 9 3 6 3" xfId="15243"/>
    <cellStyle name="Labels - Opmaakprofiel3 2 9 3 6 4" xfId="27295"/>
    <cellStyle name="Labels - Opmaakprofiel3 2 9 3 6 5" xfId="45363"/>
    <cellStyle name="Labels - Opmaakprofiel3 2 9 3 6 6" xfId="48760"/>
    <cellStyle name="Labels - Opmaakprofiel3 2 9 3 7" xfId="5323"/>
    <cellStyle name="Labels - Opmaakprofiel3 2 9 3 7 2" xfId="15244"/>
    <cellStyle name="Labels - Opmaakprofiel3 2 9 3 7 3" xfId="27296"/>
    <cellStyle name="Labels - Opmaakprofiel3 2 9 3 7 4" xfId="39503"/>
    <cellStyle name="Labels - Opmaakprofiel3 2 9 3 7 5" xfId="48761"/>
    <cellStyle name="Labels - Opmaakprofiel3 2 9 3 8" xfId="10342"/>
    <cellStyle name="Labels - Opmaakprofiel3 2 9 3 8 2" xfId="22640"/>
    <cellStyle name="Labels - Opmaakprofiel3 2 9 3 8 3" xfId="44400"/>
    <cellStyle name="Labels - Opmaakprofiel3 2 9 3 8 4" xfId="31783"/>
    <cellStyle name="Labels - Opmaakprofiel3 2 9 3 8 5" xfId="55307"/>
    <cellStyle name="Labels - Opmaakprofiel3 2 9 3 9" xfId="15238"/>
    <cellStyle name="Labels - Opmaakprofiel3 2 9 4" xfId="476"/>
    <cellStyle name="Labels - Opmaakprofiel3 2 9 4 2" xfId="2182"/>
    <cellStyle name="Labels - Opmaakprofiel3 2 9 4 2 2" xfId="9704"/>
    <cellStyle name="Labels - Opmaakprofiel3 2 9 4 2 2 2" xfId="22002"/>
    <cellStyle name="Labels - Opmaakprofiel3 2 9 4 2 2 3" xfId="34054"/>
    <cellStyle name="Labels - Opmaakprofiel3 2 9 4 2 2 4" xfId="31428"/>
    <cellStyle name="Labels - Opmaakprofiel3 2 9 4 2 2 5" xfId="54669"/>
    <cellStyle name="Labels - Opmaakprofiel3 2 9 4 2 3" xfId="15246"/>
    <cellStyle name="Labels - Opmaakprofiel3 2 9 4 2 4" xfId="27298"/>
    <cellStyle name="Labels - Opmaakprofiel3 2 9 4 2 5" xfId="39502"/>
    <cellStyle name="Labels - Opmaakprofiel3 2 9 4 2 6" xfId="48762"/>
    <cellStyle name="Labels - Opmaakprofiel3 2 9 4 3" xfId="2547"/>
    <cellStyle name="Labels - Opmaakprofiel3 2 9 4 3 2" xfId="9705"/>
    <cellStyle name="Labels - Opmaakprofiel3 2 9 4 3 2 2" xfId="22003"/>
    <cellStyle name="Labels - Opmaakprofiel3 2 9 4 3 2 3" xfId="34055"/>
    <cellStyle name="Labels - Opmaakprofiel3 2 9 4 3 2 4" xfId="32079"/>
    <cellStyle name="Labels - Opmaakprofiel3 2 9 4 3 2 5" xfId="54670"/>
    <cellStyle name="Labels - Opmaakprofiel3 2 9 4 3 3" xfId="15247"/>
    <cellStyle name="Labels - Opmaakprofiel3 2 9 4 3 4" xfId="27299"/>
    <cellStyle name="Labels - Opmaakprofiel3 2 9 4 3 5" xfId="45361"/>
    <cellStyle name="Labels - Opmaakprofiel3 2 9 4 3 6" xfId="48763"/>
    <cellStyle name="Labels - Opmaakprofiel3 2 9 4 4" xfId="3433"/>
    <cellStyle name="Labels - Opmaakprofiel3 2 9 4 4 2" xfId="9706"/>
    <cellStyle name="Labels - Opmaakprofiel3 2 9 4 4 2 2" xfId="22004"/>
    <cellStyle name="Labels - Opmaakprofiel3 2 9 4 4 2 3" xfId="34056"/>
    <cellStyle name="Labels - Opmaakprofiel3 2 9 4 4 2 4" xfId="28164"/>
    <cellStyle name="Labels - Opmaakprofiel3 2 9 4 4 2 5" xfId="54671"/>
    <cellStyle name="Labels - Opmaakprofiel3 2 9 4 4 3" xfId="15248"/>
    <cellStyle name="Labels - Opmaakprofiel3 2 9 4 4 4" xfId="27300"/>
    <cellStyle name="Labels - Opmaakprofiel3 2 9 4 4 5" xfId="39501"/>
    <cellStyle name="Labels - Opmaakprofiel3 2 9 4 4 6" xfId="48764"/>
    <cellStyle name="Labels - Opmaakprofiel3 2 9 4 5" xfId="5324"/>
    <cellStyle name="Labels - Opmaakprofiel3 2 9 4 5 2" xfId="9707"/>
    <cellStyle name="Labels - Opmaakprofiel3 2 9 4 5 2 2" xfId="22005"/>
    <cellStyle name="Labels - Opmaakprofiel3 2 9 4 5 2 3" xfId="34057"/>
    <cellStyle name="Labels - Opmaakprofiel3 2 9 4 5 2 4" xfId="42580"/>
    <cellStyle name="Labels - Opmaakprofiel3 2 9 4 5 2 5" xfId="54672"/>
    <cellStyle name="Labels - Opmaakprofiel3 2 9 4 5 3" xfId="15249"/>
    <cellStyle name="Labels - Opmaakprofiel3 2 9 4 5 4" xfId="27301"/>
    <cellStyle name="Labels - Opmaakprofiel3 2 9 4 5 5" xfId="39500"/>
    <cellStyle name="Labels - Opmaakprofiel3 2 9 4 5 6" xfId="48765"/>
    <cellStyle name="Labels - Opmaakprofiel3 2 9 4 6" xfId="5325"/>
    <cellStyle name="Labels - Opmaakprofiel3 2 9 4 6 2" xfId="9708"/>
    <cellStyle name="Labels - Opmaakprofiel3 2 9 4 6 2 2" xfId="22006"/>
    <cellStyle name="Labels - Opmaakprofiel3 2 9 4 6 2 3" xfId="34058"/>
    <cellStyle name="Labels - Opmaakprofiel3 2 9 4 6 2 4" xfId="28165"/>
    <cellStyle name="Labels - Opmaakprofiel3 2 9 4 6 2 5" xfId="54673"/>
    <cellStyle name="Labels - Opmaakprofiel3 2 9 4 6 3" xfId="15250"/>
    <cellStyle name="Labels - Opmaakprofiel3 2 9 4 6 4" xfId="27302"/>
    <cellStyle name="Labels - Opmaakprofiel3 2 9 4 6 5" xfId="39499"/>
    <cellStyle name="Labels - Opmaakprofiel3 2 9 4 6 6" xfId="48766"/>
    <cellStyle name="Labels - Opmaakprofiel3 2 9 4 7" xfId="5326"/>
    <cellStyle name="Labels - Opmaakprofiel3 2 9 4 7 2" xfId="15251"/>
    <cellStyle name="Labels - Opmaakprofiel3 2 9 4 7 3" xfId="27303"/>
    <cellStyle name="Labels - Opmaakprofiel3 2 9 4 7 4" xfId="45360"/>
    <cellStyle name="Labels - Opmaakprofiel3 2 9 4 7 5" xfId="48767"/>
    <cellStyle name="Labels - Opmaakprofiel3 2 9 4 8" xfId="7665"/>
    <cellStyle name="Labels - Opmaakprofiel3 2 9 4 8 2" xfId="19963"/>
    <cellStyle name="Labels - Opmaakprofiel3 2 9 4 8 3" xfId="41766"/>
    <cellStyle name="Labels - Opmaakprofiel3 2 9 4 8 4" xfId="43414"/>
    <cellStyle name="Labels - Opmaakprofiel3 2 9 4 8 5" xfId="52635"/>
    <cellStyle name="Labels - Opmaakprofiel3 2 9 4 9" xfId="15245"/>
    <cellStyle name="Labels - Opmaakprofiel3 2 9 5" xfId="1150"/>
    <cellStyle name="Labels - Opmaakprofiel3 2 9 5 2" xfId="1756"/>
    <cellStyle name="Labels - Opmaakprofiel3 2 9 5 2 2" xfId="9709"/>
    <cellStyle name="Labels - Opmaakprofiel3 2 9 5 2 2 2" xfId="22007"/>
    <cellStyle name="Labels - Opmaakprofiel3 2 9 5 2 2 3" xfId="34059"/>
    <cellStyle name="Labels - Opmaakprofiel3 2 9 5 2 2 4" xfId="42579"/>
    <cellStyle name="Labels - Opmaakprofiel3 2 9 5 2 2 5" xfId="54674"/>
    <cellStyle name="Labels - Opmaakprofiel3 2 9 5 2 3" xfId="15253"/>
    <cellStyle name="Labels - Opmaakprofiel3 2 9 5 2 4" xfId="27305"/>
    <cellStyle name="Labels - Opmaakprofiel3 2 9 5 2 5" xfId="45359"/>
    <cellStyle name="Labels - Opmaakprofiel3 2 9 5 2 6" xfId="48768"/>
    <cellStyle name="Labels - Opmaakprofiel3 2 9 5 3" xfId="3161"/>
    <cellStyle name="Labels - Opmaakprofiel3 2 9 5 3 2" xfId="9710"/>
    <cellStyle name="Labels - Opmaakprofiel3 2 9 5 3 2 2" xfId="22008"/>
    <cellStyle name="Labels - Opmaakprofiel3 2 9 5 3 2 3" xfId="34060"/>
    <cellStyle name="Labels - Opmaakprofiel3 2 9 5 3 2 4" xfId="31915"/>
    <cellStyle name="Labels - Opmaakprofiel3 2 9 5 3 2 5" xfId="54675"/>
    <cellStyle name="Labels - Opmaakprofiel3 2 9 5 3 3" xfId="15254"/>
    <cellStyle name="Labels - Opmaakprofiel3 2 9 5 3 4" xfId="27306"/>
    <cellStyle name="Labels - Opmaakprofiel3 2 9 5 3 5" xfId="39497"/>
    <cellStyle name="Labels - Opmaakprofiel3 2 9 5 3 6" xfId="48769"/>
    <cellStyle name="Labels - Opmaakprofiel3 2 9 5 4" xfId="3983"/>
    <cellStyle name="Labels - Opmaakprofiel3 2 9 5 4 2" xfId="9711"/>
    <cellStyle name="Labels - Opmaakprofiel3 2 9 5 4 2 2" xfId="22009"/>
    <cellStyle name="Labels - Opmaakprofiel3 2 9 5 4 2 3" xfId="34061"/>
    <cellStyle name="Labels - Opmaakprofiel3 2 9 5 4 2 4" xfId="42578"/>
    <cellStyle name="Labels - Opmaakprofiel3 2 9 5 4 2 5" xfId="54676"/>
    <cellStyle name="Labels - Opmaakprofiel3 2 9 5 4 3" xfId="15255"/>
    <cellStyle name="Labels - Opmaakprofiel3 2 9 5 4 4" xfId="27307"/>
    <cellStyle name="Labels - Opmaakprofiel3 2 9 5 4 5" xfId="45358"/>
    <cellStyle name="Labels - Opmaakprofiel3 2 9 5 4 6" xfId="48770"/>
    <cellStyle name="Labels - Opmaakprofiel3 2 9 5 5" xfId="5327"/>
    <cellStyle name="Labels - Opmaakprofiel3 2 9 5 5 2" xfId="9712"/>
    <cellStyle name="Labels - Opmaakprofiel3 2 9 5 5 2 2" xfId="22010"/>
    <cellStyle name="Labels - Opmaakprofiel3 2 9 5 5 2 3" xfId="34062"/>
    <cellStyle name="Labels - Opmaakprofiel3 2 9 5 5 2 4" xfId="28168"/>
    <cellStyle name="Labels - Opmaakprofiel3 2 9 5 5 2 5" xfId="54677"/>
    <cellStyle name="Labels - Opmaakprofiel3 2 9 5 5 3" xfId="15256"/>
    <cellStyle name="Labels - Opmaakprofiel3 2 9 5 5 4" xfId="27308"/>
    <cellStyle name="Labels - Opmaakprofiel3 2 9 5 5 5" xfId="39496"/>
    <cellStyle name="Labels - Opmaakprofiel3 2 9 5 5 6" xfId="48771"/>
    <cellStyle name="Labels - Opmaakprofiel3 2 9 5 6" xfId="5328"/>
    <cellStyle name="Labels - Opmaakprofiel3 2 9 5 6 2" xfId="9713"/>
    <cellStyle name="Labels - Opmaakprofiel3 2 9 5 6 2 2" xfId="22011"/>
    <cellStyle name="Labels - Opmaakprofiel3 2 9 5 6 2 3" xfId="34063"/>
    <cellStyle name="Labels - Opmaakprofiel3 2 9 5 6 2 4" xfId="42577"/>
    <cellStyle name="Labels - Opmaakprofiel3 2 9 5 6 2 5" xfId="54678"/>
    <cellStyle name="Labels - Opmaakprofiel3 2 9 5 6 3" xfId="15257"/>
    <cellStyle name="Labels - Opmaakprofiel3 2 9 5 6 4" xfId="27309"/>
    <cellStyle name="Labels - Opmaakprofiel3 2 9 5 6 5" xfId="45357"/>
    <cellStyle name="Labels - Opmaakprofiel3 2 9 5 6 6" xfId="48772"/>
    <cellStyle name="Labels - Opmaakprofiel3 2 9 5 7" xfId="5329"/>
    <cellStyle name="Labels - Opmaakprofiel3 2 9 5 7 2" xfId="15258"/>
    <cellStyle name="Labels - Opmaakprofiel3 2 9 5 7 3" xfId="27310"/>
    <cellStyle name="Labels - Opmaakprofiel3 2 9 5 7 4" xfId="39495"/>
    <cellStyle name="Labels - Opmaakprofiel3 2 9 5 7 5" xfId="48773"/>
    <cellStyle name="Labels - Opmaakprofiel3 2 9 5 8" xfId="7209"/>
    <cellStyle name="Labels - Opmaakprofiel3 2 9 5 8 2" xfId="19507"/>
    <cellStyle name="Labels - Opmaakprofiel3 2 9 5 8 3" xfId="41310"/>
    <cellStyle name="Labels - Opmaakprofiel3 2 9 5 8 4" xfId="36912"/>
    <cellStyle name="Labels - Opmaakprofiel3 2 9 5 8 5" xfId="52179"/>
    <cellStyle name="Labels - Opmaakprofiel3 2 9 5 9" xfId="15252"/>
    <cellStyle name="Labels - Opmaakprofiel3 2 9 6" xfId="1249"/>
    <cellStyle name="Labels - Opmaakprofiel3 2 9 6 2" xfId="1996"/>
    <cellStyle name="Labels - Opmaakprofiel3 2 9 6 2 2" xfId="9714"/>
    <cellStyle name="Labels - Opmaakprofiel3 2 9 6 2 2 2" xfId="22012"/>
    <cellStyle name="Labels - Opmaakprofiel3 2 9 6 2 2 3" xfId="34064"/>
    <cellStyle name="Labels - Opmaakprofiel3 2 9 6 2 2 4" xfId="31433"/>
    <cellStyle name="Labels - Opmaakprofiel3 2 9 6 2 2 5" xfId="54679"/>
    <cellStyle name="Labels - Opmaakprofiel3 2 9 6 2 3" xfId="15260"/>
    <cellStyle name="Labels - Opmaakprofiel3 2 9 6 2 4" xfId="27312"/>
    <cellStyle name="Labels - Opmaakprofiel3 2 9 6 2 5" xfId="39494"/>
    <cellStyle name="Labels - Opmaakprofiel3 2 9 6 2 6" xfId="48774"/>
    <cellStyle name="Labels - Opmaakprofiel3 2 9 6 3" xfId="3260"/>
    <cellStyle name="Labels - Opmaakprofiel3 2 9 6 3 2" xfId="9715"/>
    <cellStyle name="Labels - Opmaakprofiel3 2 9 6 3 2 2" xfId="22013"/>
    <cellStyle name="Labels - Opmaakprofiel3 2 9 6 3 2 3" xfId="34065"/>
    <cellStyle name="Labels - Opmaakprofiel3 2 9 6 3 2 4" xfId="42576"/>
    <cellStyle name="Labels - Opmaakprofiel3 2 9 6 3 2 5" xfId="54680"/>
    <cellStyle name="Labels - Opmaakprofiel3 2 9 6 3 3" xfId="15261"/>
    <cellStyle name="Labels - Opmaakprofiel3 2 9 6 3 4" xfId="27313"/>
    <cellStyle name="Labels - Opmaakprofiel3 2 9 6 3 5" xfId="39493"/>
    <cellStyle name="Labels - Opmaakprofiel3 2 9 6 3 6" xfId="48775"/>
    <cellStyle name="Labels - Opmaakprofiel3 2 9 6 4" xfId="4072"/>
    <cellStyle name="Labels - Opmaakprofiel3 2 9 6 4 2" xfId="9716"/>
    <cellStyle name="Labels - Opmaakprofiel3 2 9 6 4 2 2" xfId="22014"/>
    <cellStyle name="Labels - Opmaakprofiel3 2 9 6 4 2 3" xfId="34066"/>
    <cellStyle name="Labels - Opmaakprofiel3 2 9 6 4 2 4" xfId="32102"/>
    <cellStyle name="Labels - Opmaakprofiel3 2 9 6 4 2 5" xfId="54681"/>
    <cellStyle name="Labels - Opmaakprofiel3 2 9 6 4 3" xfId="15262"/>
    <cellStyle name="Labels - Opmaakprofiel3 2 9 6 4 4" xfId="27314"/>
    <cellStyle name="Labels - Opmaakprofiel3 2 9 6 4 5" xfId="39492"/>
    <cellStyle name="Labels - Opmaakprofiel3 2 9 6 4 6" xfId="48776"/>
    <cellStyle name="Labels - Opmaakprofiel3 2 9 6 5" xfId="5330"/>
    <cellStyle name="Labels - Opmaakprofiel3 2 9 6 5 2" xfId="9717"/>
    <cellStyle name="Labels - Opmaakprofiel3 2 9 6 5 2 2" xfId="22015"/>
    <cellStyle name="Labels - Opmaakprofiel3 2 9 6 5 2 3" xfId="34067"/>
    <cellStyle name="Labels - Opmaakprofiel3 2 9 6 5 2 4" xfId="28173"/>
    <cellStyle name="Labels - Opmaakprofiel3 2 9 6 5 2 5" xfId="54682"/>
    <cellStyle name="Labels - Opmaakprofiel3 2 9 6 5 3" xfId="15263"/>
    <cellStyle name="Labels - Opmaakprofiel3 2 9 6 5 4" xfId="27315"/>
    <cellStyle name="Labels - Opmaakprofiel3 2 9 6 5 5" xfId="45355"/>
    <cellStyle name="Labels - Opmaakprofiel3 2 9 6 5 6" xfId="48777"/>
    <cellStyle name="Labels - Opmaakprofiel3 2 9 6 6" xfId="5331"/>
    <cellStyle name="Labels - Opmaakprofiel3 2 9 6 6 2" xfId="9718"/>
    <cellStyle name="Labels - Opmaakprofiel3 2 9 6 6 2 2" xfId="22016"/>
    <cellStyle name="Labels - Opmaakprofiel3 2 9 6 6 2 3" xfId="34068"/>
    <cellStyle name="Labels - Opmaakprofiel3 2 9 6 6 2 4" xfId="34262"/>
    <cellStyle name="Labels - Opmaakprofiel3 2 9 6 6 2 5" xfId="54683"/>
    <cellStyle name="Labels - Opmaakprofiel3 2 9 6 6 3" xfId="15264"/>
    <cellStyle name="Labels - Opmaakprofiel3 2 9 6 6 4" xfId="27316"/>
    <cellStyle name="Labels - Opmaakprofiel3 2 9 6 6 5" xfId="39491"/>
    <cellStyle name="Labels - Opmaakprofiel3 2 9 6 6 6" xfId="48778"/>
    <cellStyle name="Labels - Opmaakprofiel3 2 9 6 7" xfId="5332"/>
    <cellStyle name="Labels - Opmaakprofiel3 2 9 6 7 2" xfId="15265"/>
    <cellStyle name="Labels - Opmaakprofiel3 2 9 6 7 3" xfId="27317"/>
    <cellStyle name="Labels - Opmaakprofiel3 2 9 6 7 4" xfId="45354"/>
    <cellStyle name="Labels - Opmaakprofiel3 2 9 6 7 5" xfId="48779"/>
    <cellStyle name="Labels - Opmaakprofiel3 2 9 6 8" xfId="7125"/>
    <cellStyle name="Labels - Opmaakprofiel3 2 9 6 8 2" xfId="19423"/>
    <cellStyle name="Labels - Opmaakprofiel3 2 9 6 8 3" xfId="41226"/>
    <cellStyle name="Labels - Opmaakprofiel3 2 9 6 8 4" xfId="43640"/>
    <cellStyle name="Labels - Opmaakprofiel3 2 9 6 8 5" xfId="52096"/>
    <cellStyle name="Labels - Opmaakprofiel3 2 9 6 9" xfId="15259"/>
    <cellStyle name="Labels - Opmaakprofiel3 2 9 7" xfId="1930"/>
    <cellStyle name="Labels - Opmaakprofiel3 2 9 7 2" xfId="9719"/>
    <cellStyle name="Labels - Opmaakprofiel3 2 9 7 2 2" xfId="22017"/>
    <cellStyle name="Labels - Opmaakprofiel3 2 9 7 2 3" xfId="34069"/>
    <cellStyle name="Labels - Opmaakprofiel3 2 9 7 2 4" xfId="42575"/>
    <cellStyle name="Labels - Opmaakprofiel3 2 9 7 2 5" xfId="54684"/>
    <cellStyle name="Labels - Opmaakprofiel3 2 9 7 3" xfId="15266"/>
    <cellStyle name="Labels - Opmaakprofiel3 2 9 7 4" xfId="27318"/>
    <cellStyle name="Labels - Opmaakprofiel3 2 9 7 5" xfId="39490"/>
    <cellStyle name="Labels - Opmaakprofiel3 2 9 7 6" xfId="48780"/>
    <cellStyle name="Labels - Opmaakprofiel3 2 9 8" xfId="2749"/>
    <cellStyle name="Labels - Opmaakprofiel3 2 9 8 2" xfId="9720"/>
    <cellStyle name="Labels - Opmaakprofiel3 2 9 8 2 2" xfId="22018"/>
    <cellStyle name="Labels - Opmaakprofiel3 2 9 8 2 3" xfId="34070"/>
    <cellStyle name="Labels - Opmaakprofiel3 2 9 8 2 4" xfId="32117"/>
    <cellStyle name="Labels - Opmaakprofiel3 2 9 8 2 5" xfId="54685"/>
    <cellStyle name="Labels - Opmaakprofiel3 2 9 8 3" xfId="15267"/>
    <cellStyle name="Labels - Opmaakprofiel3 2 9 8 4" xfId="27319"/>
    <cellStyle name="Labels - Opmaakprofiel3 2 9 8 5" xfId="45353"/>
    <cellStyle name="Labels - Opmaakprofiel3 2 9 8 6" xfId="48781"/>
    <cellStyle name="Labels - Opmaakprofiel3 2 9 9" xfId="3611"/>
    <cellStyle name="Labels - Opmaakprofiel3 2 9 9 2" xfId="9721"/>
    <cellStyle name="Labels - Opmaakprofiel3 2 9 9 2 2" xfId="22019"/>
    <cellStyle name="Labels - Opmaakprofiel3 2 9 9 2 3" xfId="34071"/>
    <cellStyle name="Labels - Opmaakprofiel3 2 9 9 2 4" xfId="42574"/>
    <cellStyle name="Labels - Opmaakprofiel3 2 9 9 2 5" xfId="54686"/>
    <cellStyle name="Labels - Opmaakprofiel3 2 9 9 3" xfId="15268"/>
    <cellStyle name="Labels - Opmaakprofiel3 2 9 9 4" xfId="27320"/>
    <cellStyle name="Labels - Opmaakprofiel3 2 9 9 5" xfId="39489"/>
    <cellStyle name="Labels - Opmaakprofiel3 2 9 9 6" xfId="48782"/>
    <cellStyle name="Labels - Opmaakprofiel3 3" xfId="285"/>
    <cellStyle name="Labels - Opmaakprofiel3 3 10" xfId="1362"/>
    <cellStyle name="Labels - Opmaakprofiel3 3 10 2" xfId="1407"/>
    <cellStyle name="Labels - Opmaakprofiel3 3 10 2 2" xfId="9722"/>
    <cellStyle name="Labels - Opmaakprofiel3 3 10 2 2 2" xfId="22020"/>
    <cellStyle name="Labels - Opmaakprofiel3 3 10 2 2 3" xfId="34072"/>
    <cellStyle name="Labels - Opmaakprofiel3 3 10 2 2 4" xfId="28178"/>
    <cellStyle name="Labels - Opmaakprofiel3 3 10 2 2 5" xfId="54687"/>
    <cellStyle name="Labels - Opmaakprofiel3 3 10 2 3" xfId="15271"/>
    <cellStyle name="Labels - Opmaakprofiel3 3 10 2 4" xfId="27323"/>
    <cellStyle name="Labels - Opmaakprofiel3 3 10 2 5" xfId="45351"/>
    <cellStyle name="Labels - Opmaakprofiel3 3 10 2 6" xfId="48783"/>
    <cellStyle name="Labels - Opmaakprofiel3 3 10 3" xfId="3373"/>
    <cellStyle name="Labels - Opmaakprofiel3 3 10 3 2" xfId="9723"/>
    <cellStyle name="Labels - Opmaakprofiel3 3 10 3 2 2" xfId="22021"/>
    <cellStyle name="Labels - Opmaakprofiel3 3 10 3 2 3" xfId="34073"/>
    <cellStyle name="Labels - Opmaakprofiel3 3 10 3 2 4" xfId="28179"/>
    <cellStyle name="Labels - Opmaakprofiel3 3 10 3 2 5" xfId="54688"/>
    <cellStyle name="Labels - Opmaakprofiel3 3 10 3 3" xfId="15272"/>
    <cellStyle name="Labels - Opmaakprofiel3 3 10 3 4" xfId="27324"/>
    <cellStyle name="Labels - Opmaakprofiel3 3 10 3 5" xfId="39487"/>
    <cellStyle name="Labels - Opmaakprofiel3 3 10 3 6" xfId="48784"/>
    <cellStyle name="Labels - Opmaakprofiel3 3 10 4" xfId="4134"/>
    <cellStyle name="Labels - Opmaakprofiel3 3 10 4 2" xfId="9724"/>
    <cellStyle name="Labels - Opmaakprofiel3 3 10 4 2 2" xfId="22022"/>
    <cellStyle name="Labels - Opmaakprofiel3 3 10 4 2 3" xfId="34074"/>
    <cellStyle name="Labels - Opmaakprofiel3 3 10 4 2 4" xfId="28180"/>
    <cellStyle name="Labels - Opmaakprofiel3 3 10 4 2 5" xfId="54689"/>
    <cellStyle name="Labels - Opmaakprofiel3 3 10 4 3" xfId="15273"/>
    <cellStyle name="Labels - Opmaakprofiel3 3 10 4 4" xfId="27325"/>
    <cellStyle name="Labels - Opmaakprofiel3 3 10 4 5" xfId="39486"/>
    <cellStyle name="Labels - Opmaakprofiel3 3 10 4 6" xfId="48785"/>
    <cellStyle name="Labels - Opmaakprofiel3 3 10 5" xfId="5333"/>
    <cellStyle name="Labels - Opmaakprofiel3 3 10 5 2" xfId="9725"/>
    <cellStyle name="Labels - Opmaakprofiel3 3 10 5 2 2" xfId="22023"/>
    <cellStyle name="Labels - Opmaakprofiel3 3 10 5 2 3" xfId="34075"/>
    <cellStyle name="Labels - Opmaakprofiel3 3 10 5 2 4" xfId="42573"/>
    <cellStyle name="Labels - Opmaakprofiel3 3 10 5 2 5" xfId="54690"/>
    <cellStyle name="Labels - Opmaakprofiel3 3 10 5 3" xfId="15274"/>
    <cellStyle name="Labels - Opmaakprofiel3 3 10 5 4" xfId="27326"/>
    <cellStyle name="Labels - Opmaakprofiel3 3 10 5 5" xfId="39485"/>
    <cellStyle name="Labels - Opmaakprofiel3 3 10 5 6" xfId="48786"/>
    <cellStyle name="Labels - Opmaakprofiel3 3 10 6" xfId="5334"/>
    <cellStyle name="Labels - Opmaakprofiel3 3 10 6 2" xfId="9726"/>
    <cellStyle name="Labels - Opmaakprofiel3 3 10 6 2 2" xfId="22024"/>
    <cellStyle name="Labels - Opmaakprofiel3 3 10 6 2 3" xfId="34076"/>
    <cellStyle name="Labels - Opmaakprofiel3 3 10 6 2 4" xfId="34570"/>
    <cellStyle name="Labels - Opmaakprofiel3 3 10 6 2 5" xfId="54691"/>
    <cellStyle name="Labels - Opmaakprofiel3 3 10 6 3" xfId="15275"/>
    <cellStyle name="Labels - Opmaakprofiel3 3 10 6 4" xfId="27327"/>
    <cellStyle name="Labels - Opmaakprofiel3 3 10 6 5" xfId="45350"/>
    <cellStyle name="Labels - Opmaakprofiel3 3 10 6 6" xfId="48787"/>
    <cellStyle name="Labels - Opmaakprofiel3 3 10 7" xfId="5335"/>
    <cellStyle name="Labels - Opmaakprofiel3 3 10 7 2" xfId="15276"/>
    <cellStyle name="Labels - Opmaakprofiel3 3 10 7 3" xfId="27328"/>
    <cellStyle name="Labels - Opmaakprofiel3 3 10 7 4" xfId="39484"/>
    <cellStyle name="Labels - Opmaakprofiel3 3 10 7 5" xfId="48788"/>
    <cellStyle name="Labels - Opmaakprofiel3 3 10 8" xfId="7022"/>
    <cellStyle name="Labels - Opmaakprofiel3 3 10 8 2" xfId="19320"/>
    <cellStyle name="Labels - Opmaakprofiel3 3 10 8 3" xfId="41123"/>
    <cellStyle name="Labels - Opmaakprofiel3 3 10 8 4" xfId="37021"/>
    <cellStyle name="Labels - Opmaakprofiel3 3 10 8 5" xfId="51993"/>
    <cellStyle name="Labels - Opmaakprofiel3 3 10 9" xfId="15270"/>
    <cellStyle name="Labels - Opmaakprofiel3 3 11" xfId="1479"/>
    <cellStyle name="Labels - Opmaakprofiel3 3 11 2" xfId="9727"/>
    <cellStyle name="Labels - Opmaakprofiel3 3 11 2 2" xfId="22025"/>
    <cellStyle name="Labels - Opmaakprofiel3 3 11 2 3" xfId="34077"/>
    <cellStyle name="Labels - Opmaakprofiel3 3 11 2 4" xfId="42572"/>
    <cellStyle name="Labels - Opmaakprofiel3 3 11 2 5" xfId="54692"/>
    <cellStyle name="Labels - Opmaakprofiel3 3 11 3" xfId="15277"/>
    <cellStyle name="Labels - Opmaakprofiel3 3 11 4" xfId="27329"/>
    <cellStyle name="Labels - Opmaakprofiel3 3 11 5" xfId="39483"/>
    <cellStyle name="Labels - Opmaakprofiel3 3 11 6" xfId="48789"/>
    <cellStyle name="Labels - Opmaakprofiel3 3 12" xfId="2245"/>
    <cellStyle name="Labels - Opmaakprofiel3 3 12 2" xfId="9728"/>
    <cellStyle name="Labels - Opmaakprofiel3 3 12 2 2" xfId="22026"/>
    <cellStyle name="Labels - Opmaakprofiel3 3 12 2 3" xfId="34078"/>
    <cellStyle name="Labels - Opmaakprofiel3 3 12 2 4" xfId="28183"/>
    <cellStyle name="Labels - Opmaakprofiel3 3 12 2 5" xfId="54693"/>
    <cellStyle name="Labels - Opmaakprofiel3 3 12 3" xfId="15278"/>
    <cellStyle name="Labels - Opmaakprofiel3 3 12 4" xfId="27330"/>
    <cellStyle name="Labels - Opmaakprofiel3 3 12 5" xfId="45349"/>
    <cellStyle name="Labels - Opmaakprofiel3 3 12 6" xfId="48790"/>
    <cellStyle name="Labels - Opmaakprofiel3 3 13" xfId="1939"/>
    <cellStyle name="Labels - Opmaakprofiel3 3 13 2" xfId="9729"/>
    <cellStyle name="Labels - Opmaakprofiel3 3 13 2 2" xfId="22027"/>
    <cellStyle name="Labels - Opmaakprofiel3 3 13 2 3" xfId="34079"/>
    <cellStyle name="Labels - Opmaakprofiel3 3 13 2 4" xfId="42571"/>
    <cellStyle name="Labels - Opmaakprofiel3 3 13 2 5" xfId="54694"/>
    <cellStyle name="Labels - Opmaakprofiel3 3 13 3" xfId="15279"/>
    <cellStyle name="Labels - Opmaakprofiel3 3 13 4" xfId="27331"/>
    <cellStyle name="Labels - Opmaakprofiel3 3 13 5" xfId="39482"/>
    <cellStyle name="Labels - Opmaakprofiel3 3 13 6" xfId="48791"/>
    <cellStyle name="Labels - Opmaakprofiel3 3 14" xfId="5336"/>
    <cellStyle name="Labels - Opmaakprofiel3 3 14 2" xfId="9730"/>
    <cellStyle name="Labels - Opmaakprofiel3 3 14 2 2" xfId="22028"/>
    <cellStyle name="Labels - Opmaakprofiel3 3 14 2 3" xfId="34080"/>
    <cellStyle name="Labels - Opmaakprofiel3 3 14 2 4" xfId="31392"/>
    <cellStyle name="Labels - Opmaakprofiel3 3 14 2 5" xfId="54695"/>
    <cellStyle name="Labels - Opmaakprofiel3 3 14 3" xfId="15280"/>
    <cellStyle name="Labels - Opmaakprofiel3 3 14 4" xfId="27332"/>
    <cellStyle name="Labels - Opmaakprofiel3 3 14 5" xfId="45348"/>
    <cellStyle name="Labels - Opmaakprofiel3 3 14 6" xfId="48792"/>
    <cellStyle name="Labels - Opmaakprofiel3 3 15" xfId="5337"/>
    <cellStyle name="Labels - Opmaakprofiel3 3 15 2" xfId="9731"/>
    <cellStyle name="Labels - Opmaakprofiel3 3 15 2 2" xfId="22029"/>
    <cellStyle name="Labels - Opmaakprofiel3 3 15 2 3" xfId="34081"/>
    <cellStyle name="Labels - Opmaakprofiel3 3 15 2 4" xfId="42570"/>
    <cellStyle name="Labels - Opmaakprofiel3 3 15 2 5" xfId="54696"/>
    <cellStyle name="Labels - Opmaakprofiel3 3 15 3" xfId="15281"/>
    <cellStyle name="Labels - Opmaakprofiel3 3 15 4" xfId="27333"/>
    <cellStyle name="Labels - Opmaakprofiel3 3 15 5" xfId="39481"/>
    <cellStyle name="Labels - Opmaakprofiel3 3 15 6" xfId="48793"/>
    <cellStyle name="Labels - Opmaakprofiel3 3 16" xfId="5338"/>
    <cellStyle name="Labels - Opmaakprofiel3 3 16 2" xfId="15282"/>
    <cellStyle name="Labels - Opmaakprofiel3 3 16 3" xfId="27334"/>
    <cellStyle name="Labels - Opmaakprofiel3 3 16 4" xfId="45347"/>
    <cellStyle name="Labels - Opmaakprofiel3 3 16 5" xfId="48794"/>
    <cellStyle name="Labels - Opmaakprofiel3 3 17" xfId="7765"/>
    <cellStyle name="Labels - Opmaakprofiel3 3 17 2" xfId="20063"/>
    <cellStyle name="Labels - Opmaakprofiel3 3 17 3" xfId="41866"/>
    <cellStyle name="Labels - Opmaakprofiel3 3 17 4" xfId="25227"/>
    <cellStyle name="Labels - Opmaakprofiel3 3 17 5" xfId="52735"/>
    <cellStyle name="Labels - Opmaakprofiel3 3 18" xfId="15269"/>
    <cellStyle name="Labels - Opmaakprofiel3 3 2" xfId="340"/>
    <cellStyle name="Labels - Opmaakprofiel3 3 2 10" xfId="2365"/>
    <cellStyle name="Labels - Opmaakprofiel3 3 2 10 2" xfId="9732"/>
    <cellStyle name="Labels - Opmaakprofiel3 3 2 10 2 2" xfId="22030"/>
    <cellStyle name="Labels - Opmaakprofiel3 3 2 10 2 3" xfId="34082"/>
    <cellStyle name="Labels - Opmaakprofiel3 3 2 10 2 4" xfId="32067"/>
    <cellStyle name="Labels - Opmaakprofiel3 3 2 10 2 5" xfId="54697"/>
    <cellStyle name="Labels - Opmaakprofiel3 3 2 10 3" xfId="15284"/>
    <cellStyle name="Labels - Opmaakprofiel3 3 2 10 4" xfId="27336"/>
    <cellStyle name="Labels - Opmaakprofiel3 3 2 10 5" xfId="45346"/>
    <cellStyle name="Labels - Opmaakprofiel3 3 2 10 6" xfId="48795"/>
    <cellStyle name="Labels - Opmaakprofiel3 3 2 11" xfId="1783"/>
    <cellStyle name="Labels - Opmaakprofiel3 3 2 11 2" xfId="9733"/>
    <cellStyle name="Labels - Opmaakprofiel3 3 2 11 2 2" xfId="22031"/>
    <cellStyle name="Labels - Opmaakprofiel3 3 2 11 2 3" xfId="34083"/>
    <cellStyle name="Labels - Opmaakprofiel3 3 2 11 2 4" xfId="42569"/>
    <cellStyle name="Labels - Opmaakprofiel3 3 2 11 2 5" xfId="54698"/>
    <cellStyle name="Labels - Opmaakprofiel3 3 2 11 3" xfId="15285"/>
    <cellStyle name="Labels - Opmaakprofiel3 3 2 11 4" xfId="27337"/>
    <cellStyle name="Labels - Opmaakprofiel3 3 2 11 5" xfId="39479"/>
    <cellStyle name="Labels - Opmaakprofiel3 3 2 11 6" xfId="48796"/>
    <cellStyle name="Labels - Opmaakprofiel3 3 2 12" xfId="1596"/>
    <cellStyle name="Labels - Opmaakprofiel3 3 2 12 2" xfId="9734"/>
    <cellStyle name="Labels - Opmaakprofiel3 3 2 12 2 2" xfId="22032"/>
    <cellStyle name="Labels - Opmaakprofiel3 3 2 12 2 3" xfId="34084"/>
    <cellStyle name="Labels - Opmaakprofiel3 3 2 12 2 4" xfId="32093"/>
    <cellStyle name="Labels - Opmaakprofiel3 3 2 12 2 5" xfId="54699"/>
    <cellStyle name="Labels - Opmaakprofiel3 3 2 12 3" xfId="15286"/>
    <cellStyle name="Labels - Opmaakprofiel3 3 2 12 4" xfId="27338"/>
    <cellStyle name="Labels - Opmaakprofiel3 3 2 12 5" xfId="45345"/>
    <cellStyle name="Labels - Opmaakprofiel3 3 2 12 6" xfId="48797"/>
    <cellStyle name="Labels - Opmaakprofiel3 3 2 13" xfId="5339"/>
    <cellStyle name="Labels - Opmaakprofiel3 3 2 13 2" xfId="9735"/>
    <cellStyle name="Labels - Opmaakprofiel3 3 2 13 2 2" xfId="22033"/>
    <cellStyle name="Labels - Opmaakprofiel3 3 2 13 2 3" xfId="34085"/>
    <cellStyle name="Labels - Opmaakprofiel3 3 2 13 2 4" xfId="28190"/>
    <cellStyle name="Labels - Opmaakprofiel3 3 2 13 2 5" xfId="54700"/>
    <cellStyle name="Labels - Opmaakprofiel3 3 2 13 3" xfId="15287"/>
    <cellStyle name="Labels - Opmaakprofiel3 3 2 13 4" xfId="27339"/>
    <cellStyle name="Labels - Opmaakprofiel3 3 2 13 5" xfId="39478"/>
    <cellStyle name="Labels - Opmaakprofiel3 3 2 13 6" xfId="48798"/>
    <cellStyle name="Labels - Opmaakprofiel3 3 2 14" xfId="5340"/>
    <cellStyle name="Labels - Opmaakprofiel3 3 2 14 2" xfId="9736"/>
    <cellStyle name="Labels - Opmaakprofiel3 3 2 14 2 2" xfId="22034"/>
    <cellStyle name="Labels - Opmaakprofiel3 3 2 14 2 3" xfId="34086"/>
    <cellStyle name="Labels - Opmaakprofiel3 3 2 14 2 4" xfId="42568"/>
    <cellStyle name="Labels - Opmaakprofiel3 3 2 14 2 5" xfId="54701"/>
    <cellStyle name="Labels - Opmaakprofiel3 3 2 14 3" xfId="15288"/>
    <cellStyle name="Labels - Opmaakprofiel3 3 2 14 4" xfId="27340"/>
    <cellStyle name="Labels - Opmaakprofiel3 3 2 14 5" xfId="39477"/>
    <cellStyle name="Labels - Opmaakprofiel3 3 2 14 6" xfId="48799"/>
    <cellStyle name="Labels - Opmaakprofiel3 3 2 15" xfId="5341"/>
    <cellStyle name="Labels - Opmaakprofiel3 3 2 15 2" xfId="15289"/>
    <cellStyle name="Labels - Opmaakprofiel3 3 2 15 3" xfId="27341"/>
    <cellStyle name="Labels - Opmaakprofiel3 3 2 15 4" xfId="39476"/>
    <cellStyle name="Labels - Opmaakprofiel3 3 2 15 5" xfId="48800"/>
    <cellStyle name="Labels - Opmaakprofiel3 3 2 16" xfId="7758"/>
    <cellStyle name="Labels - Opmaakprofiel3 3 2 16 2" xfId="20056"/>
    <cellStyle name="Labels - Opmaakprofiel3 3 2 16 3" xfId="41859"/>
    <cellStyle name="Labels - Opmaakprofiel3 3 2 16 4" xfId="43376"/>
    <cellStyle name="Labels - Opmaakprofiel3 3 2 16 5" xfId="52728"/>
    <cellStyle name="Labels - Opmaakprofiel3 3 2 17" xfId="15283"/>
    <cellStyle name="Labels - Opmaakprofiel3 3 2 2" xfId="618"/>
    <cellStyle name="Labels - Opmaakprofiel3 3 2 2 2" xfId="2021"/>
    <cellStyle name="Labels - Opmaakprofiel3 3 2 2 2 2" xfId="9737"/>
    <cellStyle name="Labels - Opmaakprofiel3 3 2 2 2 2 2" xfId="22035"/>
    <cellStyle name="Labels - Opmaakprofiel3 3 2 2 2 2 3" xfId="34087"/>
    <cellStyle name="Labels - Opmaakprofiel3 3 2 2 2 2 4" xfId="28191"/>
    <cellStyle name="Labels - Opmaakprofiel3 3 2 2 2 2 5" xfId="54702"/>
    <cellStyle name="Labels - Opmaakprofiel3 3 2 2 2 3" xfId="15291"/>
    <cellStyle name="Labels - Opmaakprofiel3 3 2 2 2 4" xfId="27343"/>
    <cellStyle name="Labels - Opmaakprofiel3 3 2 2 2 5" xfId="39475"/>
    <cellStyle name="Labels - Opmaakprofiel3 3 2 2 2 6" xfId="48801"/>
    <cellStyle name="Labels - Opmaakprofiel3 3 2 2 3" xfId="2689"/>
    <cellStyle name="Labels - Opmaakprofiel3 3 2 2 3 2" xfId="9738"/>
    <cellStyle name="Labels - Opmaakprofiel3 3 2 2 3 2 2" xfId="22036"/>
    <cellStyle name="Labels - Opmaakprofiel3 3 2 2 3 2 3" xfId="34088"/>
    <cellStyle name="Labels - Opmaakprofiel3 3 2 2 3 2 4" xfId="42567"/>
    <cellStyle name="Labels - Opmaakprofiel3 3 2 2 3 2 5" xfId="54703"/>
    <cellStyle name="Labels - Opmaakprofiel3 3 2 2 3 3" xfId="15292"/>
    <cellStyle name="Labels - Opmaakprofiel3 3 2 2 3 4" xfId="27344"/>
    <cellStyle name="Labels - Opmaakprofiel3 3 2 2 3 5" xfId="45344"/>
    <cellStyle name="Labels - Opmaakprofiel3 3 2 2 3 6" xfId="48802"/>
    <cellStyle name="Labels - Opmaakprofiel3 3 2 2 4" xfId="3561"/>
    <cellStyle name="Labels - Opmaakprofiel3 3 2 2 4 2" xfId="9739"/>
    <cellStyle name="Labels - Opmaakprofiel3 3 2 2 4 2 2" xfId="22037"/>
    <cellStyle name="Labels - Opmaakprofiel3 3 2 2 4 2 3" xfId="34089"/>
    <cellStyle name="Labels - Opmaakprofiel3 3 2 2 4 2 4" xfId="31899"/>
    <cellStyle name="Labels - Opmaakprofiel3 3 2 2 4 2 5" xfId="54704"/>
    <cellStyle name="Labels - Opmaakprofiel3 3 2 2 4 3" xfId="15293"/>
    <cellStyle name="Labels - Opmaakprofiel3 3 2 2 4 4" xfId="27345"/>
    <cellStyle name="Labels - Opmaakprofiel3 3 2 2 4 5" xfId="39474"/>
    <cellStyle name="Labels - Opmaakprofiel3 3 2 2 4 6" xfId="48803"/>
    <cellStyle name="Labels - Opmaakprofiel3 3 2 2 5" xfId="5342"/>
    <cellStyle name="Labels - Opmaakprofiel3 3 2 2 5 2" xfId="9740"/>
    <cellStyle name="Labels - Opmaakprofiel3 3 2 2 5 2 2" xfId="22038"/>
    <cellStyle name="Labels - Opmaakprofiel3 3 2 2 5 2 3" xfId="34090"/>
    <cellStyle name="Labels - Opmaakprofiel3 3 2 2 5 2 4" xfId="42566"/>
    <cellStyle name="Labels - Opmaakprofiel3 3 2 2 5 2 5" xfId="54705"/>
    <cellStyle name="Labels - Opmaakprofiel3 3 2 2 5 3" xfId="15294"/>
    <cellStyle name="Labels - Opmaakprofiel3 3 2 2 5 4" xfId="27346"/>
    <cellStyle name="Labels - Opmaakprofiel3 3 2 2 5 5" xfId="45343"/>
    <cellStyle name="Labels - Opmaakprofiel3 3 2 2 5 6" xfId="48804"/>
    <cellStyle name="Labels - Opmaakprofiel3 3 2 2 6" xfId="5343"/>
    <cellStyle name="Labels - Opmaakprofiel3 3 2 2 6 2" xfId="9741"/>
    <cellStyle name="Labels - Opmaakprofiel3 3 2 2 6 2 2" xfId="22039"/>
    <cellStyle name="Labels - Opmaakprofiel3 3 2 2 6 2 3" xfId="34091"/>
    <cellStyle name="Labels - Opmaakprofiel3 3 2 2 6 2 4" xfId="31818"/>
    <cellStyle name="Labels - Opmaakprofiel3 3 2 2 6 2 5" xfId="54706"/>
    <cellStyle name="Labels - Opmaakprofiel3 3 2 2 6 3" xfId="15295"/>
    <cellStyle name="Labels - Opmaakprofiel3 3 2 2 6 4" xfId="27347"/>
    <cellStyle name="Labels - Opmaakprofiel3 3 2 2 6 5" xfId="39473"/>
    <cellStyle name="Labels - Opmaakprofiel3 3 2 2 6 6" xfId="48805"/>
    <cellStyle name="Labels - Opmaakprofiel3 3 2 2 7" xfId="5344"/>
    <cellStyle name="Labels - Opmaakprofiel3 3 2 2 7 2" xfId="15296"/>
    <cellStyle name="Labels - Opmaakprofiel3 3 2 2 7 3" xfId="27348"/>
    <cellStyle name="Labels - Opmaakprofiel3 3 2 2 7 4" xfId="45342"/>
    <cellStyle name="Labels - Opmaakprofiel3 3 2 2 7 5" xfId="48806"/>
    <cellStyle name="Labels - Opmaakprofiel3 3 2 2 8" xfId="10258"/>
    <cellStyle name="Labels - Opmaakprofiel3 3 2 2 8 2" xfId="22556"/>
    <cellStyle name="Labels - Opmaakprofiel3 3 2 2 8 3" xfId="44317"/>
    <cellStyle name="Labels - Opmaakprofiel3 3 2 2 8 4" xfId="28934"/>
    <cellStyle name="Labels - Opmaakprofiel3 3 2 2 8 5" xfId="55223"/>
    <cellStyle name="Labels - Opmaakprofiel3 3 2 2 9" xfId="15290"/>
    <cellStyle name="Labels - Opmaakprofiel3 3 2 3" xfId="445"/>
    <cellStyle name="Labels - Opmaakprofiel3 3 2 3 2" xfId="1826"/>
    <cellStyle name="Labels - Opmaakprofiel3 3 2 3 2 2" xfId="9742"/>
    <cellStyle name="Labels - Opmaakprofiel3 3 2 3 2 2 2" xfId="22040"/>
    <cellStyle name="Labels - Opmaakprofiel3 3 2 3 2 2 3" xfId="34092"/>
    <cellStyle name="Labels - Opmaakprofiel3 3 2 3 2 2 4" xfId="42565"/>
    <cellStyle name="Labels - Opmaakprofiel3 3 2 3 2 2 5" xfId="54707"/>
    <cellStyle name="Labels - Opmaakprofiel3 3 2 3 2 3" xfId="15298"/>
    <cellStyle name="Labels - Opmaakprofiel3 3 2 3 2 4" xfId="27350"/>
    <cellStyle name="Labels - Opmaakprofiel3 3 2 3 2 5" xfId="45341"/>
    <cellStyle name="Labels - Opmaakprofiel3 3 2 3 2 6" xfId="48807"/>
    <cellStyle name="Labels - Opmaakprofiel3 3 2 3 3" xfId="2516"/>
    <cellStyle name="Labels - Opmaakprofiel3 3 2 3 3 2" xfId="9743"/>
    <cellStyle name="Labels - Opmaakprofiel3 3 2 3 3 2 2" xfId="22041"/>
    <cellStyle name="Labels - Opmaakprofiel3 3 2 3 3 2 3" xfId="34093"/>
    <cellStyle name="Labels - Opmaakprofiel3 3 2 3 3 2 4" xfId="28196"/>
    <cellStyle name="Labels - Opmaakprofiel3 3 2 3 3 2 5" xfId="54708"/>
    <cellStyle name="Labels - Opmaakprofiel3 3 2 3 3 3" xfId="15299"/>
    <cellStyle name="Labels - Opmaakprofiel3 3 2 3 3 4" xfId="27351"/>
    <cellStyle name="Labels - Opmaakprofiel3 3 2 3 3 5" xfId="39471"/>
    <cellStyle name="Labels - Opmaakprofiel3 3 2 3 3 6" xfId="48808"/>
    <cellStyle name="Labels - Opmaakprofiel3 3 2 3 4" xfId="3404"/>
    <cellStyle name="Labels - Opmaakprofiel3 3 2 3 4 2" xfId="9744"/>
    <cellStyle name="Labels - Opmaakprofiel3 3 2 3 4 2 2" xfId="22042"/>
    <cellStyle name="Labels - Opmaakprofiel3 3 2 3 4 2 3" xfId="34094"/>
    <cellStyle name="Labels - Opmaakprofiel3 3 2 3 4 2 4" xfId="42564"/>
    <cellStyle name="Labels - Opmaakprofiel3 3 2 3 4 2 5" xfId="54709"/>
    <cellStyle name="Labels - Opmaakprofiel3 3 2 3 4 3" xfId="15300"/>
    <cellStyle name="Labels - Opmaakprofiel3 3 2 3 4 4" xfId="27352"/>
    <cellStyle name="Labels - Opmaakprofiel3 3 2 3 4 5" xfId="39470"/>
    <cellStyle name="Labels - Opmaakprofiel3 3 2 3 4 6" xfId="48809"/>
    <cellStyle name="Labels - Opmaakprofiel3 3 2 3 5" xfId="5345"/>
    <cellStyle name="Labels - Opmaakprofiel3 3 2 3 5 2" xfId="9745"/>
    <cellStyle name="Labels - Opmaakprofiel3 3 2 3 5 2 2" xfId="22043"/>
    <cellStyle name="Labels - Opmaakprofiel3 3 2 3 5 2 3" xfId="34095"/>
    <cellStyle name="Labels - Opmaakprofiel3 3 2 3 5 2 4" xfId="28197"/>
    <cellStyle name="Labels - Opmaakprofiel3 3 2 3 5 2 5" xfId="54710"/>
    <cellStyle name="Labels - Opmaakprofiel3 3 2 3 5 3" xfId="15301"/>
    <cellStyle name="Labels - Opmaakprofiel3 3 2 3 5 4" xfId="27353"/>
    <cellStyle name="Labels - Opmaakprofiel3 3 2 3 5 5" xfId="39469"/>
    <cellStyle name="Labels - Opmaakprofiel3 3 2 3 5 6" xfId="48810"/>
    <cellStyle name="Labels - Opmaakprofiel3 3 2 3 6" xfId="5346"/>
    <cellStyle name="Labels - Opmaakprofiel3 3 2 3 6 2" xfId="9746"/>
    <cellStyle name="Labels - Opmaakprofiel3 3 2 3 6 2 2" xfId="22044"/>
    <cellStyle name="Labels - Opmaakprofiel3 3 2 3 6 2 3" xfId="34096"/>
    <cellStyle name="Labels - Opmaakprofiel3 3 2 3 6 2 4" xfId="31764"/>
    <cellStyle name="Labels - Opmaakprofiel3 3 2 3 6 2 5" xfId="54711"/>
    <cellStyle name="Labels - Opmaakprofiel3 3 2 3 6 3" xfId="15302"/>
    <cellStyle name="Labels - Opmaakprofiel3 3 2 3 6 4" xfId="27354"/>
    <cellStyle name="Labels - Opmaakprofiel3 3 2 3 6 5" xfId="45340"/>
    <cellStyle name="Labels - Opmaakprofiel3 3 2 3 6 6" xfId="48811"/>
    <cellStyle name="Labels - Opmaakprofiel3 3 2 3 7" xfId="5347"/>
    <cellStyle name="Labels - Opmaakprofiel3 3 2 3 7 2" xfId="15303"/>
    <cellStyle name="Labels - Opmaakprofiel3 3 2 3 7 3" xfId="27355"/>
    <cellStyle name="Labels - Opmaakprofiel3 3 2 3 7 4" xfId="39468"/>
    <cellStyle name="Labels - Opmaakprofiel3 3 2 3 7 5" xfId="48812"/>
    <cellStyle name="Labels - Opmaakprofiel3 3 2 3 8" xfId="10377"/>
    <cellStyle name="Labels - Opmaakprofiel3 3 2 3 8 2" xfId="22675"/>
    <cellStyle name="Labels - Opmaakprofiel3 3 2 3 8 3" xfId="44435"/>
    <cellStyle name="Labels - Opmaakprofiel3 3 2 3 8 4" xfId="31555"/>
    <cellStyle name="Labels - Opmaakprofiel3 3 2 3 8 5" xfId="55342"/>
    <cellStyle name="Labels - Opmaakprofiel3 3 2 3 9" xfId="15297"/>
    <cellStyle name="Labels - Opmaakprofiel3 3 2 4" xfId="485"/>
    <cellStyle name="Labels - Opmaakprofiel3 3 2 4 2" xfId="2330"/>
    <cellStyle name="Labels - Opmaakprofiel3 3 2 4 2 2" xfId="9747"/>
    <cellStyle name="Labels - Opmaakprofiel3 3 2 4 2 2 2" xfId="22045"/>
    <cellStyle name="Labels - Opmaakprofiel3 3 2 4 2 2 3" xfId="34097"/>
    <cellStyle name="Labels - Opmaakprofiel3 3 2 4 2 2 4" xfId="31805"/>
    <cellStyle name="Labels - Opmaakprofiel3 3 2 4 2 2 5" xfId="54712"/>
    <cellStyle name="Labels - Opmaakprofiel3 3 2 4 2 3" xfId="15305"/>
    <cellStyle name="Labels - Opmaakprofiel3 3 2 4 2 4" xfId="27357"/>
    <cellStyle name="Labels - Opmaakprofiel3 3 2 4 2 5" xfId="39467"/>
    <cellStyle name="Labels - Opmaakprofiel3 3 2 4 2 6" xfId="48813"/>
    <cellStyle name="Labels - Opmaakprofiel3 3 2 4 3" xfId="2556"/>
    <cellStyle name="Labels - Opmaakprofiel3 3 2 4 3 2" xfId="9748"/>
    <cellStyle name="Labels - Opmaakprofiel3 3 2 4 3 2 2" xfId="22046"/>
    <cellStyle name="Labels - Opmaakprofiel3 3 2 4 3 2 3" xfId="34098"/>
    <cellStyle name="Labels - Opmaakprofiel3 3 2 4 3 2 4" xfId="42563"/>
    <cellStyle name="Labels - Opmaakprofiel3 3 2 4 3 2 5" xfId="54713"/>
    <cellStyle name="Labels - Opmaakprofiel3 3 2 4 3 3" xfId="15306"/>
    <cellStyle name="Labels - Opmaakprofiel3 3 2 4 3 4" xfId="27358"/>
    <cellStyle name="Labels - Opmaakprofiel3 3 2 4 3 5" xfId="45338"/>
    <cellStyle name="Labels - Opmaakprofiel3 3 2 4 3 6" xfId="48814"/>
    <cellStyle name="Labels - Opmaakprofiel3 3 2 4 4" xfId="3441"/>
    <cellStyle name="Labels - Opmaakprofiel3 3 2 4 4 2" xfId="9749"/>
    <cellStyle name="Labels - Opmaakprofiel3 3 2 4 4 2 2" xfId="22047"/>
    <cellStyle name="Labels - Opmaakprofiel3 3 2 4 4 2 3" xfId="34099"/>
    <cellStyle name="Labels - Opmaakprofiel3 3 2 4 4 2 4" xfId="28202"/>
    <cellStyle name="Labels - Opmaakprofiel3 3 2 4 4 2 5" xfId="54714"/>
    <cellStyle name="Labels - Opmaakprofiel3 3 2 4 4 3" xfId="15307"/>
    <cellStyle name="Labels - Opmaakprofiel3 3 2 4 4 4" xfId="27359"/>
    <cellStyle name="Labels - Opmaakprofiel3 3 2 4 4 5" xfId="39466"/>
    <cellStyle name="Labels - Opmaakprofiel3 3 2 4 4 6" xfId="48815"/>
    <cellStyle name="Labels - Opmaakprofiel3 3 2 4 5" xfId="5348"/>
    <cellStyle name="Labels - Opmaakprofiel3 3 2 4 5 2" xfId="9750"/>
    <cellStyle name="Labels - Opmaakprofiel3 3 2 4 5 2 2" xfId="22048"/>
    <cellStyle name="Labels - Opmaakprofiel3 3 2 4 5 2 3" xfId="34100"/>
    <cellStyle name="Labels - Opmaakprofiel3 3 2 4 5 2 4" xfId="42562"/>
    <cellStyle name="Labels - Opmaakprofiel3 3 2 4 5 2 5" xfId="54715"/>
    <cellStyle name="Labels - Opmaakprofiel3 3 2 4 5 3" xfId="15308"/>
    <cellStyle name="Labels - Opmaakprofiel3 3 2 4 5 4" xfId="27360"/>
    <cellStyle name="Labels - Opmaakprofiel3 3 2 4 5 5" xfId="45337"/>
    <cellStyle name="Labels - Opmaakprofiel3 3 2 4 5 6" xfId="48816"/>
    <cellStyle name="Labels - Opmaakprofiel3 3 2 4 6" xfId="5349"/>
    <cellStyle name="Labels - Opmaakprofiel3 3 2 4 6 2" xfId="9751"/>
    <cellStyle name="Labels - Opmaakprofiel3 3 2 4 6 2 2" xfId="22049"/>
    <cellStyle name="Labels - Opmaakprofiel3 3 2 4 6 2 3" xfId="34101"/>
    <cellStyle name="Labels - Opmaakprofiel3 3 2 4 6 2 4" xfId="28203"/>
    <cellStyle name="Labels - Opmaakprofiel3 3 2 4 6 2 5" xfId="54716"/>
    <cellStyle name="Labels - Opmaakprofiel3 3 2 4 6 3" xfId="15309"/>
    <cellStyle name="Labels - Opmaakprofiel3 3 2 4 6 4" xfId="27361"/>
    <cellStyle name="Labels - Opmaakprofiel3 3 2 4 6 5" xfId="39465"/>
    <cellStyle name="Labels - Opmaakprofiel3 3 2 4 6 6" xfId="48817"/>
    <cellStyle name="Labels - Opmaakprofiel3 3 2 4 7" xfId="5350"/>
    <cellStyle name="Labels - Opmaakprofiel3 3 2 4 7 2" xfId="15310"/>
    <cellStyle name="Labels - Opmaakprofiel3 3 2 4 7 3" xfId="27362"/>
    <cellStyle name="Labels - Opmaakprofiel3 3 2 4 7 4" xfId="45336"/>
    <cellStyle name="Labels - Opmaakprofiel3 3 2 4 7 5" xfId="48818"/>
    <cellStyle name="Labels - Opmaakprofiel3 3 2 4 8" xfId="7659"/>
    <cellStyle name="Labels - Opmaakprofiel3 3 2 4 8 2" xfId="19957"/>
    <cellStyle name="Labels - Opmaakprofiel3 3 2 4 8 3" xfId="41760"/>
    <cellStyle name="Labels - Opmaakprofiel3 3 2 4 8 4" xfId="25013"/>
    <cellStyle name="Labels - Opmaakprofiel3 3 2 4 8 5" xfId="52629"/>
    <cellStyle name="Labels - Opmaakprofiel3 3 2 4 9" xfId="15304"/>
    <cellStyle name="Labels - Opmaakprofiel3 3 2 5" xfId="1115"/>
    <cellStyle name="Labels - Opmaakprofiel3 3 2 5 2" xfId="206"/>
    <cellStyle name="Labels - Opmaakprofiel3 3 2 5 2 2" xfId="9752"/>
    <cellStyle name="Labels - Opmaakprofiel3 3 2 5 2 2 2" xfId="22050"/>
    <cellStyle name="Labels - Opmaakprofiel3 3 2 5 2 2 3" xfId="34102"/>
    <cellStyle name="Labels - Opmaakprofiel3 3 2 5 2 2 4" xfId="42561"/>
    <cellStyle name="Labels - Opmaakprofiel3 3 2 5 2 2 5" xfId="54717"/>
    <cellStyle name="Labels - Opmaakprofiel3 3 2 5 2 3" xfId="15312"/>
    <cellStyle name="Labels - Opmaakprofiel3 3 2 5 2 4" xfId="27364"/>
    <cellStyle name="Labels - Opmaakprofiel3 3 2 5 2 5" xfId="39463"/>
    <cellStyle name="Labels - Opmaakprofiel3 3 2 5 2 6" xfId="48819"/>
    <cellStyle name="Labels - Opmaakprofiel3 3 2 5 3" xfId="3126"/>
    <cellStyle name="Labels - Opmaakprofiel3 3 2 5 3 2" xfId="9753"/>
    <cellStyle name="Labels - Opmaakprofiel3 3 2 5 3 2 2" xfId="22051"/>
    <cellStyle name="Labels - Opmaakprofiel3 3 2 5 3 2 3" xfId="34103"/>
    <cellStyle name="Labels - Opmaakprofiel3 3 2 5 3 2 4" xfId="34267"/>
    <cellStyle name="Labels - Opmaakprofiel3 3 2 5 3 2 5" xfId="54718"/>
    <cellStyle name="Labels - Opmaakprofiel3 3 2 5 3 3" xfId="15313"/>
    <cellStyle name="Labels - Opmaakprofiel3 3 2 5 3 4" xfId="27365"/>
    <cellStyle name="Labels - Opmaakprofiel3 3 2 5 3 5" xfId="39462"/>
    <cellStyle name="Labels - Opmaakprofiel3 3 2 5 3 6" xfId="48820"/>
    <cellStyle name="Labels - Opmaakprofiel3 3 2 5 4" xfId="3960"/>
    <cellStyle name="Labels - Opmaakprofiel3 3 2 5 4 2" xfId="9754"/>
    <cellStyle name="Labels - Opmaakprofiel3 3 2 5 4 2 2" xfId="22052"/>
    <cellStyle name="Labels - Opmaakprofiel3 3 2 5 4 2 3" xfId="34104"/>
    <cellStyle name="Labels - Opmaakprofiel3 3 2 5 4 2 4" xfId="42560"/>
    <cellStyle name="Labels - Opmaakprofiel3 3 2 5 4 2 5" xfId="54719"/>
    <cellStyle name="Labels - Opmaakprofiel3 3 2 5 4 3" xfId="15314"/>
    <cellStyle name="Labels - Opmaakprofiel3 3 2 5 4 4" xfId="27366"/>
    <cellStyle name="Labels - Opmaakprofiel3 3 2 5 4 5" xfId="45335"/>
    <cellStyle name="Labels - Opmaakprofiel3 3 2 5 4 6" xfId="48821"/>
    <cellStyle name="Labels - Opmaakprofiel3 3 2 5 5" xfId="5351"/>
    <cellStyle name="Labels - Opmaakprofiel3 3 2 5 5 2" xfId="9755"/>
    <cellStyle name="Labels - Opmaakprofiel3 3 2 5 5 2 2" xfId="22053"/>
    <cellStyle name="Labels - Opmaakprofiel3 3 2 5 5 2 3" xfId="34105"/>
    <cellStyle name="Labels - Opmaakprofiel3 3 2 5 5 2 4" xfId="31797"/>
    <cellStyle name="Labels - Opmaakprofiel3 3 2 5 5 2 5" xfId="54720"/>
    <cellStyle name="Labels - Opmaakprofiel3 3 2 5 5 3" xfId="15315"/>
    <cellStyle name="Labels - Opmaakprofiel3 3 2 5 5 4" xfId="27367"/>
    <cellStyle name="Labels - Opmaakprofiel3 3 2 5 5 5" xfId="39461"/>
    <cellStyle name="Labels - Opmaakprofiel3 3 2 5 5 6" xfId="48822"/>
    <cellStyle name="Labels - Opmaakprofiel3 3 2 5 6" xfId="5352"/>
    <cellStyle name="Labels - Opmaakprofiel3 3 2 5 6 2" xfId="9756"/>
    <cellStyle name="Labels - Opmaakprofiel3 3 2 5 6 2 2" xfId="22054"/>
    <cellStyle name="Labels - Opmaakprofiel3 3 2 5 6 2 3" xfId="34106"/>
    <cellStyle name="Labels - Opmaakprofiel3 3 2 5 6 2 4" xfId="42559"/>
    <cellStyle name="Labels - Opmaakprofiel3 3 2 5 6 2 5" xfId="54721"/>
    <cellStyle name="Labels - Opmaakprofiel3 3 2 5 6 3" xfId="15316"/>
    <cellStyle name="Labels - Opmaakprofiel3 3 2 5 6 4" xfId="27368"/>
    <cellStyle name="Labels - Opmaakprofiel3 3 2 5 6 5" xfId="45334"/>
    <cellStyle name="Labels - Opmaakprofiel3 3 2 5 6 6" xfId="48823"/>
    <cellStyle name="Labels - Opmaakprofiel3 3 2 5 7" xfId="5353"/>
    <cellStyle name="Labels - Opmaakprofiel3 3 2 5 7 2" xfId="15317"/>
    <cellStyle name="Labels - Opmaakprofiel3 3 2 5 7 3" xfId="27369"/>
    <cellStyle name="Labels - Opmaakprofiel3 3 2 5 7 4" xfId="39460"/>
    <cellStyle name="Labels - Opmaakprofiel3 3 2 5 7 5" xfId="48824"/>
    <cellStyle name="Labels - Opmaakprofiel3 3 2 5 8" xfId="7232"/>
    <cellStyle name="Labels - Opmaakprofiel3 3 2 5 8 2" xfId="19530"/>
    <cellStyle name="Labels - Opmaakprofiel3 3 2 5 8 3" xfId="41333"/>
    <cellStyle name="Labels - Opmaakprofiel3 3 2 5 8 4" xfId="43595"/>
    <cellStyle name="Labels - Opmaakprofiel3 3 2 5 8 5" xfId="52202"/>
    <cellStyle name="Labels - Opmaakprofiel3 3 2 5 9" xfId="15311"/>
    <cellStyle name="Labels - Opmaakprofiel3 3 2 6" xfId="593"/>
    <cellStyle name="Labels - Opmaakprofiel3 3 2 6 2" xfId="1659"/>
    <cellStyle name="Labels - Opmaakprofiel3 3 2 6 2 2" xfId="9757"/>
    <cellStyle name="Labels - Opmaakprofiel3 3 2 6 2 2 2" xfId="22055"/>
    <cellStyle name="Labels - Opmaakprofiel3 3 2 6 2 2 3" xfId="34107"/>
    <cellStyle name="Labels - Opmaakprofiel3 3 2 6 2 2 4" xfId="28208"/>
    <cellStyle name="Labels - Opmaakprofiel3 3 2 6 2 2 5" xfId="54722"/>
    <cellStyle name="Labels - Opmaakprofiel3 3 2 6 2 3" xfId="15319"/>
    <cellStyle name="Labels - Opmaakprofiel3 3 2 6 2 4" xfId="27371"/>
    <cellStyle name="Labels - Opmaakprofiel3 3 2 6 2 5" xfId="39459"/>
    <cellStyle name="Labels - Opmaakprofiel3 3 2 6 2 6" xfId="48825"/>
    <cellStyle name="Labels - Opmaakprofiel3 3 2 6 3" xfId="2664"/>
    <cellStyle name="Labels - Opmaakprofiel3 3 2 6 3 2" xfId="9758"/>
    <cellStyle name="Labels - Opmaakprofiel3 3 2 6 3 2 2" xfId="22056"/>
    <cellStyle name="Labels - Opmaakprofiel3 3 2 6 3 2 3" xfId="34108"/>
    <cellStyle name="Labels - Opmaakprofiel3 3 2 6 3 2 4" xfId="28209"/>
    <cellStyle name="Labels - Opmaakprofiel3 3 2 6 3 2 5" xfId="54723"/>
    <cellStyle name="Labels - Opmaakprofiel3 3 2 6 3 3" xfId="15320"/>
    <cellStyle name="Labels - Opmaakprofiel3 3 2 6 3 4" xfId="27372"/>
    <cellStyle name="Labels - Opmaakprofiel3 3 2 6 3 5" xfId="45332"/>
    <cellStyle name="Labels - Opmaakprofiel3 3 2 6 3 6" xfId="48826"/>
    <cellStyle name="Labels - Opmaakprofiel3 3 2 6 4" xfId="3538"/>
    <cellStyle name="Labels - Opmaakprofiel3 3 2 6 4 2" xfId="9759"/>
    <cellStyle name="Labels - Opmaakprofiel3 3 2 6 4 2 2" xfId="22057"/>
    <cellStyle name="Labels - Opmaakprofiel3 3 2 6 4 2 3" xfId="34109"/>
    <cellStyle name="Labels - Opmaakprofiel3 3 2 6 4 2 4" xfId="31882"/>
    <cellStyle name="Labels - Opmaakprofiel3 3 2 6 4 2 5" xfId="54724"/>
    <cellStyle name="Labels - Opmaakprofiel3 3 2 6 4 3" xfId="15321"/>
    <cellStyle name="Labels - Opmaakprofiel3 3 2 6 4 4" xfId="27373"/>
    <cellStyle name="Labels - Opmaakprofiel3 3 2 6 4 5" xfId="39458"/>
    <cellStyle name="Labels - Opmaakprofiel3 3 2 6 4 6" xfId="48827"/>
    <cellStyle name="Labels - Opmaakprofiel3 3 2 6 5" xfId="5354"/>
    <cellStyle name="Labels - Opmaakprofiel3 3 2 6 5 2" xfId="9760"/>
    <cellStyle name="Labels - Opmaakprofiel3 3 2 6 5 2 2" xfId="22058"/>
    <cellStyle name="Labels - Opmaakprofiel3 3 2 6 5 2 3" xfId="34110"/>
    <cellStyle name="Labels - Opmaakprofiel3 3 2 6 5 2 4" xfId="42558"/>
    <cellStyle name="Labels - Opmaakprofiel3 3 2 6 5 2 5" xfId="54725"/>
    <cellStyle name="Labels - Opmaakprofiel3 3 2 6 5 3" xfId="15322"/>
    <cellStyle name="Labels - Opmaakprofiel3 3 2 6 5 4" xfId="27374"/>
    <cellStyle name="Labels - Opmaakprofiel3 3 2 6 5 5" xfId="45331"/>
    <cellStyle name="Labels - Opmaakprofiel3 3 2 6 5 6" xfId="48828"/>
    <cellStyle name="Labels - Opmaakprofiel3 3 2 6 6" xfId="5355"/>
    <cellStyle name="Labels - Opmaakprofiel3 3 2 6 6 2" xfId="9761"/>
    <cellStyle name="Labels - Opmaakprofiel3 3 2 6 6 2 2" xfId="22059"/>
    <cellStyle name="Labels - Opmaakprofiel3 3 2 6 6 2 3" xfId="34111"/>
    <cellStyle name="Labels - Opmaakprofiel3 3 2 6 6 2 4" xfId="31791"/>
    <cellStyle name="Labels - Opmaakprofiel3 3 2 6 6 2 5" xfId="54726"/>
    <cellStyle name="Labels - Opmaakprofiel3 3 2 6 6 3" xfId="15323"/>
    <cellStyle name="Labels - Opmaakprofiel3 3 2 6 6 4" xfId="27375"/>
    <cellStyle name="Labels - Opmaakprofiel3 3 2 6 6 5" xfId="39457"/>
    <cellStyle name="Labels - Opmaakprofiel3 3 2 6 6 6" xfId="48829"/>
    <cellStyle name="Labels - Opmaakprofiel3 3 2 6 7" xfId="5356"/>
    <cellStyle name="Labels - Opmaakprofiel3 3 2 6 7 2" xfId="15324"/>
    <cellStyle name="Labels - Opmaakprofiel3 3 2 6 7 3" xfId="27376"/>
    <cellStyle name="Labels - Opmaakprofiel3 3 2 6 7 4" xfId="39456"/>
    <cellStyle name="Labels - Opmaakprofiel3 3 2 6 7 5" xfId="48830"/>
    <cellStyle name="Labels - Opmaakprofiel3 3 2 6 8" xfId="10271"/>
    <cellStyle name="Labels - Opmaakprofiel3 3 2 6 8 2" xfId="22569"/>
    <cellStyle name="Labels - Opmaakprofiel3 3 2 6 8 3" xfId="44330"/>
    <cellStyle name="Labels - Opmaakprofiel3 3 2 6 8 4" xfId="28962"/>
    <cellStyle name="Labels - Opmaakprofiel3 3 2 6 8 5" xfId="55236"/>
    <cellStyle name="Labels - Opmaakprofiel3 3 2 6 9" xfId="15318"/>
    <cellStyle name="Labels - Opmaakprofiel3 3 2 7" xfId="640"/>
    <cellStyle name="Labels - Opmaakprofiel3 3 2 7 2" xfId="2381"/>
    <cellStyle name="Labels - Opmaakprofiel3 3 2 7 2 2" xfId="9762"/>
    <cellStyle name="Labels - Opmaakprofiel3 3 2 7 2 2 2" xfId="22060"/>
    <cellStyle name="Labels - Opmaakprofiel3 3 2 7 2 2 3" xfId="34112"/>
    <cellStyle name="Labels - Opmaakprofiel3 3 2 7 2 2 4" xfId="42557"/>
    <cellStyle name="Labels - Opmaakprofiel3 3 2 7 2 2 5" xfId="54727"/>
    <cellStyle name="Labels - Opmaakprofiel3 3 2 7 2 3" xfId="15326"/>
    <cellStyle name="Labels - Opmaakprofiel3 3 2 7 2 4" xfId="27378"/>
    <cellStyle name="Labels - Opmaakprofiel3 3 2 7 2 5" xfId="45330"/>
    <cellStyle name="Labels - Opmaakprofiel3 3 2 7 2 6" xfId="48831"/>
    <cellStyle name="Labels - Opmaakprofiel3 3 2 7 3" xfId="2706"/>
    <cellStyle name="Labels - Opmaakprofiel3 3 2 7 3 2" xfId="9763"/>
    <cellStyle name="Labels - Opmaakprofiel3 3 2 7 3 2 2" xfId="22061"/>
    <cellStyle name="Labels - Opmaakprofiel3 3 2 7 3 2 3" xfId="34113"/>
    <cellStyle name="Labels - Opmaakprofiel3 3 2 7 3 2 4" xfId="28214"/>
    <cellStyle name="Labels - Opmaakprofiel3 3 2 7 3 2 5" xfId="54728"/>
    <cellStyle name="Labels - Opmaakprofiel3 3 2 7 3 3" xfId="15327"/>
    <cellStyle name="Labels - Opmaakprofiel3 3 2 7 3 4" xfId="27379"/>
    <cellStyle name="Labels - Opmaakprofiel3 3 2 7 3 5" xfId="39454"/>
    <cellStyle name="Labels - Opmaakprofiel3 3 2 7 3 6" xfId="48832"/>
    <cellStyle name="Labels - Opmaakprofiel3 3 2 7 4" xfId="3577"/>
    <cellStyle name="Labels - Opmaakprofiel3 3 2 7 4 2" xfId="9764"/>
    <cellStyle name="Labels - Opmaakprofiel3 3 2 7 4 2 2" xfId="22062"/>
    <cellStyle name="Labels - Opmaakprofiel3 3 2 7 4 2 3" xfId="34114"/>
    <cellStyle name="Labels - Opmaakprofiel3 3 2 7 4 2 4" xfId="42556"/>
    <cellStyle name="Labels - Opmaakprofiel3 3 2 7 4 2 5" xfId="54729"/>
    <cellStyle name="Labels - Opmaakprofiel3 3 2 7 4 3" xfId="15328"/>
    <cellStyle name="Labels - Opmaakprofiel3 3 2 7 4 4" xfId="27380"/>
    <cellStyle name="Labels - Opmaakprofiel3 3 2 7 4 5" xfId="45329"/>
    <cellStyle name="Labels - Opmaakprofiel3 3 2 7 4 6" xfId="48833"/>
    <cellStyle name="Labels - Opmaakprofiel3 3 2 7 5" xfId="5357"/>
    <cellStyle name="Labels - Opmaakprofiel3 3 2 7 5 2" xfId="9765"/>
    <cellStyle name="Labels - Opmaakprofiel3 3 2 7 5 2 2" xfId="22063"/>
    <cellStyle name="Labels - Opmaakprofiel3 3 2 7 5 2 3" xfId="34115"/>
    <cellStyle name="Labels - Opmaakprofiel3 3 2 7 5 2 4" xfId="28215"/>
    <cellStyle name="Labels - Opmaakprofiel3 3 2 7 5 2 5" xfId="54730"/>
    <cellStyle name="Labels - Opmaakprofiel3 3 2 7 5 3" xfId="15329"/>
    <cellStyle name="Labels - Opmaakprofiel3 3 2 7 5 4" xfId="27381"/>
    <cellStyle name="Labels - Opmaakprofiel3 3 2 7 5 5" xfId="39453"/>
    <cellStyle name="Labels - Opmaakprofiel3 3 2 7 5 6" xfId="48834"/>
    <cellStyle name="Labels - Opmaakprofiel3 3 2 7 6" xfId="5358"/>
    <cellStyle name="Labels - Opmaakprofiel3 3 2 7 6 2" xfId="9766"/>
    <cellStyle name="Labels - Opmaakprofiel3 3 2 7 6 2 2" xfId="22064"/>
    <cellStyle name="Labels - Opmaakprofiel3 3 2 7 6 2 3" xfId="34116"/>
    <cellStyle name="Labels - Opmaakprofiel3 3 2 7 6 2 4" xfId="42555"/>
    <cellStyle name="Labels - Opmaakprofiel3 3 2 7 6 2 5" xfId="54731"/>
    <cellStyle name="Labels - Opmaakprofiel3 3 2 7 6 3" xfId="15330"/>
    <cellStyle name="Labels - Opmaakprofiel3 3 2 7 6 4" xfId="27382"/>
    <cellStyle name="Labels - Opmaakprofiel3 3 2 7 6 5" xfId="45328"/>
    <cellStyle name="Labels - Opmaakprofiel3 3 2 7 6 6" xfId="48835"/>
    <cellStyle name="Labels - Opmaakprofiel3 3 2 7 7" xfId="5359"/>
    <cellStyle name="Labels - Opmaakprofiel3 3 2 7 7 2" xfId="15331"/>
    <cellStyle name="Labels - Opmaakprofiel3 3 2 7 7 3" xfId="27383"/>
    <cellStyle name="Labels - Opmaakprofiel3 3 2 7 7 4" xfId="39452"/>
    <cellStyle name="Labels - Opmaakprofiel3 3 2 7 7 5" xfId="48836"/>
    <cellStyle name="Labels - Opmaakprofiel3 3 2 7 8" xfId="7555"/>
    <cellStyle name="Labels - Opmaakprofiel3 3 2 7 8 2" xfId="19853"/>
    <cellStyle name="Labels - Opmaakprofiel3 3 2 7 8 3" xfId="41656"/>
    <cellStyle name="Labels - Opmaakprofiel3 3 2 7 8 4" xfId="34402"/>
    <cellStyle name="Labels - Opmaakprofiel3 3 2 7 8 5" xfId="52525"/>
    <cellStyle name="Labels - Opmaakprofiel3 3 2 7 9" xfId="15325"/>
    <cellStyle name="Labels - Opmaakprofiel3 3 2 8" xfId="1316"/>
    <cellStyle name="Labels - Opmaakprofiel3 3 2 8 2" xfId="1806"/>
    <cellStyle name="Labels - Opmaakprofiel3 3 2 8 2 2" xfId="9767"/>
    <cellStyle name="Labels - Opmaakprofiel3 3 2 8 2 2 2" xfId="22065"/>
    <cellStyle name="Labels - Opmaakprofiel3 3 2 8 2 2 3" xfId="34117"/>
    <cellStyle name="Labels - Opmaakprofiel3 3 2 8 2 2 4" xfId="34702"/>
    <cellStyle name="Labels - Opmaakprofiel3 3 2 8 2 2 5" xfId="54732"/>
    <cellStyle name="Labels - Opmaakprofiel3 3 2 8 2 3" xfId="15333"/>
    <cellStyle name="Labels - Opmaakprofiel3 3 2 8 2 4" xfId="27385"/>
    <cellStyle name="Labels - Opmaakprofiel3 3 2 8 2 5" xfId="39451"/>
    <cellStyle name="Labels - Opmaakprofiel3 3 2 8 2 6" xfId="48837"/>
    <cellStyle name="Labels - Opmaakprofiel3 3 2 8 3" xfId="3327"/>
    <cellStyle name="Labels - Opmaakprofiel3 3 2 8 3 2" xfId="9768"/>
    <cellStyle name="Labels - Opmaakprofiel3 3 2 8 3 2 2" xfId="22066"/>
    <cellStyle name="Labels - Opmaakprofiel3 3 2 8 3 2 3" xfId="34118"/>
    <cellStyle name="Labels - Opmaakprofiel3 3 2 8 3 2 4" xfId="42554"/>
    <cellStyle name="Labels - Opmaakprofiel3 3 2 8 3 2 5" xfId="54733"/>
    <cellStyle name="Labels - Opmaakprofiel3 3 2 8 3 3" xfId="15334"/>
    <cellStyle name="Labels - Opmaakprofiel3 3 2 8 3 4" xfId="27386"/>
    <cellStyle name="Labels - Opmaakprofiel3 3 2 8 3 5" xfId="45326"/>
    <cellStyle name="Labels - Opmaakprofiel3 3 2 8 3 6" xfId="48838"/>
    <cellStyle name="Labels - Opmaakprofiel3 3 2 8 4" xfId="4108"/>
    <cellStyle name="Labels - Opmaakprofiel3 3 2 8 4 2" xfId="9769"/>
    <cellStyle name="Labels - Opmaakprofiel3 3 2 8 4 2 2" xfId="22067"/>
    <cellStyle name="Labels - Opmaakprofiel3 3 2 8 4 2 3" xfId="34119"/>
    <cellStyle name="Labels - Opmaakprofiel3 3 2 8 4 2 4" xfId="34472"/>
    <cellStyle name="Labels - Opmaakprofiel3 3 2 8 4 2 5" xfId="54734"/>
    <cellStyle name="Labels - Opmaakprofiel3 3 2 8 4 3" xfId="15335"/>
    <cellStyle name="Labels - Opmaakprofiel3 3 2 8 4 4" xfId="27387"/>
    <cellStyle name="Labels - Opmaakprofiel3 3 2 8 4 5" xfId="39450"/>
    <cellStyle name="Labels - Opmaakprofiel3 3 2 8 4 6" xfId="48839"/>
    <cellStyle name="Labels - Opmaakprofiel3 3 2 8 5" xfId="5360"/>
    <cellStyle name="Labels - Opmaakprofiel3 3 2 8 5 2" xfId="9770"/>
    <cellStyle name="Labels - Opmaakprofiel3 3 2 8 5 2 2" xfId="22068"/>
    <cellStyle name="Labels - Opmaakprofiel3 3 2 8 5 2 3" xfId="34120"/>
    <cellStyle name="Labels - Opmaakprofiel3 3 2 8 5 2 4" xfId="28220"/>
    <cellStyle name="Labels - Opmaakprofiel3 3 2 8 5 2 5" xfId="54735"/>
    <cellStyle name="Labels - Opmaakprofiel3 3 2 8 5 3" xfId="15336"/>
    <cellStyle name="Labels - Opmaakprofiel3 3 2 8 5 4" xfId="27388"/>
    <cellStyle name="Labels - Opmaakprofiel3 3 2 8 5 5" xfId="39449"/>
    <cellStyle name="Labels - Opmaakprofiel3 3 2 8 5 6" xfId="48840"/>
    <cellStyle name="Labels - Opmaakprofiel3 3 2 8 6" xfId="5361"/>
    <cellStyle name="Labels - Opmaakprofiel3 3 2 8 6 2" xfId="9771"/>
    <cellStyle name="Labels - Opmaakprofiel3 3 2 8 6 2 2" xfId="22069"/>
    <cellStyle name="Labels - Opmaakprofiel3 3 2 8 6 2 3" xfId="34121"/>
    <cellStyle name="Labels - Opmaakprofiel3 3 2 8 6 2 4" xfId="28221"/>
    <cellStyle name="Labels - Opmaakprofiel3 3 2 8 6 2 5" xfId="54736"/>
    <cellStyle name="Labels - Opmaakprofiel3 3 2 8 6 3" xfId="15337"/>
    <cellStyle name="Labels - Opmaakprofiel3 3 2 8 6 4" xfId="27389"/>
    <cellStyle name="Labels - Opmaakprofiel3 3 2 8 6 5" xfId="39448"/>
    <cellStyle name="Labels - Opmaakprofiel3 3 2 8 6 6" xfId="48841"/>
    <cellStyle name="Labels - Opmaakprofiel3 3 2 8 7" xfId="5362"/>
    <cellStyle name="Labels - Opmaakprofiel3 3 2 8 7 2" xfId="15338"/>
    <cellStyle name="Labels - Opmaakprofiel3 3 2 8 7 3" xfId="27390"/>
    <cellStyle name="Labels - Opmaakprofiel3 3 2 8 7 4" xfId="45325"/>
    <cellStyle name="Labels - Opmaakprofiel3 3 2 8 7 5" xfId="48842"/>
    <cellStyle name="Labels - Opmaakprofiel3 3 2 8 8" xfId="7061"/>
    <cellStyle name="Labels - Opmaakprofiel3 3 2 8 8 2" xfId="19359"/>
    <cellStyle name="Labels - Opmaakprofiel3 3 2 8 8 3" xfId="41162"/>
    <cellStyle name="Labels - Opmaakprofiel3 3 2 8 8 4" xfId="36998"/>
    <cellStyle name="Labels - Opmaakprofiel3 3 2 8 8 5" xfId="52032"/>
    <cellStyle name="Labels - Opmaakprofiel3 3 2 8 9" xfId="15332"/>
    <cellStyle name="Labels - Opmaakprofiel3 3 2 9" xfId="1372"/>
    <cellStyle name="Labels - Opmaakprofiel3 3 2 9 2" xfId="1397"/>
    <cellStyle name="Labels - Opmaakprofiel3 3 2 9 2 2" xfId="9772"/>
    <cellStyle name="Labels - Opmaakprofiel3 3 2 9 2 2 2" xfId="22070"/>
    <cellStyle name="Labels - Opmaakprofiel3 3 2 9 2 2 3" xfId="34122"/>
    <cellStyle name="Labels - Opmaakprofiel3 3 2 9 2 2 4" xfId="42553"/>
    <cellStyle name="Labels - Opmaakprofiel3 3 2 9 2 2 5" xfId="54737"/>
    <cellStyle name="Labels - Opmaakprofiel3 3 2 9 2 3" xfId="15340"/>
    <cellStyle name="Labels - Opmaakprofiel3 3 2 9 2 4" xfId="27392"/>
    <cellStyle name="Labels - Opmaakprofiel3 3 2 9 2 5" xfId="45324"/>
    <cellStyle name="Labels - Opmaakprofiel3 3 2 9 2 6" xfId="48843"/>
    <cellStyle name="Labels - Opmaakprofiel3 3 2 9 3" xfId="3383"/>
    <cellStyle name="Labels - Opmaakprofiel3 3 2 9 3 2" xfId="9773"/>
    <cellStyle name="Labels - Opmaakprofiel3 3 2 9 3 2 2" xfId="22071"/>
    <cellStyle name="Labels - Opmaakprofiel3 3 2 9 3 2 3" xfId="34123"/>
    <cellStyle name="Labels - Opmaakprofiel3 3 2 9 3 2 4" xfId="31435"/>
    <cellStyle name="Labels - Opmaakprofiel3 3 2 9 3 2 5" xfId="54738"/>
    <cellStyle name="Labels - Opmaakprofiel3 3 2 9 3 3" xfId="15341"/>
    <cellStyle name="Labels - Opmaakprofiel3 3 2 9 3 4" xfId="27393"/>
    <cellStyle name="Labels - Opmaakprofiel3 3 2 9 3 5" xfId="39447"/>
    <cellStyle name="Labels - Opmaakprofiel3 3 2 9 3 6" xfId="48844"/>
    <cellStyle name="Labels - Opmaakprofiel3 3 2 9 4" xfId="4144"/>
    <cellStyle name="Labels - Opmaakprofiel3 3 2 9 4 2" xfId="9774"/>
    <cellStyle name="Labels - Opmaakprofiel3 3 2 9 4 2 2" xfId="22072"/>
    <cellStyle name="Labels - Opmaakprofiel3 3 2 9 4 2 3" xfId="34124"/>
    <cellStyle name="Labels - Opmaakprofiel3 3 2 9 4 2 4" xfId="42552"/>
    <cellStyle name="Labels - Opmaakprofiel3 3 2 9 4 2 5" xfId="54739"/>
    <cellStyle name="Labels - Opmaakprofiel3 3 2 9 4 3" xfId="15342"/>
    <cellStyle name="Labels - Opmaakprofiel3 3 2 9 4 4" xfId="27394"/>
    <cellStyle name="Labels - Opmaakprofiel3 3 2 9 4 5" xfId="45323"/>
    <cellStyle name="Labels - Opmaakprofiel3 3 2 9 4 6" xfId="48845"/>
    <cellStyle name="Labels - Opmaakprofiel3 3 2 9 5" xfId="5363"/>
    <cellStyle name="Labels - Opmaakprofiel3 3 2 9 5 2" xfId="9775"/>
    <cellStyle name="Labels - Opmaakprofiel3 3 2 9 5 2 2" xfId="22073"/>
    <cellStyle name="Labels - Opmaakprofiel3 3 2 9 5 2 3" xfId="34125"/>
    <cellStyle name="Labels - Opmaakprofiel3 3 2 9 5 2 4" xfId="31781"/>
    <cellStyle name="Labels - Opmaakprofiel3 3 2 9 5 2 5" xfId="54740"/>
    <cellStyle name="Labels - Opmaakprofiel3 3 2 9 5 3" xfId="15343"/>
    <cellStyle name="Labels - Opmaakprofiel3 3 2 9 5 4" xfId="27395"/>
    <cellStyle name="Labels - Opmaakprofiel3 3 2 9 5 5" xfId="39446"/>
    <cellStyle name="Labels - Opmaakprofiel3 3 2 9 5 6" xfId="48846"/>
    <cellStyle name="Labels - Opmaakprofiel3 3 2 9 6" xfId="5364"/>
    <cellStyle name="Labels - Opmaakprofiel3 3 2 9 6 2" xfId="9776"/>
    <cellStyle name="Labels - Opmaakprofiel3 3 2 9 6 2 2" xfId="22074"/>
    <cellStyle name="Labels - Opmaakprofiel3 3 2 9 6 2 3" xfId="34126"/>
    <cellStyle name="Labels - Opmaakprofiel3 3 2 9 6 2 4" xfId="42551"/>
    <cellStyle name="Labels - Opmaakprofiel3 3 2 9 6 2 5" xfId="54741"/>
    <cellStyle name="Labels - Opmaakprofiel3 3 2 9 6 3" xfId="15344"/>
    <cellStyle name="Labels - Opmaakprofiel3 3 2 9 6 4" xfId="27396"/>
    <cellStyle name="Labels - Opmaakprofiel3 3 2 9 6 5" xfId="45322"/>
    <cellStyle name="Labels - Opmaakprofiel3 3 2 9 6 6" xfId="48847"/>
    <cellStyle name="Labels - Opmaakprofiel3 3 2 9 7" xfId="5365"/>
    <cellStyle name="Labels - Opmaakprofiel3 3 2 9 7 2" xfId="15345"/>
    <cellStyle name="Labels - Opmaakprofiel3 3 2 9 7 3" xfId="27397"/>
    <cellStyle name="Labels - Opmaakprofiel3 3 2 9 7 4" xfId="39445"/>
    <cellStyle name="Labels - Opmaakprofiel3 3 2 9 7 5" xfId="48848"/>
    <cellStyle name="Labels - Opmaakprofiel3 3 2 9 8" xfId="7014"/>
    <cellStyle name="Labels - Opmaakprofiel3 3 2 9 8 2" xfId="19312"/>
    <cellStyle name="Labels - Opmaakprofiel3 3 2 9 8 3" xfId="41115"/>
    <cellStyle name="Labels - Opmaakprofiel3 3 2 9 8 4" xfId="37026"/>
    <cellStyle name="Labels - Opmaakprofiel3 3 2 9 8 5" xfId="51985"/>
    <cellStyle name="Labels - Opmaakprofiel3 3 2 9 9" xfId="15339"/>
    <cellStyle name="Labels - Opmaakprofiel3 3 3" xfId="577"/>
    <cellStyle name="Labels - Opmaakprofiel3 3 3 2" xfId="1626"/>
    <cellStyle name="Labels - Opmaakprofiel3 3 3 2 2" xfId="9777"/>
    <cellStyle name="Labels - Opmaakprofiel3 3 3 2 2 2" xfId="22075"/>
    <cellStyle name="Labels - Opmaakprofiel3 3 3 2 2 3" xfId="34127"/>
    <cellStyle name="Labels - Opmaakprofiel3 3 3 2 2 4" xfId="28226"/>
    <cellStyle name="Labels - Opmaakprofiel3 3 3 2 2 5" xfId="54742"/>
    <cellStyle name="Labels - Opmaakprofiel3 3 3 2 3" xfId="15347"/>
    <cellStyle name="Labels - Opmaakprofiel3 3 3 2 4" xfId="27399"/>
    <cellStyle name="Labels - Opmaakprofiel3 3 3 2 5" xfId="39444"/>
    <cellStyle name="Labels - Opmaakprofiel3 3 3 2 6" xfId="48849"/>
    <cellStyle name="Labels - Opmaakprofiel3 3 3 3" xfId="2648"/>
    <cellStyle name="Labels - Opmaakprofiel3 3 3 3 2" xfId="9778"/>
    <cellStyle name="Labels - Opmaakprofiel3 3 3 3 2 2" xfId="22076"/>
    <cellStyle name="Labels - Opmaakprofiel3 3 3 3 2 3" xfId="34128"/>
    <cellStyle name="Labels - Opmaakprofiel3 3 3 3 2 4" xfId="42550"/>
    <cellStyle name="Labels - Opmaakprofiel3 3 3 3 2 5" xfId="54743"/>
    <cellStyle name="Labels - Opmaakprofiel3 3 3 3 3" xfId="15348"/>
    <cellStyle name="Labels - Opmaakprofiel3 3 3 3 4" xfId="27400"/>
    <cellStyle name="Labels - Opmaakprofiel3 3 3 3 5" xfId="39443"/>
    <cellStyle name="Labels - Opmaakprofiel3 3 3 3 6" xfId="48850"/>
    <cellStyle name="Labels - Opmaakprofiel3 3 3 4" xfId="3525"/>
    <cellStyle name="Labels - Opmaakprofiel3 3 3 4 2" xfId="9779"/>
    <cellStyle name="Labels - Opmaakprofiel3 3 3 4 2 2" xfId="22077"/>
    <cellStyle name="Labels - Opmaakprofiel3 3 3 4 2 3" xfId="34129"/>
    <cellStyle name="Labels - Opmaakprofiel3 3 3 4 2 4" xfId="28227"/>
    <cellStyle name="Labels - Opmaakprofiel3 3 3 4 2 5" xfId="54744"/>
    <cellStyle name="Labels - Opmaakprofiel3 3 3 4 3" xfId="15349"/>
    <cellStyle name="Labels - Opmaakprofiel3 3 3 4 4" xfId="27401"/>
    <cellStyle name="Labels - Opmaakprofiel3 3 3 4 5" xfId="39442"/>
    <cellStyle name="Labels - Opmaakprofiel3 3 3 4 6" xfId="48851"/>
    <cellStyle name="Labels - Opmaakprofiel3 3 3 5" xfId="5366"/>
    <cellStyle name="Labels - Opmaakprofiel3 3 3 5 2" xfId="9780"/>
    <cellStyle name="Labels - Opmaakprofiel3 3 3 5 2 2" xfId="22078"/>
    <cellStyle name="Labels - Opmaakprofiel3 3 3 5 2 3" xfId="34130"/>
    <cellStyle name="Labels - Opmaakprofiel3 3 3 5 2 4" xfId="42549"/>
    <cellStyle name="Labels - Opmaakprofiel3 3 3 5 2 5" xfId="54745"/>
    <cellStyle name="Labels - Opmaakprofiel3 3 3 5 3" xfId="15350"/>
    <cellStyle name="Labels - Opmaakprofiel3 3 3 5 4" xfId="27402"/>
    <cellStyle name="Labels - Opmaakprofiel3 3 3 5 5" xfId="45320"/>
    <cellStyle name="Labels - Opmaakprofiel3 3 3 5 6" xfId="48852"/>
    <cellStyle name="Labels - Opmaakprofiel3 3 3 6" xfId="5367"/>
    <cellStyle name="Labels - Opmaakprofiel3 3 3 6 2" xfId="9781"/>
    <cellStyle name="Labels - Opmaakprofiel3 3 3 6 2 2" xfId="22079"/>
    <cellStyle name="Labels - Opmaakprofiel3 3 3 6 2 3" xfId="34131"/>
    <cellStyle name="Labels - Opmaakprofiel3 3 3 6 2 4" xfId="28228"/>
    <cellStyle name="Labels - Opmaakprofiel3 3 3 6 2 5" xfId="54746"/>
    <cellStyle name="Labels - Opmaakprofiel3 3 3 6 3" xfId="15351"/>
    <cellStyle name="Labels - Opmaakprofiel3 3 3 6 4" xfId="27403"/>
    <cellStyle name="Labels - Opmaakprofiel3 3 3 6 5" xfId="39441"/>
    <cellStyle name="Labels - Opmaakprofiel3 3 3 6 6" xfId="48853"/>
    <cellStyle name="Labels - Opmaakprofiel3 3 3 7" xfId="5368"/>
    <cellStyle name="Labels - Opmaakprofiel3 3 3 7 2" xfId="15352"/>
    <cellStyle name="Labels - Opmaakprofiel3 3 3 7 3" xfId="27404"/>
    <cellStyle name="Labels - Opmaakprofiel3 3 3 7 4" xfId="45319"/>
    <cellStyle name="Labels - Opmaakprofiel3 3 3 7 5" xfId="48854"/>
    <cellStyle name="Labels - Opmaakprofiel3 3 3 8" xfId="7597"/>
    <cellStyle name="Labels - Opmaakprofiel3 3 3 8 2" xfId="19895"/>
    <cellStyle name="Labels - Opmaakprofiel3 3 3 8 3" xfId="41698"/>
    <cellStyle name="Labels - Opmaakprofiel3 3 3 8 4" xfId="24887"/>
    <cellStyle name="Labels - Opmaakprofiel3 3 3 8 5" xfId="52567"/>
    <cellStyle name="Labels - Opmaakprofiel3 3 3 9" xfId="15346"/>
    <cellStyle name="Labels - Opmaakprofiel3 3 4" xfId="574"/>
    <cellStyle name="Labels - Opmaakprofiel3 3 4 2" xfId="2441"/>
    <cellStyle name="Labels - Opmaakprofiel3 3 4 2 2" xfId="9782"/>
    <cellStyle name="Labels - Opmaakprofiel3 3 4 2 2 2" xfId="22080"/>
    <cellStyle name="Labels - Opmaakprofiel3 3 4 2 2 3" xfId="34132"/>
    <cellStyle name="Labels - Opmaakprofiel3 3 4 2 2 4" xfId="28229"/>
    <cellStyle name="Labels - Opmaakprofiel3 3 4 2 2 5" xfId="54747"/>
    <cellStyle name="Labels - Opmaakprofiel3 3 4 2 3" xfId="15354"/>
    <cellStyle name="Labels - Opmaakprofiel3 3 4 2 4" xfId="27406"/>
    <cellStyle name="Labels - Opmaakprofiel3 3 4 2 5" xfId="45318"/>
    <cellStyle name="Labels - Opmaakprofiel3 3 4 2 6" xfId="48855"/>
    <cellStyle name="Labels - Opmaakprofiel3 3 4 3" xfId="2645"/>
    <cellStyle name="Labels - Opmaakprofiel3 3 4 3 2" xfId="9783"/>
    <cellStyle name="Labels - Opmaakprofiel3 3 4 3 2 2" xfId="22081"/>
    <cellStyle name="Labels - Opmaakprofiel3 3 4 3 2 3" xfId="34133"/>
    <cellStyle name="Labels - Opmaakprofiel3 3 4 3 2 4" xfId="31938"/>
    <cellStyle name="Labels - Opmaakprofiel3 3 4 3 2 5" xfId="54748"/>
    <cellStyle name="Labels - Opmaakprofiel3 3 4 3 3" xfId="15355"/>
    <cellStyle name="Labels - Opmaakprofiel3 3 4 3 4" xfId="27407"/>
    <cellStyle name="Labels - Opmaakprofiel3 3 4 3 5" xfId="39439"/>
    <cellStyle name="Labels - Opmaakprofiel3 3 4 3 6" xfId="48856"/>
    <cellStyle name="Labels - Opmaakprofiel3 3 4 4" xfId="3522"/>
    <cellStyle name="Labels - Opmaakprofiel3 3 4 4 2" xfId="9784"/>
    <cellStyle name="Labels - Opmaakprofiel3 3 4 4 2 2" xfId="22082"/>
    <cellStyle name="Labels - Opmaakprofiel3 3 4 4 2 3" xfId="34134"/>
    <cellStyle name="Labels - Opmaakprofiel3 3 4 4 2 4" xfId="42548"/>
    <cellStyle name="Labels - Opmaakprofiel3 3 4 4 2 5" xfId="54749"/>
    <cellStyle name="Labels - Opmaakprofiel3 3 4 4 3" xfId="15356"/>
    <cellStyle name="Labels - Opmaakprofiel3 3 4 4 4" xfId="27408"/>
    <cellStyle name="Labels - Opmaakprofiel3 3 4 4 5" xfId="45317"/>
    <cellStyle name="Labels - Opmaakprofiel3 3 4 4 6" xfId="48857"/>
    <cellStyle name="Labels - Opmaakprofiel3 3 4 5" xfId="5369"/>
    <cellStyle name="Labels - Opmaakprofiel3 3 4 5 2" xfId="9785"/>
    <cellStyle name="Labels - Opmaakprofiel3 3 4 5 2 2" xfId="22083"/>
    <cellStyle name="Labels - Opmaakprofiel3 3 4 5 2 3" xfId="34135"/>
    <cellStyle name="Labels - Opmaakprofiel3 3 4 5 2 4" xfId="28232"/>
    <cellStyle name="Labels - Opmaakprofiel3 3 4 5 2 5" xfId="54750"/>
    <cellStyle name="Labels - Opmaakprofiel3 3 4 5 3" xfId="15357"/>
    <cellStyle name="Labels - Opmaakprofiel3 3 4 5 4" xfId="27409"/>
    <cellStyle name="Labels - Opmaakprofiel3 3 4 5 5" xfId="39438"/>
    <cellStyle name="Labels - Opmaakprofiel3 3 4 5 6" xfId="48858"/>
    <cellStyle name="Labels - Opmaakprofiel3 3 4 6" xfId="5370"/>
    <cellStyle name="Labels - Opmaakprofiel3 3 4 6 2" xfId="9786"/>
    <cellStyle name="Labels - Opmaakprofiel3 3 4 6 2 2" xfId="22084"/>
    <cellStyle name="Labels - Opmaakprofiel3 3 4 6 2 3" xfId="34136"/>
    <cellStyle name="Labels - Opmaakprofiel3 3 4 6 2 4" xfId="42547"/>
    <cellStyle name="Labels - Opmaakprofiel3 3 4 6 2 5" xfId="54751"/>
    <cellStyle name="Labels - Opmaakprofiel3 3 4 6 3" xfId="15358"/>
    <cellStyle name="Labels - Opmaakprofiel3 3 4 6 4" xfId="27410"/>
    <cellStyle name="Labels - Opmaakprofiel3 3 4 6 5" xfId="45316"/>
    <cellStyle name="Labels - Opmaakprofiel3 3 4 6 6" xfId="48859"/>
    <cellStyle name="Labels - Opmaakprofiel3 3 4 7" xfId="5371"/>
    <cellStyle name="Labels - Opmaakprofiel3 3 4 7 2" xfId="15359"/>
    <cellStyle name="Labels - Opmaakprofiel3 3 4 7 3" xfId="27411"/>
    <cellStyle name="Labels - Opmaakprofiel3 3 4 7 4" xfId="39437"/>
    <cellStyle name="Labels - Opmaakprofiel3 3 4 7 5" xfId="48860"/>
    <cellStyle name="Labels - Opmaakprofiel3 3 4 8" xfId="7599"/>
    <cellStyle name="Labels - Opmaakprofiel3 3 4 8 2" xfId="19897"/>
    <cellStyle name="Labels - Opmaakprofiel3 3 4 8 3" xfId="41700"/>
    <cellStyle name="Labels - Opmaakprofiel3 3 4 8 4" xfId="31804"/>
    <cellStyle name="Labels - Opmaakprofiel3 3 4 8 5" xfId="52569"/>
    <cellStyle name="Labels - Opmaakprofiel3 3 4 9" xfId="15353"/>
    <cellStyle name="Labels - Opmaakprofiel3 3 5" xfId="567"/>
    <cellStyle name="Labels - Opmaakprofiel3 3 5 2" xfId="2375"/>
    <cellStyle name="Labels - Opmaakprofiel3 3 5 2 2" xfId="9787"/>
    <cellStyle name="Labels - Opmaakprofiel3 3 5 2 2 2" xfId="22085"/>
    <cellStyle name="Labels - Opmaakprofiel3 3 5 2 2 3" xfId="34137"/>
    <cellStyle name="Labels - Opmaakprofiel3 3 5 2 2 4" xfId="31387"/>
    <cellStyle name="Labels - Opmaakprofiel3 3 5 2 2 5" xfId="54752"/>
    <cellStyle name="Labels - Opmaakprofiel3 3 5 2 3" xfId="15361"/>
    <cellStyle name="Labels - Opmaakprofiel3 3 5 2 4" xfId="27413"/>
    <cellStyle name="Labels - Opmaakprofiel3 3 5 2 5" xfId="39435"/>
    <cellStyle name="Labels - Opmaakprofiel3 3 5 2 6" xfId="48861"/>
    <cellStyle name="Labels - Opmaakprofiel3 3 5 3" xfId="2638"/>
    <cellStyle name="Labels - Opmaakprofiel3 3 5 3 2" xfId="9788"/>
    <cellStyle name="Labels - Opmaakprofiel3 3 5 3 2 2" xfId="22086"/>
    <cellStyle name="Labels - Opmaakprofiel3 3 5 3 2 3" xfId="34138"/>
    <cellStyle name="Labels - Opmaakprofiel3 3 5 3 2 4" xfId="42546"/>
    <cellStyle name="Labels - Opmaakprofiel3 3 5 3 2 5" xfId="54753"/>
    <cellStyle name="Labels - Opmaakprofiel3 3 5 3 3" xfId="15362"/>
    <cellStyle name="Labels - Opmaakprofiel3 3 5 3 4" xfId="27414"/>
    <cellStyle name="Labels - Opmaakprofiel3 3 5 3 5" xfId="45315"/>
    <cellStyle name="Labels - Opmaakprofiel3 3 5 3 6" xfId="48862"/>
    <cellStyle name="Labels - Opmaakprofiel3 3 5 4" xfId="3516"/>
    <cellStyle name="Labels - Opmaakprofiel3 3 5 4 2" xfId="9789"/>
    <cellStyle name="Labels - Opmaakprofiel3 3 5 4 2 2" xfId="22087"/>
    <cellStyle name="Labels - Opmaakprofiel3 3 5 4 2 3" xfId="34139"/>
    <cellStyle name="Labels - Opmaakprofiel3 3 5 4 2 4" xfId="34750"/>
    <cellStyle name="Labels - Opmaakprofiel3 3 5 4 2 5" xfId="54754"/>
    <cellStyle name="Labels - Opmaakprofiel3 3 5 4 3" xfId="15363"/>
    <cellStyle name="Labels - Opmaakprofiel3 3 5 4 4" xfId="27415"/>
    <cellStyle name="Labels - Opmaakprofiel3 3 5 4 5" xfId="39434"/>
    <cellStyle name="Labels - Opmaakprofiel3 3 5 4 6" xfId="48863"/>
    <cellStyle name="Labels - Opmaakprofiel3 3 5 5" xfId="5372"/>
    <cellStyle name="Labels - Opmaakprofiel3 3 5 5 2" xfId="9790"/>
    <cellStyle name="Labels - Opmaakprofiel3 3 5 5 2 2" xfId="22088"/>
    <cellStyle name="Labels - Opmaakprofiel3 3 5 5 2 3" xfId="34140"/>
    <cellStyle name="Labels - Opmaakprofiel3 3 5 5 2 4" xfId="42545"/>
    <cellStyle name="Labels - Opmaakprofiel3 3 5 5 2 5" xfId="54755"/>
    <cellStyle name="Labels - Opmaakprofiel3 3 5 5 3" xfId="15364"/>
    <cellStyle name="Labels - Opmaakprofiel3 3 5 5 4" xfId="27416"/>
    <cellStyle name="Labels - Opmaakprofiel3 3 5 5 5" xfId="45314"/>
    <cellStyle name="Labels - Opmaakprofiel3 3 5 5 6" xfId="48864"/>
    <cellStyle name="Labels - Opmaakprofiel3 3 5 6" xfId="5373"/>
    <cellStyle name="Labels - Opmaakprofiel3 3 5 6 2" xfId="9791"/>
    <cellStyle name="Labels - Opmaakprofiel3 3 5 6 2 2" xfId="22089"/>
    <cellStyle name="Labels - Opmaakprofiel3 3 5 6 2 3" xfId="34141"/>
    <cellStyle name="Labels - Opmaakprofiel3 3 5 6 2 4" xfId="32087"/>
    <cellStyle name="Labels - Opmaakprofiel3 3 5 6 2 5" xfId="54756"/>
    <cellStyle name="Labels - Opmaakprofiel3 3 5 6 3" xfId="15365"/>
    <cellStyle name="Labels - Opmaakprofiel3 3 5 6 4" xfId="27417"/>
    <cellStyle name="Labels - Opmaakprofiel3 3 5 6 5" xfId="39433"/>
    <cellStyle name="Labels - Opmaakprofiel3 3 5 6 6" xfId="48865"/>
    <cellStyle name="Labels - Opmaakprofiel3 3 5 7" xfId="5374"/>
    <cellStyle name="Labels - Opmaakprofiel3 3 5 7 2" xfId="15366"/>
    <cellStyle name="Labels - Opmaakprofiel3 3 5 7 3" xfId="27418"/>
    <cellStyle name="Labels - Opmaakprofiel3 3 5 7 4" xfId="45313"/>
    <cellStyle name="Labels - Opmaakprofiel3 3 5 7 5" xfId="48866"/>
    <cellStyle name="Labels - Opmaakprofiel3 3 5 8" xfId="7604"/>
    <cellStyle name="Labels - Opmaakprofiel3 3 5 8 2" xfId="19902"/>
    <cellStyle name="Labels - Opmaakprofiel3 3 5 8 3" xfId="41705"/>
    <cellStyle name="Labels - Opmaakprofiel3 3 5 8 4" xfId="43439"/>
    <cellStyle name="Labels - Opmaakprofiel3 3 5 8 5" xfId="52574"/>
    <cellStyle name="Labels - Opmaakprofiel3 3 5 9" xfId="15360"/>
    <cellStyle name="Labels - Opmaakprofiel3 3 6" xfId="599"/>
    <cellStyle name="Labels - Opmaakprofiel3 3 6 2" xfId="2401"/>
    <cellStyle name="Labels - Opmaakprofiel3 3 6 2 2" xfId="9792"/>
    <cellStyle name="Labels - Opmaakprofiel3 3 6 2 2 2" xfId="22090"/>
    <cellStyle name="Labels - Opmaakprofiel3 3 6 2 2 3" xfId="34142"/>
    <cellStyle name="Labels - Opmaakprofiel3 3 6 2 2 4" xfId="42544"/>
    <cellStyle name="Labels - Opmaakprofiel3 3 6 2 2 5" xfId="54757"/>
    <cellStyle name="Labels - Opmaakprofiel3 3 6 2 3" xfId="15368"/>
    <cellStyle name="Labels - Opmaakprofiel3 3 6 2 4" xfId="27420"/>
    <cellStyle name="Labels - Opmaakprofiel3 3 6 2 5" xfId="45312"/>
    <cellStyle name="Labels - Opmaakprofiel3 3 6 2 6" xfId="48867"/>
    <cellStyle name="Labels - Opmaakprofiel3 3 6 3" xfId="2670"/>
    <cellStyle name="Labels - Opmaakprofiel3 3 6 3 2" xfId="9793"/>
    <cellStyle name="Labels - Opmaakprofiel3 3 6 3 2 2" xfId="22091"/>
    <cellStyle name="Labels - Opmaakprofiel3 3 6 3 2 3" xfId="34143"/>
    <cellStyle name="Labels - Opmaakprofiel3 3 6 3 2 4" xfId="28239"/>
    <cellStyle name="Labels - Opmaakprofiel3 3 6 3 2 5" xfId="54758"/>
    <cellStyle name="Labels - Opmaakprofiel3 3 6 3 3" xfId="15369"/>
    <cellStyle name="Labels - Opmaakprofiel3 3 6 3 4" xfId="27421"/>
    <cellStyle name="Labels - Opmaakprofiel3 3 6 3 5" xfId="39431"/>
    <cellStyle name="Labels - Opmaakprofiel3 3 6 3 6" xfId="48868"/>
    <cellStyle name="Labels - Opmaakprofiel3 3 6 4" xfId="3542"/>
    <cellStyle name="Labels - Opmaakprofiel3 3 6 4 2" xfId="9794"/>
    <cellStyle name="Labels - Opmaakprofiel3 3 6 4 2 2" xfId="22092"/>
    <cellStyle name="Labels - Opmaakprofiel3 3 6 4 2 3" xfId="34144"/>
    <cellStyle name="Labels - Opmaakprofiel3 3 6 4 2 4" xfId="28240"/>
    <cellStyle name="Labels - Opmaakprofiel3 3 6 4 2 5" xfId="54759"/>
    <cellStyle name="Labels - Opmaakprofiel3 3 6 4 3" xfId="15370"/>
    <cellStyle name="Labels - Opmaakprofiel3 3 6 4 4" xfId="27422"/>
    <cellStyle name="Labels - Opmaakprofiel3 3 6 4 5" xfId="45311"/>
    <cellStyle name="Labels - Opmaakprofiel3 3 6 4 6" xfId="48869"/>
    <cellStyle name="Labels - Opmaakprofiel3 3 6 5" xfId="5375"/>
    <cellStyle name="Labels - Opmaakprofiel3 3 6 5 2" xfId="9795"/>
    <cellStyle name="Labels - Opmaakprofiel3 3 6 5 2 2" xfId="22093"/>
    <cellStyle name="Labels - Opmaakprofiel3 3 6 5 2 3" xfId="34145"/>
    <cellStyle name="Labels - Opmaakprofiel3 3 6 5 2 4" xfId="28241"/>
    <cellStyle name="Labels - Opmaakprofiel3 3 6 5 2 5" xfId="54760"/>
    <cellStyle name="Labels - Opmaakprofiel3 3 6 5 3" xfId="15371"/>
    <cellStyle name="Labels - Opmaakprofiel3 3 6 5 4" xfId="27423"/>
    <cellStyle name="Labels - Opmaakprofiel3 3 6 5 5" xfId="39430"/>
    <cellStyle name="Labels - Opmaakprofiel3 3 6 5 6" xfId="48870"/>
    <cellStyle name="Labels - Opmaakprofiel3 3 6 6" xfId="5376"/>
    <cellStyle name="Labels - Opmaakprofiel3 3 6 6 2" xfId="9796"/>
    <cellStyle name="Labels - Opmaakprofiel3 3 6 6 2 2" xfId="22094"/>
    <cellStyle name="Labels - Opmaakprofiel3 3 6 6 2 3" xfId="34146"/>
    <cellStyle name="Labels - Opmaakprofiel3 3 6 6 2 4" xfId="42543"/>
    <cellStyle name="Labels - Opmaakprofiel3 3 6 6 2 5" xfId="54761"/>
    <cellStyle name="Labels - Opmaakprofiel3 3 6 6 3" xfId="15372"/>
    <cellStyle name="Labels - Opmaakprofiel3 3 6 6 4" xfId="27424"/>
    <cellStyle name="Labels - Opmaakprofiel3 3 6 6 5" xfId="39429"/>
    <cellStyle name="Labels - Opmaakprofiel3 3 6 6 6" xfId="48871"/>
    <cellStyle name="Labels - Opmaakprofiel3 3 6 7" xfId="5377"/>
    <cellStyle name="Labels - Opmaakprofiel3 3 6 7 2" xfId="15373"/>
    <cellStyle name="Labels - Opmaakprofiel3 3 6 7 3" xfId="27425"/>
    <cellStyle name="Labels - Opmaakprofiel3 3 6 7 4" xfId="39428"/>
    <cellStyle name="Labels - Opmaakprofiel3 3 6 7 5" xfId="48872"/>
    <cellStyle name="Labels - Opmaakprofiel3 3 6 8" xfId="7583"/>
    <cellStyle name="Labels - Opmaakprofiel3 3 6 8 2" xfId="19881"/>
    <cellStyle name="Labels - Opmaakprofiel3 3 6 8 3" xfId="41684"/>
    <cellStyle name="Labels - Opmaakprofiel3 3 6 8 4" xfId="24856"/>
    <cellStyle name="Labels - Opmaakprofiel3 3 6 8 5" xfId="52553"/>
    <cellStyle name="Labels - Opmaakprofiel3 3 6 9" xfId="15367"/>
    <cellStyle name="Labels - Opmaakprofiel3 3 7" xfId="538"/>
    <cellStyle name="Labels - Opmaakprofiel3 3 7 2" xfId="1882"/>
    <cellStyle name="Labels - Opmaakprofiel3 3 7 2 2" xfId="9797"/>
    <cellStyle name="Labels - Opmaakprofiel3 3 7 2 2 2" xfId="22095"/>
    <cellStyle name="Labels - Opmaakprofiel3 3 7 2 2 3" xfId="34147"/>
    <cellStyle name="Labels - Opmaakprofiel3 3 7 2 2 4" xfId="31466"/>
    <cellStyle name="Labels - Opmaakprofiel3 3 7 2 2 5" xfId="54762"/>
    <cellStyle name="Labels - Opmaakprofiel3 3 7 2 3" xfId="15375"/>
    <cellStyle name="Labels - Opmaakprofiel3 3 7 2 4" xfId="27427"/>
    <cellStyle name="Labels - Opmaakprofiel3 3 7 2 5" xfId="39427"/>
    <cellStyle name="Labels - Opmaakprofiel3 3 7 2 6" xfId="48873"/>
    <cellStyle name="Labels - Opmaakprofiel3 3 7 3" xfId="2609"/>
    <cellStyle name="Labels - Opmaakprofiel3 3 7 3 2" xfId="9798"/>
    <cellStyle name="Labels - Opmaakprofiel3 3 7 3 2 2" xfId="22096"/>
    <cellStyle name="Labels - Opmaakprofiel3 3 7 3 2 3" xfId="34148"/>
    <cellStyle name="Labels - Opmaakprofiel3 3 7 3 2 4" xfId="42542"/>
    <cellStyle name="Labels - Opmaakprofiel3 3 7 3 2 5" xfId="54763"/>
    <cellStyle name="Labels - Opmaakprofiel3 3 7 3 3" xfId="15376"/>
    <cellStyle name="Labels - Opmaakprofiel3 3 7 3 4" xfId="27428"/>
    <cellStyle name="Labels - Opmaakprofiel3 3 7 3 5" xfId="45309"/>
    <cellStyle name="Labels - Opmaakprofiel3 3 7 3 6" xfId="48874"/>
    <cellStyle name="Labels - Opmaakprofiel3 3 7 4" xfId="3488"/>
    <cellStyle name="Labels - Opmaakprofiel3 3 7 4 2" xfId="9799"/>
    <cellStyle name="Labels - Opmaakprofiel3 3 7 4 2 2" xfId="22097"/>
    <cellStyle name="Labels - Opmaakprofiel3 3 7 4 2 3" xfId="34149"/>
    <cellStyle name="Labels - Opmaakprofiel3 3 7 4 2 4" xfId="28244"/>
    <cellStyle name="Labels - Opmaakprofiel3 3 7 4 2 5" xfId="54764"/>
    <cellStyle name="Labels - Opmaakprofiel3 3 7 4 3" xfId="15377"/>
    <cellStyle name="Labels - Opmaakprofiel3 3 7 4 4" xfId="27429"/>
    <cellStyle name="Labels - Opmaakprofiel3 3 7 4 5" xfId="39426"/>
    <cellStyle name="Labels - Opmaakprofiel3 3 7 4 6" xfId="48875"/>
    <cellStyle name="Labels - Opmaakprofiel3 3 7 5" xfId="5378"/>
    <cellStyle name="Labels - Opmaakprofiel3 3 7 5 2" xfId="9800"/>
    <cellStyle name="Labels - Opmaakprofiel3 3 7 5 2 2" xfId="22098"/>
    <cellStyle name="Labels - Opmaakprofiel3 3 7 5 2 3" xfId="34150"/>
    <cellStyle name="Labels - Opmaakprofiel3 3 7 5 2 4" xfId="34187"/>
    <cellStyle name="Labels - Opmaakprofiel3 3 7 5 2 5" xfId="54765"/>
    <cellStyle name="Labels - Opmaakprofiel3 3 7 5 3" xfId="15378"/>
    <cellStyle name="Labels - Opmaakprofiel3 3 7 5 4" xfId="27430"/>
    <cellStyle name="Labels - Opmaakprofiel3 3 7 5 5" xfId="45308"/>
    <cellStyle name="Labels - Opmaakprofiel3 3 7 5 6" xfId="48876"/>
    <cellStyle name="Labels - Opmaakprofiel3 3 7 6" xfId="5379"/>
    <cellStyle name="Labels - Opmaakprofiel3 3 7 6 2" xfId="9801"/>
    <cellStyle name="Labels - Opmaakprofiel3 3 7 6 2 2" xfId="22099"/>
    <cellStyle name="Labels - Opmaakprofiel3 3 7 6 2 3" xfId="34151"/>
    <cellStyle name="Labels - Opmaakprofiel3 3 7 6 2 4" xfId="42541"/>
    <cellStyle name="Labels - Opmaakprofiel3 3 7 6 2 5" xfId="54766"/>
    <cellStyle name="Labels - Opmaakprofiel3 3 7 6 3" xfId="15379"/>
    <cellStyle name="Labels - Opmaakprofiel3 3 7 6 4" xfId="27431"/>
    <cellStyle name="Labels - Opmaakprofiel3 3 7 6 5" xfId="39425"/>
    <cellStyle name="Labels - Opmaakprofiel3 3 7 6 6" xfId="48877"/>
    <cellStyle name="Labels - Opmaakprofiel3 3 7 7" xfId="5380"/>
    <cellStyle name="Labels - Opmaakprofiel3 3 7 7 2" xfId="15380"/>
    <cellStyle name="Labels - Opmaakprofiel3 3 7 7 3" xfId="27432"/>
    <cellStyle name="Labels - Opmaakprofiel3 3 7 7 4" xfId="45307"/>
    <cellStyle name="Labels - Opmaakprofiel3 3 7 7 5" xfId="48878"/>
    <cellStyle name="Labels - Opmaakprofiel3 3 7 8" xfId="7623"/>
    <cellStyle name="Labels - Opmaakprofiel3 3 7 8 2" xfId="19921"/>
    <cellStyle name="Labels - Opmaakprofiel3 3 7 8 3" xfId="41724"/>
    <cellStyle name="Labels - Opmaakprofiel3 3 7 8 4" xfId="34378"/>
    <cellStyle name="Labels - Opmaakprofiel3 3 7 8 5" xfId="52593"/>
    <cellStyle name="Labels - Opmaakprofiel3 3 7 9" xfId="15374"/>
    <cellStyle name="Labels - Opmaakprofiel3 3 8" xfId="1192"/>
    <cellStyle name="Labels - Opmaakprofiel3 3 8 2" xfId="2068"/>
    <cellStyle name="Labels - Opmaakprofiel3 3 8 2 2" xfId="9802"/>
    <cellStyle name="Labels - Opmaakprofiel3 3 8 2 2 2" xfId="22100"/>
    <cellStyle name="Labels - Opmaakprofiel3 3 8 2 2 3" xfId="34152"/>
    <cellStyle name="Labels - Opmaakprofiel3 3 8 2 2 4" xfId="32058"/>
    <cellStyle name="Labels - Opmaakprofiel3 3 8 2 2 5" xfId="54767"/>
    <cellStyle name="Labels - Opmaakprofiel3 3 8 2 3" xfId="15382"/>
    <cellStyle name="Labels - Opmaakprofiel3 3 8 2 4" xfId="27434"/>
    <cellStyle name="Labels - Opmaakprofiel3 3 8 2 5" xfId="45306"/>
    <cellStyle name="Labels - Opmaakprofiel3 3 8 2 6" xfId="48879"/>
    <cellStyle name="Labels - Opmaakprofiel3 3 8 3" xfId="3203"/>
    <cellStyle name="Labels - Opmaakprofiel3 3 8 3 2" xfId="9803"/>
    <cellStyle name="Labels - Opmaakprofiel3 3 8 3 2 2" xfId="22101"/>
    <cellStyle name="Labels - Opmaakprofiel3 3 8 3 2 3" xfId="34153"/>
    <cellStyle name="Labels - Opmaakprofiel3 3 8 3 2 4" xfId="42540"/>
    <cellStyle name="Labels - Opmaakprofiel3 3 8 3 2 5" xfId="54768"/>
    <cellStyle name="Labels - Opmaakprofiel3 3 8 3 3" xfId="15383"/>
    <cellStyle name="Labels - Opmaakprofiel3 3 8 3 4" xfId="27435"/>
    <cellStyle name="Labels - Opmaakprofiel3 3 8 3 5" xfId="39423"/>
    <cellStyle name="Labels - Opmaakprofiel3 3 8 3 6" xfId="48880"/>
    <cellStyle name="Labels - Opmaakprofiel3 3 8 4" xfId="4021"/>
    <cellStyle name="Labels - Opmaakprofiel3 3 8 4 2" xfId="9804"/>
    <cellStyle name="Labels - Opmaakprofiel3 3 8 4 2 2" xfId="22102"/>
    <cellStyle name="Labels - Opmaakprofiel3 3 8 4 2 3" xfId="34154"/>
    <cellStyle name="Labels - Opmaakprofiel3 3 8 4 2 4" xfId="34773"/>
    <cellStyle name="Labels - Opmaakprofiel3 3 8 4 2 5" xfId="54769"/>
    <cellStyle name="Labels - Opmaakprofiel3 3 8 4 3" xfId="15384"/>
    <cellStyle name="Labels - Opmaakprofiel3 3 8 4 4" xfId="27436"/>
    <cellStyle name="Labels - Opmaakprofiel3 3 8 4 5" xfId="39422"/>
    <cellStyle name="Labels - Opmaakprofiel3 3 8 4 6" xfId="48881"/>
    <cellStyle name="Labels - Opmaakprofiel3 3 8 5" xfId="5381"/>
    <cellStyle name="Labels - Opmaakprofiel3 3 8 5 2" xfId="9805"/>
    <cellStyle name="Labels - Opmaakprofiel3 3 8 5 2 2" xfId="22103"/>
    <cellStyle name="Labels - Opmaakprofiel3 3 8 5 2 3" xfId="34155"/>
    <cellStyle name="Labels - Opmaakprofiel3 3 8 5 2 4" xfId="42539"/>
    <cellStyle name="Labels - Opmaakprofiel3 3 8 5 2 5" xfId="54770"/>
    <cellStyle name="Labels - Opmaakprofiel3 3 8 5 3" xfId="15385"/>
    <cellStyle name="Labels - Opmaakprofiel3 3 8 5 4" xfId="27437"/>
    <cellStyle name="Labels - Opmaakprofiel3 3 8 5 5" xfId="45305"/>
    <cellStyle name="Labels - Opmaakprofiel3 3 8 5 6" xfId="48882"/>
    <cellStyle name="Labels - Opmaakprofiel3 3 8 6" xfId="5382"/>
    <cellStyle name="Labels - Opmaakprofiel3 3 8 6 2" xfId="9806"/>
    <cellStyle name="Labels - Opmaakprofiel3 3 8 6 2 2" xfId="22104"/>
    <cellStyle name="Labels - Opmaakprofiel3 3 8 6 2 3" xfId="34156"/>
    <cellStyle name="Labels - Opmaakprofiel3 3 8 6 2 4" xfId="28251"/>
    <cellStyle name="Labels - Opmaakprofiel3 3 8 6 2 5" xfId="54771"/>
    <cellStyle name="Labels - Opmaakprofiel3 3 8 6 3" xfId="15386"/>
    <cellStyle name="Labels - Opmaakprofiel3 3 8 6 4" xfId="27438"/>
    <cellStyle name="Labels - Opmaakprofiel3 3 8 6 5" xfId="39421"/>
    <cellStyle name="Labels - Opmaakprofiel3 3 8 6 6" xfId="48883"/>
    <cellStyle name="Labels - Opmaakprofiel3 3 8 7" xfId="5383"/>
    <cellStyle name="Labels - Opmaakprofiel3 3 8 7 2" xfId="15387"/>
    <cellStyle name="Labels - Opmaakprofiel3 3 8 7 3" xfId="27439"/>
    <cellStyle name="Labels - Opmaakprofiel3 3 8 7 4" xfId="45304"/>
    <cellStyle name="Labels - Opmaakprofiel3 3 8 7 5" xfId="48884"/>
    <cellStyle name="Labels - Opmaakprofiel3 3 8 8" xfId="7180"/>
    <cellStyle name="Labels - Opmaakprofiel3 3 8 8 2" xfId="19478"/>
    <cellStyle name="Labels - Opmaakprofiel3 3 8 8 3" xfId="41281"/>
    <cellStyle name="Labels - Opmaakprofiel3 3 8 8 4" xfId="36929"/>
    <cellStyle name="Labels - Opmaakprofiel3 3 8 8 5" xfId="52150"/>
    <cellStyle name="Labels - Opmaakprofiel3 3 8 9" xfId="15381"/>
    <cellStyle name="Labels - Opmaakprofiel3 3 9" xfId="1306"/>
    <cellStyle name="Labels - Opmaakprofiel3 3 9 2" xfId="2227"/>
    <cellStyle name="Labels - Opmaakprofiel3 3 9 2 2" xfId="9808"/>
    <cellStyle name="Labels - Opmaakprofiel3 3 9 2 2 2" xfId="22106"/>
    <cellStyle name="Labels - Opmaakprofiel3 3 9 2 2 3" xfId="34158"/>
    <cellStyle name="Labels - Opmaakprofiel3 3 9 2 2 4" xfId="31446"/>
    <cellStyle name="Labels - Opmaakprofiel3 3 9 2 2 5" xfId="54773"/>
    <cellStyle name="Labels - Opmaakprofiel3 3 9 2 3" xfId="15389"/>
    <cellStyle name="Labels - Opmaakprofiel3 3 9 2 4" xfId="27441"/>
    <cellStyle name="Labels - Opmaakprofiel3 3 9 2 5" xfId="45303"/>
    <cellStyle name="Labels - Opmaakprofiel3 3 9 2 6" xfId="48885"/>
    <cellStyle name="Labels - Opmaakprofiel3 3 9 3" xfId="3317"/>
    <cellStyle name="Labels - Opmaakprofiel3 3 9 3 2" xfId="9809"/>
    <cellStyle name="Labels - Opmaakprofiel3 3 9 3 2 2" xfId="22107"/>
    <cellStyle name="Labels - Opmaakprofiel3 3 9 3 2 3" xfId="34159"/>
    <cellStyle name="Labels - Opmaakprofiel3 3 9 3 2 4" xfId="32124"/>
    <cellStyle name="Labels - Opmaakprofiel3 3 9 3 2 5" xfId="54774"/>
    <cellStyle name="Labels - Opmaakprofiel3 3 9 3 3" xfId="15390"/>
    <cellStyle name="Labels - Opmaakprofiel3 3 9 3 4" xfId="27442"/>
    <cellStyle name="Labels - Opmaakprofiel3 3 9 3 5" xfId="39420"/>
    <cellStyle name="Labels - Opmaakprofiel3 3 9 3 6" xfId="48886"/>
    <cellStyle name="Labels - Opmaakprofiel3 3 9 4" xfId="4098"/>
    <cellStyle name="Labels - Opmaakprofiel3 3 9 4 2" xfId="9810"/>
    <cellStyle name="Labels - Opmaakprofiel3 3 9 4 2 2" xfId="22108"/>
    <cellStyle name="Labels - Opmaakprofiel3 3 9 4 2 3" xfId="34160"/>
    <cellStyle name="Labels - Opmaakprofiel3 3 9 4 2 4" xfId="42537"/>
    <cellStyle name="Labels - Opmaakprofiel3 3 9 4 2 5" xfId="54775"/>
    <cellStyle name="Labels - Opmaakprofiel3 3 9 4 3" xfId="15391"/>
    <cellStyle name="Labels - Opmaakprofiel3 3 9 4 4" xfId="27443"/>
    <cellStyle name="Labels - Opmaakprofiel3 3 9 4 5" xfId="45302"/>
    <cellStyle name="Labels - Opmaakprofiel3 3 9 4 6" xfId="48887"/>
    <cellStyle name="Labels - Opmaakprofiel3 3 9 5" xfId="5384"/>
    <cellStyle name="Labels - Opmaakprofiel3 3 9 5 2" xfId="9811"/>
    <cellStyle name="Labels - Opmaakprofiel3 3 9 5 2 2" xfId="22109"/>
    <cellStyle name="Labels - Opmaakprofiel3 3 9 5 2 3" xfId="34161"/>
    <cellStyle name="Labels - Opmaakprofiel3 3 9 5 2 4" xfId="28256"/>
    <cellStyle name="Labels - Opmaakprofiel3 3 9 5 2 5" xfId="54776"/>
    <cellStyle name="Labels - Opmaakprofiel3 3 9 5 3" xfId="15392"/>
    <cellStyle name="Labels - Opmaakprofiel3 3 9 5 4" xfId="27444"/>
    <cellStyle name="Labels - Opmaakprofiel3 3 9 5 5" xfId="39419"/>
    <cellStyle name="Labels - Opmaakprofiel3 3 9 5 6" xfId="48888"/>
    <cellStyle name="Labels - Opmaakprofiel3 3 9 6" xfId="5385"/>
    <cellStyle name="Labels - Opmaakprofiel3 3 9 6 2" xfId="9812"/>
    <cellStyle name="Labels - Opmaakprofiel3 3 9 6 2 2" xfId="22110"/>
    <cellStyle name="Labels - Opmaakprofiel3 3 9 6 2 3" xfId="34162"/>
    <cellStyle name="Labels - Opmaakprofiel3 3 9 6 2 4" xfId="42536"/>
    <cellStyle name="Labels - Opmaakprofiel3 3 9 6 2 5" xfId="54777"/>
    <cellStyle name="Labels - Opmaakprofiel3 3 9 6 3" xfId="15393"/>
    <cellStyle name="Labels - Opmaakprofiel3 3 9 6 4" xfId="27445"/>
    <cellStyle name="Labels - Opmaakprofiel3 3 9 6 5" xfId="39418"/>
    <cellStyle name="Labels - Opmaakprofiel3 3 9 6 6" xfId="48889"/>
    <cellStyle name="Labels - Opmaakprofiel3 3 9 7" xfId="5386"/>
    <cellStyle name="Labels - Opmaakprofiel3 3 9 7 2" xfId="15394"/>
    <cellStyle name="Labels - Opmaakprofiel3 3 9 7 3" xfId="27446"/>
    <cellStyle name="Labels - Opmaakprofiel3 3 9 7 4" xfId="45301"/>
    <cellStyle name="Labels - Opmaakprofiel3 3 9 7 5" xfId="48890"/>
    <cellStyle name="Labels - Opmaakprofiel3 3 9 8" xfId="7071"/>
    <cellStyle name="Labels - Opmaakprofiel3 3 9 8 2" xfId="19369"/>
    <cellStyle name="Labels - Opmaakprofiel3 3 9 8 3" xfId="41172"/>
    <cellStyle name="Labels - Opmaakprofiel3 3 9 8 4" xfId="36992"/>
    <cellStyle name="Labels - Opmaakprofiel3 3 9 8 5" xfId="52042"/>
    <cellStyle name="Labels - Opmaakprofiel3 3 9 9" xfId="15388"/>
    <cellStyle name="Labels - Opmaakprofiel3 4" xfId="352"/>
    <cellStyle name="Labels - Opmaakprofiel3 4 10" xfId="2289"/>
    <cellStyle name="Labels - Opmaakprofiel3 4 10 2" xfId="9814"/>
    <cellStyle name="Labels - Opmaakprofiel3 4 10 2 2" xfId="22112"/>
    <cellStyle name="Labels - Opmaakprofiel3 4 10 2 3" xfId="34164"/>
    <cellStyle name="Labels - Opmaakprofiel3 4 10 2 4" xfId="42535"/>
    <cellStyle name="Labels - Opmaakprofiel3 4 10 2 5" xfId="54779"/>
    <cellStyle name="Labels - Opmaakprofiel3 4 10 3" xfId="15396"/>
    <cellStyle name="Labels - Opmaakprofiel3 4 10 4" xfId="27448"/>
    <cellStyle name="Labels - Opmaakprofiel3 4 10 5" xfId="45300"/>
    <cellStyle name="Labels - Opmaakprofiel3 4 10 6" xfId="48891"/>
    <cellStyle name="Labels - Opmaakprofiel3 4 11" xfId="1677"/>
    <cellStyle name="Labels - Opmaakprofiel3 4 11 2" xfId="9815"/>
    <cellStyle name="Labels - Opmaakprofiel3 4 11 2 2" xfId="22113"/>
    <cellStyle name="Labels - Opmaakprofiel3 4 11 2 3" xfId="34165"/>
    <cellStyle name="Labels - Opmaakprofiel3 4 11 2 4" xfId="31454"/>
    <cellStyle name="Labels - Opmaakprofiel3 4 11 2 5" xfId="54780"/>
    <cellStyle name="Labels - Opmaakprofiel3 4 11 3" xfId="15397"/>
    <cellStyle name="Labels - Opmaakprofiel3 4 11 4" xfId="27449"/>
    <cellStyle name="Labels - Opmaakprofiel3 4 11 5" xfId="39416"/>
    <cellStyle name="Labels - Opmaakprofiel3 4 11 6" xfId="48892"/>
    <cellStyle name="Labels - Opmaakprofiel3 4 12" xfId="2290"/>
    <cellStyle name="Labels - Opmaakprofiel3 4 12 2" xfId="9816"/>
    <cellStyle name="Labels - Opmaakprofiel3 4 12 2 2" xfId="22114"/>
    <cellStyle name="Labels - Opmaakprofiel3 4 12 2 3" xfId="34166"/>
    <cellStyle name="Labels - Opmaakprofiel3 4 12 2 4" xfId="42534"/>
    <cellStyle name="Labels - Opmaakprofiel3 4 12 2 5" xfId="54781"/>
    <cellStyle name="Labels - Opmaakprofiel3 4 12 3" xfId="15398"/>
    <cellStyle name="Labels - Opmaakprofiel3 4 12 4" xfId="27450"/>
    <cellStyle name="Labels - Opmaakprofiel3 4 12 5" xfId="45299"/>
    <cellStyle name="Labels - Opmaakprofiel3 4 12 6" xfId="48893"/>
    <cellStyle name="Labels - Opmaakprofiel3 4 13" xfId="5387"/>
    <cellStyle name="Labels - Opmaakprofiel3 4 13 2" xfId="9817"/>
    <cellStyle name="Labels - Opmaakprofiel3 4 13 2 2" xfId="22115"/>
    <cellStyle name="Labels - Opmaakprofiel3 4 13 2 3" xfId="34167"/>
    <cellStyle name="Labels - Opmaakprofiel3 4 13 2 4" xfId="31831"/>
    <cellStyle name="Labels - Opmaakprofiel3 4 13 2 5" xfId="54782"/>
    <cellStyle name="Labels - Opmaakprofiel3 4 13 3" xfId="15399"/>
    <cellStyle name="Labels - Opmaakprofiel3 4 13 4" xfId="27451"/>
    <cellStyle name="Labels - Opmaakprofiel3 4 13 5" xfId="39415"/>
    <cellStyle name="Labels - Opmaakprofiel3 4 13 6" xfId="48894"/>
    <cellStyle name="Labels - Opmaakprofiel3 4 14" xfId="5388"/>
    <cellStyle name="Labels - Opmaakprofiel3 4 14 2" xfId="9818"/>
    <cellStyle name="Labels - Opmaakprofiel3 4 14 2 2" xfId="22116"/>
    <cellStyle name="Labels - Opmaakprofiel3 4 14 2 3" xfId="34168"/>
    <cellStyle name="Labels - Opmaakprofiel3 4 14 2 4" xfId="42533"/>
    <cellStyle name="Labels - Opmaakprofiel3 4 14 2 5" xfId="54783"/>
    <cellStyle name="Labels - Opmaakprofiel3 4 14 3" xfId="15400"/>
    <cellStyle name="Labels - Opmaakprofiel3 4 14 4" xfId="27452"/>
    <cellStyle name="Labels - Opmaakprofiel3 4 14 5" xfId="45298"/>
    <cellStyle name="Labels - Opmaakprofiel3 4 14 6" xfId="48895"/>
    <cellStyle name="Labels - Opmaakprofiel3 4 15" xfId="5389"/>
    <cellStyle name="Labels - Opmaakprofiel3 4 15 2" xfId="15401"/>
    <cellStyle name="Labels - Opmaakprofiel3 4 15 3" xfId="27453"/>
    <cellStyle name="Labels - Opmaakprofiel3 4 15 4" xfId="39414"/>
    <cellStyle name="Labels - Opmaakprofiel3 4 15 5" xfId="48896"/>
    <cellStyle name="Labels - Opmaakprofiel3 4 16" xfId="7748"/>
    <cellStyle name="Labels - Opmaakprofiel3 4 16 2" xfId="20046"/>
    <cellStyle name="Labels - Opmaakprofiel3 4 16 3" xfId="41849"/>
    <cellStyle name="Labels - Opmaakprofiel3 4 16 4" xfId="43380"/>
    <cellStyle name="Labels - Opmaakprofiel3 4 16 5" xfId="52718"/>
    <cellStyle name="Labels - Opmaakprofiel3 4 17" xfId="15395"/>
    <cellStyle name="Labels - Opmaakprofiel3 4 2" xfId="630"/>
    <cellStyle name="Labels - Opmaakprofiel3 4 2 2" xfId="2217"/>
    <cellStyle name="Labels - Opmaakprofiel3 4 2 2 2" xfId="9820"/>
    <cellStyle name="Labels - Opmaakprofiel3 4 2 2 2 2" xfId="22118"/>
    <cellStyle name="Labels - Opmaakprofiel3 4 2 2 2 3" xfId="34170"/>
    <cellStyle name="Labels - Opmaakprofiel3 4 2 2 2 4" xfId="28263"/>
    <cellStyle name="Labels - Opmaakprofiel3 4 2 2 2 5" xfId="54785"/>
    <cellStyle name="Labels - Opmaakprofiel3 4 2 2 3" xfId="15403"/>
    <cellStyle name="Labels - Opmaakprofiel3 4 2 2 4" xfId="27455"/>
    <cellStyle name="Labels - Opmaakprofiel3 4 2 2 5" xfId="39413"/>
    <cellStyle name="Labels - Opmaakprofiel3 4 2 2 6" xfId="48897"/>
    <cellStyle name="Labels - Opmaakprofiel3 4 2 3" xfId="2696"/>
    <cellStyle name="Labels - Opmaakprofiel3 4 2 3 2" xfId="9821"/>
    <cellStyle name="Labels - Opmaakprofiel3 4 2 3 2 2" xfId="22119"/>
    <cellStyle name="Labels - Opmaakprofiel3 4 2 3 2 3" xfId="34171"/>
    <cellStyle name="Labels - Opmaakprofiel3 4 2 3 2 4" xfId="31462"/>
    <cellStyle name="Labels - Opmaakprofiel3 4 2 3 2 5" xfId="54786"/>
    <cellStyle name="Labels - Opmaakprofiel3 4 2 3 3" xfId="15404"/>
    <cellStyle name="Labels - Opmaakprofiel3 4 2 3 4" xfId="27456"/>
    <cellStyle name="Labels - Opmaakprofiel3 4 2 3 5" xfId="39412"/>
    <cellStyle name="Labels - Opmaakprofiel3 4 2 3 6" xfId="48898"/>
    <cellStyle name="Labels - Opmaakprofiel3 4 2 4" xfId="3568"/>
    <cellStyle name="Labels - Opmaakprofiel3 4 2 4 2" xfId="9822"/>
    <cellStyle name="Labels - Opmaakprofiel3 4 2 4 2 2" xfId="22120"/>
    <cellStyle name="Labels - Opmaakprofiel3 4 2 4 2 3" xfId="34172"/>
    <cellStyle name="Labels - Opmaakprofiel3 4 2 4 2 4" xfId="42532"/>
    <cellStyle name="Labels - Opmaakprofiel3 4 2 4 2 5" xfId="54787"/>
    <cellStyle name="Labels - Opmaakprofiel3 4 2 4 3" xfId="15405"/>
    <cellStyle name="Labels - Opmaakprofiel3 4 2 4 4" xfId="27457"/>
    <cellStyle name="Labels - Opmaakprofiel3 4 2 4 5" xfId="39411"/>
    <cellStyle name="Labels - Opmaakprofiel3 4 2 4 6" xfId="48899"/>
    <cellStyle name="Labels - Opmaakprofiel3 4 2 5" xfId="5390"/>
    <cellStyle name="Labels - Opmaakprofiel3 4 2 5 2" xfId="9823"/>
    <cellStyle name="Labels - Opmaakprofiel3 4 2 5 2 2" xfId="22121"/>
    <cellStyle name="Labels - Opmaakprofiel3 4 2 5 2 3" xfId="34173"/>
    <cellStyle name="Labels - Opmaakprofiel3 4 2 5 2 4" xfId="31821"/>
    <cellStyle name="Labels - Opmaakprofiel3 4 2 5 2 5" xfId="54788"/>
    <cellStyle name="Labels - Opmaakprofiel3 4 2 5 3" xfId="15406"/>
    <cellStyle name="Labels - Opmaakprofiel3 4 2 5 4" xfId="27458"/>
    <cellStyle name="Labels - Opmaakprofiel3 4 2 5 5" xfId="45296"/>
    <cellStyle name="Labels - Opmaakprofiel3 4 2 5 6" xfId="48900"/>
    <cellStyle name="Labels - Opmaakprofiel3 4 2 6" xfId="5391"/>
    <cellStyle name="Labels - Opmaakprofiel3 4 2 6 2" xfId="9824"/>
    <cellStyle name="Labels - Opmaakprofiel3 4 2 6 2 2" xfId="22122"/>
    <cellStyle name="Labels - Opmaakprofiel3 4 2 6 2 3" xfId="34174"/>
    <cellStyle name="Labels - Opmaakprofiel3 4 2 6 2 4" xfId="42531"/>
    <cellStyle name="Labels - Opmaakprofiel3 4 2 6 2 5" xfId="54789"/>
    <cellStyle name="Labels - Opmaakprofiel3 4 2 6 3" xfId="15407"/>
    <cellStyle name="Labels - Opmaakprofiel3 4 2 6 4" xfId="27459"/>
    <cellStyle name="Labels - Opmaakprofiel3 4 2 6 5" xfId="39410"/>
    <cellStyle name="Labels - Opmaakprofiel3 4 2 6 6" xfId="48901"/>
    <cellStyle name="Labels - Opmaakprofiel3 4 2 7" xfId="5392"/>
    <cellStyle name="Labels - Opmaakprofiel3 4 2 7 2" xfId="15408"/>
    <cellStyle name="Labels - Opmaakprofiel3 4 2 7 3" xfId="27460"/>
    <cellStyle name="Labels - Opmaakprofiel3 4 2 7 4" xfId="45295"/>
    <cellStyle name="Labels - Opmaakprofiel3 4 2 7 5" xfId="48902"/>
    <cellStyle name="Labels - Opmaakprofiel3 4 2 8" xfId="10250"/>
    <cellStyle name="Labels - Opmaakprofiel3 4 2 8 2" xfId="22548"/>
    <cellStyle name="Labels - Opmaakprofiel3 4 2 8 3" xfId="44309"/>
    <cellStyle name="Labels - Opmaakprofiel3 4 2 8 4" xfId="42353"/>
    <cellStyle name="Labels - Opmaakprofiel3 4 2 8 5" xfId="55215"/>
    <cellStyle name="Labels - Opmaakprofiel3 4 2 9" xfId="15402"/>
    <cellStyle name="Labels - Opmaakprofiel3 4 3" xfId="435"/>
    <cellStyle name="Labels - Opmaakprofiel3 4 3 2" xfId="1759"/>
    <cellStyle name="Labels - Opmaakprofiel3 4 3 2 2" xfId="9826"/>
    <cellStyle name="Labels - Opmaakprofiel3 4 3 2 2 2" xfId="22124"/>
    <cellStyle name="Labels - Opmaakprofiel3 4 3 2 2 3" xfId="34176"/>
    <cellStyle name="Labels - Opmaakprofiel3 4 3 2 2 4" xfId="42530"/>
    <cellStyle name="Labels - Opmaakprofiel3 4 3 2 2 5" xfId="54791"/>
    <cellStyle name="Labels - Opmaakprofiel3 4 3 2 3" xfId="15410"/>
    <cellStyle name="Labels - Opmaakprofiel3 4 3 2 4" xfId="27462"/>
    <cellStyle name="Labels - Opmaakprofiel3 4 3 2 5" xfId="45294"/>
    <cellStyle name="Labels - Opmaakprofiel3 4 3 2 6" xfId="48903"/>
    <cellStyle name="Labels - Opmaakprofiel3 4 3 3" xfId="2506"/>
    <cellStyle name="Labels - Opmaakprofiel3 4 3 3 2" xfId="9827"/>
    <cellStyle name="Labels - Opmaakprofiel3 4 3 3 2 2" xfId="22125"/>
    <cellStyle name="Labels - Opmaakprofiel3 4 3 3 2 3" xfId="34177"/>
    <cellStyle name="Labels - Opmaakprofiel3 4 3 3 2 4" xfId="28269"/>
    <cellStyle name="Labels - Opmaakprofiel3 4 3 3 2 5" xfId="54792"/>
    <cellStyle name="Labels - Opmaakprofiel3 4 3 3 3" xfId="15411"/>
    <cellStyle name="Labels - Opmaakprofiel3 4 3 3 4" xfId="27463"/>
    <cellStyle name="Labels - Opmaakprofiel3 4 3 3 5" xfId="39408"/>
    <cellStyle name="Labels - Opmaakprofiel3 4 3 3 6" xfId="48904"/>
    <cellStyle name="Labels - Opmaakprofiel3 4 3 4" xfId="2240"/>
    <cellStyle name="Labels - Opmaakprofiel3 4 3 4 2" xfId="9828"/>
    <cellStyle name="Labels - Opmaakprofiel3 4 3 4 2 2" xfId="22126"/>
    <cellStyle name="Labels - Opmaakprofiel3 4 3 4 2 3" xfId="34178"/>
    <cellStyle name="Labels - Opmaakprofiel3 4 3 4 2 4" xfId="42529"/>
    <cellStyle name="Labels - Opmaakprofiel3 4 3 4 2 5" xfId="54793"/>
    <cellStyle name="Labels - Opmaakprofiel3 4 3 4 3" xfId="15412"/>
    <cellStyle name="Labels - Opmaakprofiel3 4 3 4 4" xfId="27464"/>
    <cellStyle name="Labels - Opmaakprofiel3 4 3 4 5" xfId="45293"/>
    <cellStyle name="Labels - Opmaakprofiel3 4 3 4 6" xfId="48905"/>
    <cellStyle name="Labels - Opmaakprofiel3 4 3 5" xfId="5393"/>
    <cellStyle name="Labels - Opmaakprofiel3 4 3 5 2" xfId="9829"/>
    <cellStyle name="Labels - Opmaakprofiel3 4 3 5 2 2" xfId="22127"/>
    <cellStyle name="Labels - Opmaakprofiel3 4 3 5 2 3" xfId="34179"/>
    <cellStyle name="Labels - Opmaakprofiel3 4 3 5 2 4" xfId="34622"/>
    <cellStyle name="Labels - Opmaakprofiel3 4 3 5 2 5" xfId="54794"/>
    <cellStyle name="Labels - Opmaakprofiel3 4 3 5 3" xfId="15413"/>
    <cellStyle name="Labels - Opmaakprofiel3 4 3 5 4" xfId="27465"/>
    <cellStyle name="Labels - Opmaakprofiel3 4 3 5 5" xfId="39407"/>
    <cellStyle name="Labels - Opmaakprofiel3 4 3 5 6" xfId="48906"/>
    <cellStyle name="Labels - Opmaakprofiel3 4 3 6" xfId="5394"/>
    <cellStyle name="Labels - Opmaakprofiel3 4 3 6 2" xfId="9830"/>
    <cellStyle name="Labels - Opmaakprofiel3 4 3 6 2 2" xfId="22128"/>
    <cellStyle name="Labels - Opmaakprofiel3 4 3 6 2 3" xfId="34180"/>
    <cellStyle name="Labels - Opmaakprofiel3 4 3 6 2 4" xfId="42528"/>
    <cellStyle name="Labels - Opmaakprofiel3 4 3 6 2 5" xfId="54795"/>
    <cellStyle name="Labels - Opmaakprofiel3 4 3 6 3" xfId="15414"/>
    <cellStyle name="Labels - Opmaakprofiel3 4 3 6 4" xfId="27466"/>
    <cellStyle name="Labels - Opmaakprofiel3 4 3 6 5" xfId="45292"/>
    <cellStyle name="Labels - Opmaakprofiel3 4 3 6 6" xfId="48907"/>
    <cellStyle name="Labels - Opmaakprofiel3 4 3 7" xfId="5395"/>
    <cellStyle name="Labels - Opmaakprofiel3 4 3 7 2" xfId="15415"/>
    <cellStyle name="Labels - Opmaakprofiel3 4 3 7 3" xfId="27467"/>
    <cellStyle name="Labels - Opmaakprofiel3 4 3 7 4" xfId="39406"/>
    <cellStyle name="Labels - Opmaakprofiel3 4 3 7 5" xfId="48908"/>
    <cellStyle name="Labels - Opmaakprofiel3 4 3 8" xfId="7693"/>
    <cellStyle name="Labels - Opmaakprofiel3 4 3 8 2" xfId="19991"/>
    <cellStyle name="Labels - Opmaakprofiel3 4 3 8 3" xfId="41794"/>
    <cellStyle name="Labels - Opmaakprofiel3 4 3 8 4" xfId="25083"/>
    <cellStyle name="Labels - Opmaakprofiel3 4 3 8 5" xfId="52663"/>
    <cellStyle name="Labels - Opmaakprofiel3 4 3 9" xfId="15409"/>
    <cellStyle name="Labels - Opmaakprofiel3 4 4" xfId="578"/>
    <cellStyle name="Labels - Opmaakprofiel3 4 4 2" xfId="1525"/>
    <cellStyle name="Labels - Opmaakprofiel3 4 4 2 2" xfId="9832"/>
    <cellStyle name="Labels - Opmaakprofiel3 4 4 2 2 2" xfId="22130"/>
    <cellStyle name="Labels - Opmaakprofiel3 4 4 2 2 3" xfId="34182"/>
    <cellStyle name="Labels - Opmaakprofiel3 4 4 2 2 4" xfId="28274"/>
    <cellStyle name="Labels - Opmaakprofiel3 4 4 2 2 5" xfId="54797"/>
    <cellStyle name="Labels - Opmaakprofiel3 4 4 2 3" xfId="15417"/>
    <cellStyle name="Labels - Opmaakprofiel3 4 4 2 4" xfId="27469"/>
    <cellStyle name="Labels - Opmaakprofiel3 4 4 2 5" xfId="39404"/>
    <cellStyle name="Labels - Opmaakprofiel3 4 4 2 6" xfId="48909"/>
    <cellStyle name="Labels - Opmaakprofiel3 4 4 3" xfId="2649"/>
    <cellStyle name="Labels - Opmaakprofiel3 4 4 3 2" xfId="9833"/>
    <cellStyle name="Labels - Opmaakprofiel3 4 4 3 2 2" xfId="22131"/>
    <cellStyle name="Labels - Opmaakprofiel3 4 4 3 2 3" xfId="34183"/>
    <cellStyle name="Labels - Opmaakprofiel3 4 4 3 2 4" xfId="28275"/>
    <cellStyle name="Labels - Opmaakprofiel3 4 4 3 2 5" xfId="54798"/>
    <cellStyle name="Labels - Opmaakprofiel3 4 4 3 3" xfId="15418"/>
    <cellStyle name="Labels - Opmaakprofiel3 4 4 3 4" xfId="27470"/>
    <cellStyle name="Labels - Opmaakprofiel3 4 4 3 5" xfId="45291"/>
    <cellStyle name="Labels - Opmaakprofiel3 4 4 3 6" xfId="48910"/>
    <cellStyle name="Labels - Opmaakprofiel3 4 4 4" xfId="3526"/>
    <cellStyle name="Labels - Opmaakprofiel3 4 4 4 2" xfId="9834"/>
    <cellStyle name="Labels - Opmaakprofiel3 4 4 4 2 2" xfId="22132"/>
    <cellStyle name="Labels - Opmaakprofiel3 4 4 4 2 3" xfId="34184"/>
    <cellStyle name="Labels - Opmaakprofiel3 4 4 4 2 4" xfId="42527"/>
    <cellStyle name="Labels - Opmaakprofiel3 4 4 4 2 5" xfId="54799"/>
    <cellStyle name="Labels - Opmaakprofiel3 4 4 4 3" xfId="15419"/>
    <cellStyle name="Labels - Opmaakprofiel3 4 4 4 4" xfId="27471"/>
    <cellStyle name="Labels - Opmaakprofiel3 4 4 4 5" xfId="39403"/>
    <cellStyle name="Labels - Opmaakprofiel3 4 4 4 6" xfId="48911"/>
    <cellStyle name="Labels - Opmaakprofiel3 4 4 5" xfId="5396"/>
    <cellStyle name="Labels - Opmaakprofiel3 4 4 5 2" xfId="9835"/>
    <cellStyle name="Labels - Opmaakprofiel3 4 4 5 2 2" xfId="22133"/>
    <cellStyle name="Labels - Opmaakprofiel3 4 4 5 2 3" xfId="34185"/>
    <cellStyle name="Labels - Opmaakprofiel3 4 4 5 2 4" xfId="31457"/>
    <cellStyle name="Labels - Opmaakprofiel3 4 4 5 2 5" xfId="54800"/>
    <cellStyle name="Labels - Opmaakprofiel3 4 4 5 3" xfId="15420"/>
    <cellStyle name="Labels - Opmaakprofiel3 4 4 5 4" xfId="27472"/>
    <cellStyle name="Labels - Opmaakprofiel3 4 4 5 5" xfId="45290"/>
    <cellStyle name="Labels - Opmaakprofiel3 4 4 5 6" xfId="48912"/>
    <cellStyle name="Labels - Opmaakprofiel3 4 4 6" xfId="5397"/>
    <cellStyle name="Labels - Opmaakprofiel3 4 4 6 2" xfId="9836"/>
    <cellStyle name="Labels - Opmaakprofiel3 4 4 6 2 2" xfId="22134"/>
    <cellStyle name="Labels - Opmaakprofiel3 4 4 6 2 3" xfId="34186"/>
    <cellStyle name="Labels - Opmaakprofiel3 4 4 6 2 4" xfId="42526"/>
    <cellStyle name="Labels - Opmaakprofiel3 4 4 6 2 5" xfId="54801"/>
    <cellStyle name="Labels - Opmaakprofiel3 4 4 6 3" xfId="15421"/>
    <cellStyle name="Labels - Opmaakprofiel3 4 4 6 4" xfId="27473"/>
    <cellStyle name="Labels - Opmaakprofiel3 4 4 6 5" xfId="39402"/>
    <cellStyle name="Labels - Opmaakprofiel3 4 4 6 6" xfId="48913"/>
    <cellStyle name="Labels - Opmaakprofiel3 4 4 7" xfId="5398"/>
    <cellStyle name="Labels - Opmaakprofiel3 4 4 7 2" xfId="15422"/>
    <cellStyle name="Labels - Opmaakprofiel3 4 4 7 3" xfId="27474"/>
    <cellStyle name="Labels - Opmaakprofiel3 4 4 7 4" xfId="45289"/>
    <cellStyle name="Labels - Opmaakprofiel3 4 4 7 5" xfId="48914"/>
    <cellStyle name="Labels - Opmaakprofiel3 4 4 8" xfId="10287"/>
    <cellStyle name="Labels - Opmaakprofiel3 4 4 8 2" xfId="22585"/>
    <cellStyle name="Labels - Opmaakprofiel3 4 4 8 3" xfId="44346"/>
    <cellStyle name="Labels - Opmaakprofiel3 4 4 8 4" xfId="31656"/>
    <cellStyle name="Labels - Opmaakprofiel3 4 4 8 5" xfId="55252"/>
    <cellStyle name="Labels - Opmaakprofiel3 4 4 9" xfId="15416"/>
    <cellStyle name="Labels - Opmaakprofiel3 4 5" xfId="1087"/>
    <cellStyle name="Labels - Opmaakprofiel3 4 5 2" xfId="1488"/>
    <cellStyle name="Labels - Opmaakprofiel3 4 5 2 2" xfId="9838"/>
    <cellStyle name="Labels - Opmaakprofiel3 4 5 2 2 2" xfId="22136"/>
    <cellStyle name="Labels - Opmaakprofiel3 4 5 2 2 3" xfId="34188"/>
    <cellStyle name="Labels - Opmaakprofiel3 4 5 2 2 4" xfId="42525"/>
    <cellStyle name="Labels - Opmaakprofiel3 4 5 2 2 5" xfId="54803"/>
    <cellStyle name="Labels - Opmaakprofiel3 4 5 2 3" xfId="15424"/>
    <cellStyle name="Labels - Opmaakprofiel3 4 5 2 4" xfId="27476"/>
    <cellStyle name="Labels - Opmaakprofiel3 4 5 2 5" xfId="45288"/>
    <cellStyle name="Labels - Opmaakprofiel3 4 5 2 6" xfId="48915"/>
    <cellStyle name="Labels - Opmaakprofiel3 4 5 3" xfId="3098"/>
    <cellStyle name="Labels - Opmaakprofiel3 4 5 3 2" xfId="9839"/>
    <cellStyle name="Labels - Opmaakprofiel3 4 5 3 2 2" xfId="22137"/>
    <cellStyle name="Labels - Opmaakprofiel3 4 5 3 2 3" xfId="34189"/>
    <cellStyle name="Labels - Opmaakprofiel3 4 5 3 2 4" xfId="28280"/>
    <cellStyle name="Labels - Opmaakprofiel3 4 5 3 2 5" xfId="54804"/>
    <cellStyle name="Labels - Opmaakprofiel3 4 5 3 3" xfId="15425"/>
    <cellStyle name="Labels - Opmaakprofiel3 4 5 3 4" xfId="27477"/>
    <cellStyle name="Labels - Opmaakprofiel3 4 5 3 5" xfId="39400"/>
    <cellStyle name="Labels - Opmaakprofiel3 4 5 3 6" xfId="48916"/>
    <cellStyle name="Labels - Opmaakprofiel3 4 5 4" xfId="3935"/>
    <cellStyle name="Labels - Opmaakprofiel3 4 5 4 2" xfId="9840"/>
    <cellStyle name="Labels - Opmaakprofiel3 4 5 4 2 2" xfId="22138"/>
    <cellStyle name="Labels - Opmaakprofiel3 4 5 4 2 3" xfId="34190"/>
    <cellStyle name="Labels - Opmaakprofiel3 4 5 4 2 4" xfId="42524"/>
    <cellStyle name="Labels - Opmaakprofiel3 4 5 4 2 5" xfId="54805"/>
    <cellStyle name="Labels - Opmaakprofiel3 4 5 4 3" xfId="15426"/>
    <cellStyle name="Labels - Opmaakprofiel3 4 5 4 4" xfId="27478"/>
    <cellStyle name="Labels - Opmaakprofiel3 4 5 4 5" xfId="45287"/>
    <cellStyle name="Labels - Opmaakprofiel3 4 5 4 6" xfId="48917"/>
    <cellStyle name="Labels - Opmaakprofiel3 4 5 5" xfId="5399"/>
    <cellStyle name="Labels - Opmaakprofiel3 4 5 5 2" xfId="9841"/>
    <cellStyle name="Labels - Opmaakprofiel3 4 5 5 2 2" xfId="22139"/>
    <cellStyle name="Labels - Opmaakprofiel3 4 5 5 2 3" xfId="34191"/>
    <cellStyle name="Labels - Opmaakprofiel3 4 5 5 2 4" xfId="28281"/>
    <cellStyle name="Labels - Opmaakprofiel3 4 5 5 2 5" xfId="54806"/>
    <cellStyle name="Labels - Opmaakprofiel3 4 5 5 3" xfId="15427"/>
    <cellStyle name="Labels - Opmaakprofiel3 4 5 5 4" xfId="27479"/>
    <cellStyle name="Labels - Opmaakprofiel3 4 5 5 5" xfId="39399"/>
    <cellStyle name="Labels - Opmaakprofiel3 4 5 5 6" xfId="48918"/>
    <cellStyle name="Labels - Opmaakprofiel3 4 5 6" xfId="5400"/>
    <cellStyle name="Labels - Opmaakprofiel3 4 5 6 2" xfId="9842"/>
    <cellStyle name="Labels - Opmaakprofiel3 4 5 6 2 2" xfId="22140"/>
    <cellStyle name="Labels - Opmaakprofiel3 4 5 6 2 3" xfId="34192"/>
    <cellStyle name="Labels - Opmaakprofiel3 4 5 6 2 4" xfId="42523"/>
    <cellStyle name="Labels - Opmaakprofiel3 4 5 6 2 5" xfId="54807"/>
    <cellStyle name="Labels - Opmaakprofiel3 4 5 6 3" xfId="15428"/>
    <cellStyle name="Labels - Opmaakprofiel3 4 5 6 4" xfId="27480"/>
    <cellStyle name="Labels - Opmaakprofiel3 4 5 6 5" xfId="39398"/>
    <cellStyle name="Labels - Opmaakprofiel3 4 5 6 6" xfId="48919"/>
    <cellStyle name="Labels - Opmaakprofiel3 4 5 7" xfId="5401"/>
    <cellStyle name="Labels - Opmaakprofiel3 4 5 7 2" xfId="15429"/>
    <cellStyle name="Labels - Opmaakprofiel3 4 5 7 3" xfId="27481"/>
    <cellStyle name="Labels - Opmaakprofiel3 4 5 7 4" xfId="39397"/>
    <cellStyle name="Labels - Opmaakprofiel3 4 5 7 5" xfId="48920"/>
    <cellStyle name="Labels - Opmaakprofiel3 4 5 8" xfId="7252"/>
    <cellStyle name="Labels - Opmaakprofiel3 4 5 8 2" xfId="19550"/>
    <cellStyle name="Labels - Opmaakprofiel3 4 5 8 3" xfId="41353"/>
    <cellStyle name="Labels - Opmaakprofiel3 4 5 8 4" xfId="36887"/>
    <cellStyle name="Labels - Opmaakprofiel3 4 5 8 5" xfId="52222"/>
    <cellStyle name="Labels - Opmaakprofiel3 4 5 9" xfId="15423"/>
    <cellStyle name="Labels - Opmaakprofiel3 4 6" xfId="1063"/>
    <cellStyle name="Labels - Opmaakprofiel3 4 6 2" xfId="2175"/>
    <cellStyle name="Labels - Opmaakprofiel3 4 6 2 2" xfId="9844"/>
    <cellStyle name="Labels - Opmaakprofiel3 4 6 2 2 2" xfId="22142"/>
    <cellStyle name="Labels - Opmaakprofiel3 4 6 2 2 3" xfId="34194"/>
    <cellStyle name="Labels - Opmaakprofiel3 4 6 2 2 4" xfId="34549"/>
    <cellStyle name="Labels - Opmaakprofiel3 4 6 2 2 5" xfId="54809"/>
    <cellStyle name="Labels - Opmaakprofiel3 4 6 2 3" xfId="15431"/>
    <cellStyle name="Labels - Opmaakprofiel3 4 6 2 4" xfId="27483"/>
    <cellStyle name="Labels - Opmaakprofiel3 4 6 2 5" xfId="39396"/>
    <cellStyle name="Labels - Opmaakprofiel3 4 6 2 6" xfId="48921"/>
    <cellStyle name="Labels - Opmaakprofiel3 4 6 3" xfId="3074"/>
    <cellStyle name="Labels - Opmaakprofiel3 4 6 3 2" xfId="9845"/>
    <cellStyle name="Labels - Opmaakprofiel3 4 6 3 2 2" xfId="22143"/>
    <cellStyle name="Labels - Opmaakprofiel3 4 6 3 2 3" xfId="34195"/>
    <cellStyle name="Labels - Opmaakprofiel3 4 6 3 2 4" xfId="28286"/>
    <cellStyle name="Labels - Opmaakprofiel3 4 6 3 2 5" xfId="54810"/>
    <cellStyle name="Labels - Opmaakprofiel3 4 6 3 3" xfId="15432"/>
    <cellStyle name="Labels - Opmaakprofiel3 4 6 3 4" xfId="27484"/>
    <cellStyle name="Labels - Opmaakprofiel3 4 6 3 5" xfId="45285"/>
    <cellStyle name="Labels - Opmaakprofiel3 4 6 3 6" xfId="48922"/>
    <cellStyle name="Labels - Opmaakprofiel3 4 6 4" xfId="3913"/>
    <cellStyle name="Labels - Opmaakprofiel3 4 6 4 2" xfId="9846"/>
    <cellStyle name="Labels - Opmaakprofiel3 4 6 4 2 2" xfId="22144"/>
    <cellStyle name="Labels - Opmaakprofiel3 4 6 4 2 3" xfId="34196"/>
    <cellStyle name="Labels - Opmaakprofiel3 4 6 4 2 4" xfId="42522"/>
    <cellStyle name="Labels - Opmaakprofiel3 4 6 4 2 5" xfId="54811"/>
    <cellStyle name="Labels - Opmaakprofiel3 4 6 4 3" xfId="15433"/>
    <cellStyle name="Labels - Opmaakprofiel3 4 6 4 4" xfId="27485"/>
    <cellStyle name="Labels - Opmaakprofiel3 4 6 4 5" xfId="39395"/>
    <cellStyle name="Labels - Opmaakprofiel3 4 6 4 6" xfId="48923"/>
    <cellStyle name="Labels - Opmaakprofiel3 4 6 5" xfId="5402"/>
    <cellStyle name="Labels - Opmaakprofiel3 4 6 5 2" xfId="9847"/>
    <cellStyle name="Labels - Opmaakprofiel3 4 6 5 2 2" xfId="22145"/>
    <cellStyle name="Labels - Opmaakprofiel3 4 6 5 2 3" xfId="34197"/>
    <cellStyle name="Labels - Opmaakprofiel3 4 6 5 2 4" xfId="28287"/>
    <cellStyle name="Labels - Opmaakprofiel3 4 6 5 2 5" xfId="54812"/>
    <cellStyle name="Labels - Opmaakprofiel3 4 6 5 3" xfId="15434"/>
    <cellStyle name="Labels - Opmaakprofiel3 4 6 5 4" xfId="27486"/>
    <cellStyle name="Labels - Opmaakprofiel3 4 6 5 5" xfId="45284"/>
    <cellStyle name="Labels - Opmaakprofiel3 4 6 5 6" xfId="48924"/>
    <cellStyle name="Labels - Opmaakprofiel3 4 6 6" xfId="5403"/>
    <cellStyle name="Labels - Opmaakprofiel3 4 6 6 2" xfId="9848"/>
    <cellStyle name="Labels - Opmaakprofiel3 4 6 6 2 2" xfId="22146"/>
    <cellStyle name="Labels - Opmaakprofiel3 4 6 6 2 3" xfId="34198"/>
    <cellStyle name="Labels - Opmaakprofiel3 4 6 6 2 4" xfId="42521"/>
    <cellStyle name="Labels - Opmaakprofiel3 4 6 6 2 5" xfId="54813"/>
    <cellStyle name="Labels - Opmaakprofiel3 4 6 6 3" xfId="15435"/>
    <cellStyle name="Labels - Opmaakprofiel3 4 6 6 4" xfId="27487"/>
    <cellStyle name="Labels - Opmaakprofiel3 4 6 6 5" xfId="39394"/>
    <cellStyle name="Labels - Opmaakprofiel3 4 6 6 6" xfId="48925"/>
    <cellStyle name="Labels - Opmaakprofiel3 4 6 7" xfId="5404"/>
    <cellStyle name="Labels - Opmaakprofiel3 4 6 7 2" xfId="15436"/>
    <cellStyle name="Labels - Opmaakprofiel3 4 6 7 3" xfId="27488"/>
    <cellStyle name="Labels - Opmaakprofiel3 4 6 7 4" xfId="45283"/>
    <cellStyle name="Labels - Opmaakprofiel3 4 6 7 5" xfId="48926"/>
    <cellStyle name="Labels - Opmaakprofiel3 4 6 8" xfId="7267"/>
    <cellStyle name="Labels - Opmaakprofiel3 4 6 8 2" xfId="19565"/>
    <cellStyle name="Labels - Opmaakprofiel3 4 6 8 3" xfId="41368"/>
    <cellStyle name="Labels - Opmaakprofiel3 4 6 8 4" xfId="36878"/>
    <cellStyle name="Labels - Opmaakprofiel3 4 6 8 5" xfId="52237"/>
    <cellStyle name="Labels - Opmaakprofiel3 4 6 9" xfId="15430"/>
    <cellStyle name="Labels - Opmaakprofiel3 4 7" xfId="1233"/>
    <cellStyle name="Labels - Opmaakprofiel3 4 7 2" xfId="2346"/>
    <cellStyle name="Labels - Opmaakprofiel3 4 7 2 2" xfId="9850"/>
    <cellStyle name="Labels - Opmaakprofiel3 4 7 2 2 2" xfId="22148"/>
    <cellStyle name="Labels - Opmaakprofiel3 4 7 2 2 3" xfId="34200"/>
    <cellStyle name="Labels - Opmaakprofiel3 4 7 2 2 4" xfId="42520"/>
    <cellStyle name="Labels - Opmaakprofiel3 4 7 2 2 5" xfId="54815"/>
    <cellStyle name="Labels - Opmaakprofiel3 4 7 2 3" xfId="15438"/>
    <cellStyle name="Labels - Opmaakprofiel3 4 7 2 4" xfId="27490"/>
    <cellStyle name="Labels - Opmaakprofiel3 4 7 2 5" xfId="45282"/>
    <cellStyle name="Labels - Opmaakprofiel3 4 7 2 6" xfId="48927"/>
    <cellStyle name="Labels - Opmaakprofiel3 4 7 3" xfId="3244"/>
    <cellStyle name="Labels - Opmaakprofiel3 4 7 3 2" xfId="9851"/>
    <cellStyle name="Labels - Opmaakprofiel3 4 7 3 2 2" xfId="22149"/>
    <cellStyle name="Labels - Opmaakprofiel3 4 7 3 2 3" xfId="34201"/>
    <cellStyle name="Labels - Opmaakprofiel3 4 7 3 2 4" xfId="31813"/>
    <cellStyle name="Labels - Opmaakprofiel3 4 7 3 2 5" xfId="54816"/>
    <cellStyle name="Labels - Opmaakprofiel3 4 7 3 3" xfId="15439"/>
    <cellStyle name="Labels - Opmaakprofiel3 4 7 3 4" xfId="27491"/>
    <cellStyle name="Labels - Opmaakprofiel3 4 7 3 5" xfId="39393"/>
    <cellStyle name="Labels - Opmaakprofiel3 4 7 3 6" xfId="48928"/>
    <cellStyle name="Labels - Opmaakprofiel3 4 7 4" xfId="4058"/>
    <cellStyle name="Labels - Opmaakprofiel3 4 7 4 2" xfId="9852"/>
    <cellStyle name="Labels - Opmaakprofiel3 4 7 4 2 2" xfId="22150"/>
    <cellStyle name="Labels - Opmaakprofiel3 4 7 4 2 3" xfId="34202"/>
    <cellStyle name="Labels - Opmaakprofiel3 4 7 4 2 4" xfId="42519"/>
    <cellStyle name="Labels - Opmaakprofiel3 4 7 4 2 5" xfId="54817"/>
    <cellStyle name="Labels - Opmaakprofiel3 4 7 4 3" xfId="15440"/>
    <cellStyle name="Labels - Opmaakprofiel3 4 7 4 4" xfId="27492"/>
    <cellStyle name="Labels - Opmaakprofiel3 4 7 4 5" xfId="39392"/>
    <cellStyle name="Labels - Opmaakprofiel3 4 7 4 6" xfId="48929"/>
    <cellStyle name="Labels - Opmaakprofiel3 4 7 5" xfId="5405"/>
    <cellStyle name="Labels - Opmaakprofiel3 4 7 5 2" xfId="9853"/>
    <cellStyle name="Labels - Opmaakprofiel3 4 7 5 2 2" xfId="22151"/>
    <cellStyle name="Labels - Opmaakprofiel3 4 7 5 2 3" xfId="34203"/>
    <cellStyle name="Labels - Opmaakprofiel3 4 7 5 2 4" xfId="28292"/>
    <cellStyle name="Labels - Opmaakprofiel3 4 7 5 2 5" xfId="54818"/>
    <cellStyle name="Labels - Opmaakprofiel3 4 7 5 3" xfId="15441"/>
    <cellStyle name="Labels - Opmaakprofiel3 4 7 5 4" xfId="27493"/>
    <cellStyle name="Labels - Opmaakprofiel3 4 7 5 5" xfId="39391"/>
    <cellStyle name="Labels - Opmaakprofiel3 4 7 5 6" xfId="48930"/>
    <cellStyle name="Labels - Opmaakprofiel3 4 7 6" xfId="5406"/>
    <cellStyle name="Labels - Opmaakprofiel3 4 7 6 2" xfId="9854"/>
    <cellStyle name="Labels - Opmaakprofiel3 4 7 6 2 2" xfId="22152"/>
    <cellStyle name="Labels - Opmaakprofiel3 4 7 6 2 3" xfId="34204"/>
    <cellStyle name="Labels - Opmaakprofiel3 4 7 6 2 4" xfId="42518"/>
    <cellStyle name="Labels - Opmaakprofiel3 4 7 6 2 5" xfId="54819"/>
    <cellStyle name="Labels - Opmaakprofiel3 4 7 6 3" xfId="15442"/>
    <cellStyle name="Labels - Opmaakprofiel3 4 7 6 4" xfId="27494"/>
    <cellStyle name="Labels - Opmaakprofiel3 4 7 6 5" xfId="45281"/>
    <cellStyle name="Labels - Opmaakprofiel3 4 7 6 6" xfId="48931"/>
    <cellStyle name="Labels - Opmaakprofiel3 4 7 7" xfId="5407"/>
    <cellStyle name="Labels - Opmaakprofiel3 4 7 7 2" xfId="15443"/>
    <cellStyle name="Labels - Opmaakprofiel3 4 7 7 3" xfId="27495"/>
    <cellStyle name="Labels - Opmaakprofiel3 4 7 7 4" xfId="39390"/>
    <cellStyle name="Labels - Opmaakprofiel3 4 7 7 5" xfId="48932"/>
    <cellStyle name="Labels - Opmaakprofiel3 4 7 8" xfId="7141"/>
    <cellStyle name="Labels - Opmaakprofiel3 4 7 8 2" xfId="19439"/>
    <cellStyle name="Labels - Opmaakprofiel3 4 7 8 3" xfId="41242"/>
    <cellStyle name="Labels - Opmaakprofiel3 4 7 8 4" xfId="36952"/>
    <cellStyle name="Labels - Opmaakprofiel3 4 7 8 5" xfId="52111"/>
    <cellStyle name="Labels - Opmaakprofiel3 4 7 9" xfId="15437"/>
    <cellStyle name="Labels - Opmaakprofiel3 4 8" xfId="1323"/>
    <cellStyle name="Labels - Opmaakprofiel3 4 8 2" xfId="2298"/>
    <cellStyle name="Labels - Opmaakprofiel3 4 8 2 2" xfId="9856"/>
    <cellStyle name="Labels - Opmaakprofiel3 4 8 2 2 2" xfId="22154"/>
    <cellStyle name="Labels - Opmaakprofiel3 4 8 2 2 3" xfId="34206"/>
    <cellStyle name="Labels - Opmaakprofiel3 4 8 2 2 4" xfId="28297"/>
    <cellStyle name="Labels - Opmaakprofiel3 4 8 2 2 5" xfId="54821"/>
    <cellStyle name="Labels - Opmaakprofiel3 4 8 2 3" xfId="15445"/>
    <cellStyle name="Labels - Opmaakprofiel3 4 8 2 4" xfId="27497"/>
    <cellStyle name="Labels - Opmaakprofiel3 4 8 2 5" xfId="39389"/>
    <cellStyle name="Labels - Opmaakprofiel3 4 8 2 6" xfId="48933"/>
    <cellStyle name="Labels - Opmaakprofiel3 4 8 3" xfId="3334"/>
    <cellStyle name="Labels - Opmaakprofiel3 4 8 3 2" xfId="9857"/>
    <cellStyle name="Labels - Opmaakprofiel3 4 8 3 2 2" xfId="22155"/>
    <cellStyle name="Labels - Opmaakprofiel3 4 8 3 2 3" xfId="34207"/>
    <cellStyle name="Labels - Opmaakprofiel3 4 8 3 2 4" xfId="28298"/>
    <cellStyle name="Labels - Opmaakprofiel3 4 8 3 2 5" xfId="54822"/>
    <cellStyle name="Labels - Opmaakprofiel3 4 8 3 3" xfId="15446"/>
    <cellStyle name="Labels - Opmaakprofiel3 4 8 3 4" xfId="27498"/>
    <cellStyle name="Labels - Opmaakprofiel3 4 8 3 5" xfId="45279"/>
    <cellStyle name="Labels - Opmaakprofiel3 4 8 3 6" xfId="48934"/>
    <cellStyle name="Labels - Opmaakprofiel3 4 8 4" xfId="4115"/>
    <cellStyle name="Labels - Opmaakprofiel3 4 8 4 2" xfId="9858"/>
    <cellStyle name="Labels - Opmaakprofiel3 4 8 4 2 2" xfId="22156"/>
    <cellStyle name="Labels - Opmaakprofiel3 4 8 4 2 3" xfId="34208"/>
    <cellStyle name="Labels - Opmaakprofiel3 4 8 4 2 4" xfId="42517"/>
    <cellStyle name="Labels - Opmaakprofiel3 4 8 4 2 5" xfId="54823"/>
    <cellStyle name="Labels - Opmaakprofiel3 4 8 4 3" xfId="15447"/>
    <cellStyle name="Labels - Opmaakprofiel3 4 8 4 4" xfId="27499"/>
    <cellStyle name="Labels - Opmaakprofiel3 4 8 4 5" xfId="39388"/>
    <cellStyle name="Labels - Opmaakprofiel3 4 8 4 6" xfId="48935"/>
    <cellStyle name="Labels - Opmaakprofiel3 4 8 5" xfId="5408"/>
    <cellStyle name="Labels - Opmaakprofiel3 4 8 5 2" xfId="9859"/>
    <cellStyle name="Labels - Opmaakprofiel3 4 8 5 2 2" xfId="22157"/>
    <cellStyle name="Labels - Opmaakprofiel3 4 8 5 2 3" xfId="34209"/>
    <cellStyle name="Labels - Opmaakprofiel3 4 8 5 2 4" xfId="28299"/>
    <cellStyle name="Labels - Opmaakprofiel3 4 8 5 2 5" xfId="54824"/>
    <cellStyle name="Labels - Opmaakprofiel3 4 8 5 3" xfId="15448"/>
    <cellStyle name="Labels - Opmaakprofiel3 4 8 5 4" xfId="27500"/>
    <cellStyle name="Labels - Opmaakprofiel3 4 8 5 5" xfId="45278"/>
    <cellStyle name="Labels - Opmaakprofiel3 4 8 5 6" xfId="48936"/>
    <cellStyle name="Labels - Opmaakprofiel3 4 8 6" xfId="5409"/>
    <cellStyle name="Labels - Opmaakprofiel3 4 8 6 2" xfId="9860"/>
    <cellStyle name="Labels - Opmaakprofiel3 4 8 6 2 2" xfId="22158"/>
    <cellStyle name="Labels - Opmaakprofiel3 4 8 6 2 3" xfId="34210"/>
    <cellStyle name="Labels - Opmaakprofiel3 4 8 6 2 4" xfId="42516"/>
    <cellStyle name="Labels - Opmaakprofiel3 4 8 6 2 5" xfId="54825"/>
    <cellStyle name="Labels - Opmaakprofiel3 4 8 6 3" xfId="15449"/>
    <cellStyle name="Labels - Opmaakprofiel3 4 8 6 4" xfId="27501"/>
    <cellStyle name="Labels - Opmaakprofiel3 4 8 6 5" xfId="39387"/>
    <cellStyle name="Labels - Opmaakprofiel3 4 8 6 6" xfId="48937"/>
    <cellStyle name="Labels - Opmaakprofiel3 4 8 7" xfId="5410"/>
    <cellStyle name="Labels - Opmaakprofiel3 4 8 7 2" xfId="15450"/>
    <cellStyle name="Labels - Opmaakprofiel3 4 8 7 3" xfId="27502"/>
    <cellStyle name="Labels - Opmaakprofiel3 4 8 7 4" xfId="45277"/>
    <cellStyle name="Labels - Opmaakprofiel3 4 8 7 5" xfId="48938"/>
    <cellStyle name="Labels - Opmaakprofiel3 4 8 8" xfId="7056"/>
    <cellStyle name="Labels - Opmaakprofiel3 4 8 8 2" xfId="19354"/>
    <cellStyle name="Labels - Opmaakprofiel3 4 8 8 3" xfId="41157"/>
    <cellStyle name="Labels - Opmaakprofiel3 4 8 8 4" xfId="37001"/>
    <cellStyle name="Labels - Opmaakprofiel3 4 8 8 5" xfId="52027"/>
    <cellStyle name="Labels - Opmaakprofiel3 4 8 9" xfId="15444"/>
    <cellStyle name="Labels - Opmaakprofiel3 4 9" xfId="1379"/>
    <cellStyle name="Labels - Opmaakprofiel3 4 9 2" xfId="1297"/>
    <cellStyle name="Labels - Opmaakprofiel3 4 9 2 2" xfId="9862"/>
    <cellStyle name="Labels - Opmaakprofiel3 4 9 2 2 2" xfId="22160"/>
    <cellStyle name="Labels - Opmaakprofiel3 4 9 2 2 3" xfId="34212"/>
    <cellStyle name="Labels - Opmaakprofiel3 4 9 2 2 4" xfId="42515"/>
    <cellStyle name="Labels - Opmaakprofiel3 4 9 2 2 5" xfId="54827"/>
    <cellStyle name="Labels - Opmaakprofiel3 4 9 2 3" xfId="15452"/>
    <cellStyle name="Labels - Opmaakprofiel3 4 9 2 4" xfId="27504"/>
    <cellStyle name="Labels - Opmaakprofiel3 4 9 2 5" xfId="39385"/>
    <cellStyle name="Labels - Opmaakprofiel3 4 9 2 6" xfId="48939"/>
    <cellStyle name="Labels - Opmaakprofiel3 4 9 3" xfId="3390"/>
    <cellStyle name="Labels - Opmaakprofiel3 4 9 3 2" xfId="9863"/>
    <cellStyle name="Labels - Opmaakprofiel3 4 9 3 2 2" xfId="22161"/>
    <cellStyle name="Labels - Opmaakprofiel3 4 9 3 2 3" xfId="34213"/>
    <cellStyle name="Labels - Opmaakprofiel3 4 9 3 2 4" xfId="28302"/>
    <cellStyle name="Labels - Opmaakprofiel3 4 9 3 2 5" xfId="54828"/>
    <cellStyle name="Labels - Opmaakprofiel3 4 9 3 3" xfId="15453"/>
    <cellStyle name="Labels - Opmaakprofiel3 4 9 3 4" xfId="27505"/>
    <cellStyle name="Labels - Opmaakprofiel3 4 9 3 5" xfId="39384"/>
    <cellStyle name="Labels - Opmaakprofiel3 4 9 3 6" xfId="48940"/>
    <cellStyle name="Labels - Opmaakprofiel3 4 9 4" xfId="4151"/>
    <cellStyle name="Labels - Opmaakprofiel3 4 9 4 2" xfId="9864"/>
    <cellStyle name="Labels - Opmaakprofiel3 4 9 4 2 2" xfId="22162"/>
    <cellStyle name="Labels - Opmaakprofiel3 4 9 4 2 3" xfId="34214"/>
    <cellStyle name="Labels - Opmaakprofiel3 4 9 4 2 4" xfId="42514"/>
    <cellStyle name="Labels - Opmaakprofiel3 4 9 4 2 5" xfId="54829"/>
    <cellStyle name="Labels - Opmaakprofiel3 4 9 4 3" xfId="15454"/>
    <cellStyle name="Labels - Opmaakprofiel3 4 9 4 4" xfId="27506"/>
    <cellStyle name="Labels - Opmaakprofiel3 4 9 4 5" xfId="45276"/>
    <cellStyle name="Labels - Opmaakprofiel3 4 9 4 6" xfId="48941"/>
    <cellStyle name="Labels - Opmaakprofiel3 4 9 5" xfId="5411"/>
    <cellStyle name="Labels - Opmaakprofiel3 4 9 5 2" xfId="9865"/>
    <cellStyle name="Labels - Opmaakprofiel3 4 9 5 2 2" xfId="22163"/>
    <cellStyle name="Labels - Opmaakprofiel3 4 9 5 2 3" xfId="34215"/>
    <cellStyle name="Labels - Opmaakprofiel3 4 9 5 2 4" xfId="31399"/>
    <cellStyle name="Labels - Opmaakprofiel3 4 9 5 2 5" xfId="54830"/>
    <cellStyle name="Labels - Opmaakprofiel3 4 9 5 3" xfId="15455"/>
    <cellStyle name="Labels - Opmaakprofiel3 4 9 5 4" xfId="27507"/>
    <cellStyle name="Labels - Opmaakprofiel3 4 9 5 5" xfId="39383"/>
    <cellStyle name="Labels - Opmaakprofiel3 4 9 5 6" xfId="48942"/>
    <cellStyle name="Labels - Opmaakprofiel3 4 9 6" xfId="5412"/>
    <cellStyle name="Labels - Opmaakprofiel3 4 9 6 2" xfId="9866"/>
    <cellStyle name="Labels - Opmaakprofiel3 4 9 6 2 2" xfId="22164"/>
    <cellStyle name="Labels - Opmaakprofiel3 4 9 6 2 3" xfId="34216"/>
    <cellStyle name="Labels - Opmaakprofiel3 4 9 6 2 4" xfId="42513"/>
    <cellStyle name="Labels - Opmaakprofiel3 4 9 6 2 5" xfId="54831"/>
    <cellStyle name="Labels - Opmaakprofiel3 4 9 6 3" xfId="15456"/>
    <cellStyle name="Labels - Opmaakprofiel3 4 9 6 4" xfId="27508"/>
    <cellStyle name="Labels - Opmaakprofiel3 4 9 6 5" xfId="45275"/>
    <cellStyle name="Labels - Opmaakprofiel3 4 9 6 6" xfId="48943"/>
    <cellStyle name="Labels - Opmaakprofiel3 4 9 7" xfId="5413"/>
    <cellStyle name="Labels - Opmaakprofiel3 4 9 7 2" xfId="15457"/>
    <cellStyle name="Labels - Opmaakprofiel3 4 9 7 3" xfId="27509"/>
    <cellStyle name="Labels - Opmaakprofiel3 4 9 7 4" xfId="39382"/>
    <cellStyle name="Labels - Opmaakprofiel3 4 9 7 5" xfId="48944"/>
    <cellStyle name="Labels - Opmaakprofiel3 4 9 8" xfId="7008"/>
    <cellStyle name="Labels - Opmaakprofiel3 4 9 8 2" xfId="19306"/>
    <cellStyle name="Labels - Opmaakprofiel3 4 9 8 3" xfId="41109"/>
    <cellStyle name="Labels - Opmaakprofiel3 4 9 8 4" xfId="37029"/>
    <cellStyle name="Labels - Opmaakprofiel3 4 9 8 5" xfId="51979"/>
    <cellStyle name="Labels - Opmaakprofiel3 4 9 9" xfId="15451"/>
    <cellStyle name="Labels - Opmaakprofiel3 5" xfId="5414"/>
    <cellStyle name="Labels - Opmaakprofiel3 5 2" xfId="9867"/>
    <cellStyle name="Labels - Opmaakprofiel3 5 2 2" xfId="22165"/>
    <cellStyle name="Labels - Opmaakprofiel3 5 2 3" xfId="34217"/>
    <cellStyle name="Labels - Opmaakprofiel3 5 2 4" xfId="32074"/>
    <cellStyle name="Labels - Opmaakprofiel3 5 2 5" xfId="54832"/>
    <cellStyle name="Labels - Opmaakprofiel3 5 3" xfId="15458"/>
    <cellStyle name="Labels - Opmaakprofiel3 5 4" xfId="27510"/>
    <cellStyle name="Labels - Opmaakprofiel3 5 5" xfId="45274"/>
    <cellStyle name="Labels - Opmaakprofiel3 5 6" xfId="48945"/>
    <cellStyle name="Labels - Opmaakprofiel3 6" xfId="5415"/>
    <cellStyle name="Labels - Opmaakprofiel3 6 2" xfId="9868"/>
    <cellStyle name="Labels - Opmaakprofiel3 6 2 2" xfId="22166"/>
    <cellStyle name="Labels - Opmaakprofiel3 6 2 3" xfId="34218"/>
    <cellStyle name="Labels - Opmaakprofiel3 6 2 4" xfId="28307"/>
    <cellStyle name="Labels - Opmaakprofiel3 6 2 5" xfId="54833"/>
    <cellStyle name="Labels - Opmaakprofiel3 6 3" xfId="15459"/>
    <cellStyle name="Labels - Opmaakprofiel3 6 4" xfId="27511"/>
    <cellStyle name="Labels - Opmaakprofiel3 6 5" xfId="39381"/>
    <cellStyle name="Labels - Opmaakprofiel3 6 6" xfId="48946"/>
    <cellStyle name="Labels - Opmaakprofiel3 7" xfId="5416"/>
    <cellStyle name="Labels - Opmaakprofiel3 7 2" xfId="15460"/>
    <cellStyle name="Labels - Opmaakprofiel3 7 3" xfId="27512"/>
    <cellStyle name="Labels - Opmaakprofiel3 7 4" xfId="45273"/>
    <cellStyle name="Labels - Opmaakprofiel3 7 5" xfId="48947"/>
    <cellStyle name="Labels - Opmaakprofiel3 8" xfId="5417"/>
    <cellStyle name="Labels - Opmaakprofiel3 8 2" xfId="15461"/>
    <cellStyle name="Labels - Opmaakprofiel3 8 3" xfId="27513"/>
    <cellStyle name="Labels - Opmaakprofiel3 8 4" xfId="39380"/>
    <cellStyle name="Labels - Opmaakprofiel3 8 5" xfId="48948"/>
    <cellStyle name="Labels - Opmaakprofiel3 9" xfId="5418"/>
    <cellStyle name="Labels - Opmaakprofiel3 9 2" xfId="15462"/>
    <cellStyle name="Labels - Opmaakprofiel3 9 3" xfId="27514"/>
    <cellStyle name="Labels - Opmaakprofiel3 9 4" xfId="45272"/>
    <cellStyle name="Labels - Opmaakprofiel3 9 5" xfId="48949"/>
    <cellStyle name="Linked Cell" xfId="286"/>
    <cellStyle name="Neutral" xfId="287"/>
    <cellStyle name="Normal - Opmaakprofiel1" xfId="60"/>
    <cellStyle name="Normal - Opmaakprofiel1 2" xfId="230"/>
    <cellStyle name="Normal - Opmaakprofiel1 3" xfId="185"/>
    <cellStyle name="Normal - Opmaakprofiel1 4" xfId="153"/>
    <cellStyle name="Normal - Opmaakprofiel2" xfId="61"/>
    <cellStyle name="Normal - Opmaakprofiel2 2" xfId="231"/>
    <cellStyle name="Normal - Opmaakprofiel2 3" xfId="186"/>
    <cellStyle name="Normal - Opmaakprofiel2 4" xfId="154"/>
    <cellStyle name="Normal - Opmaakprofiel3" xfId="62"/>
    <cellStyle name="Normal - Opmaakprofiel3 2" xfId="232"/>
    <cellStyle name="Normal - Opmaakprofiel3 3" xfId="187"/>
    <cellStyle name="Normal - Opmaakprofiel3 4" xfId="155"/>
    <cellStyle name="Normal - Opmaakprofiel4" xfId="63"/>
    <cellStyle name="Normal - Opmaakprofiel4 2" xfId="233"/>
    <cellStyle name="Normal - Opmaakprofiel4 3" xfId="188"/>
    <cellStyle name="Normal - Opmaakprofiel4 4" xfId="156"/>
    <cellStyle name="Normal - Opmaakprofiel5" xfId="64"/>
    <cellStyle name="Normal - Opmaakprofiel5 2" xfId="234"/>
    <cellStyle name="Normal - Opmaakprofiel5 3" xfId="189"/>
    <cellStyle name="Normal - Opmaakprofiel5 4" xfId="157"/>
    <cellStyle name="Normal - Opmaakprofiel6" xfId="65"/>
    <cellStyle name="Normal - Opmaakprofiel6 2" xfId="235"/>
    <cellStyle name="Normal - Opmaakprofiel6 3" xfId="190"/>
    <cellStyle name="Normal - Opmaakprofiel6 4" xfId="158"/>
    <cellStyle name="Normal - Opmaakprofiel7" xfId="66"/>
    <cellStyle name="Normal - Opmaakprofiel7 2" xfId="236"/>
    <cellStyle name="Normal - Opmaakprofiel7 3" xfId="191"/>
    <cellStyle name="Normal - Opmaakprofiel7 4" xfId="159"/>
    <cellStyle name="Normal - Opmaakprofiel8" xfId="67"/>
    <cellStyle name="Normal - Opmaakprofiel8 2" xfId="237"/>
    <cellStyle name="Normal - Opmaakprofiel8 3" xfId="192"/>
    <cellStyle name="Normal - Opmaakprofiel8 4" xfId="160"/>
    <cellStyle name="Normal 10" xfId="68"/>
    <cellStyle name="Normal 2" xfId="69"/>
    <cellStyle name="Normal 2 2" xfId="70"/>
    <cellStyle name="Normal 3" xfId="71"/>
    <cellStyle name="Normal 3 2" xfId="72"/>
    <cellStyle name="Normal 4" xfId="73"/>
    <cellStyle name="Normal 4 2" xfId="74"/>
    <cellStyle name="Normal 5" xfId="75"/>
    <cellStyle name="Normal 5 2" xfId="76"/>
    <cellStyle name="Normal 6" xfId="77"/>
    <cellStyle name="Normal 6 2" xfId="78"/>
    <cellStyle name="Normal 7" xfId="79"/>
    <cellStyle name="Normal 7 2" xfId="80"/>
    <cellStyle name="Normal 8" xfId="81"/>
    <cellStyle name="Normal 8 2" xfId="82"/>
    <cellStyle name="Normal 9" xfId="83"/>
    <cellStyle name="Normal 9 2" xfId="84"/>
    <cellStyle name="Normal 9 2 2" xfId="217"/>
    <cellStyle name="Normal_Indexering nachtverzorging en nachtverpleging" xfId="161"/>
    <cellStyle name="Note" xfId="288"/>
    <cellStyle name="Notitie 2" xfId="85"/>
    <cellStyle name="Notitie 2 2" xfId="86"/>
    <cellStyle name="Notitie 2 2 2" xfId="87"/>
    <cellStyle name="Notitie 2 3" xfId="88"/>
    <cellStyle name="Notitie 2 3 2" xfId="89"/>
    <cellStyle name="Notitie 2 4" xfId="90"/>
    <cellStyle name="Notitie 2 5" xfId="226"/>
    <cellStyle name="Output" xfId="289"/>
    <cellStyle name="Percent 2" xfId="290"/>
    <cellStyle name="prijs, 2 decimalen" xfId="91"/>
    <cellStyle name="prijs, 2 decimalen 2" xfId="92"/>
    <cellStyle name="prijs, 2 decimalen 2 2" xfId="93"/>
    <cellStyle name="prijs, 2 decimalen 2 2 2" xfId="195"/>
    <cellStyle name="prijs, 2 decimalen 2 3" xfId="194"/>
    <cellStyle name="prijs, 2 decimalen 3" xfId="94"/>
    <cellStyle name="prijs, 2 decimalen 3 2" xfId="95"/>
    <cellStyle name="prijs, 2 decimalen 3 2 2" xfId="197"/>
    <cellStyle name="prijs, 2 decimalen 3 3" xfId="196"/>
    <cellStyle name="prijs, 2 decimalen 4" xfId="96"/>
    <cellStyle name="prijs, 2 decimalen 4 2" xfId="198"/>
    <cellStyle name="prijs, 2 decimalen 5" xfId="193"/>
    <cellStyle name="Procent" xfId="130" builtinId="5"/>
    <cellStyle name="Procent 2" xfId="97"/>
    <cellStyle name="Procent 2 2" xfId="291"/>
    <cellStyle name="Procent 2 2 2" xfId="292"/>
    <cellStyle name="Procent 2 3" xfId="293"/>
    <cellStyle name="Procent 3" xfId="98"/>
    <cellStyle name="Procent 4" xfId="99"/>
    <cellStyle name="Procent 4 2" xfId="294"/>
    <cellStyle name="Procent 5" xfId="295"/>
    <cellStyle name="Procent 5 2" xfId="5420"/>
    <cellStyle name="Procent 5 3" xfId="5419"/>
    <cellStyle name="Procent 6" xfId="296"/>
    <cellStyle name="Reset  - Opmaakprofiel7" xfId="100"/>
    <cellStyle name="Reset  - Opmaakprofiel7 2" xfId="239"/>
    <cellStyle name="Reset  - Opmaakprofiel7 3" xfId="200"/>
    <cellStyle name="Reset  - Opmaakprofiel7 4" xfId="162"/>
    <cellStyle name="Result" xfId="297"/>
    <cellStyle name="Result2" xfId="298"/>
    <cellStyle name="Standaard" xfId="0" builtinId="0"/>
    <cellStyle name="Standaard 10" xfId="299"/>
    <cellStyle name="Standaard 10 2" xfId="300"/>
    <cellStyle name="Standaard 11" xfId="301"/>
    <cellStyle name="Standaard 12" xfId="302"/>
    <cellStyle name="Standaard 13" xfId="303"/>
    <cellStyle name="Standaard 2" xfId="101"/>
    <cellStyle name="Standaard 2 2" xfId="2"/>
    <cellStyle name="Standaard 2 2 2" xfId="102"/>
    <cellStyle name="Standaard 2 2 3" xfId="103"/>
    <cellStyle name="Standaard 2 2 3 2" xfId="218"/>
    <cellStyle name="Standaard 2 2 4" xfId="305"/>
    <cellStyle name="Standaard 2 2 5" xfId="384"/>
    <cellStyle name="Standaard 2 2 6" xfId="304"/>
    <cellStyle name="Standaard 2 3" xfId="241"/>
    <cellStyle name="Standaard 2 3 2" xfId="307"/>
    <cellStyle name="Standaard 2 3 3" xfId="385"/>
    <cellStyle name="Standaard 2 3 4" xfId="372"/>
    <cellStyle name="Standaard 2 3 4 2" xfId="5422"/>
    <cellStyle name="Standaard 2 3 5" xfId="306"/>
    <cellStyle name="Standaard 2 3 6" xfId="5421"/>
    <cellStyle name="Standaard 2 4" xfId="308"/>
    <cellStyle name="Standaard 2 4 2" xfId="309"/>
    <cellStyle name="Standaard 2 5" xfId="172"/>
    <cellStyle name="Standaard 2 5 2" xfId="7129"/>
    <cellStyle name="Standaard 2 6" xfId="6994"/>
    <cellStyle name="Standaard 2 7" xfId="164"/>
    <cellStyle name="Standaard 3" xfId="104"/>
    <cellStyle name="Standaard 3 2" xfId="105"/>
    <cellStyle name="Standaard 3 2 2" xfId="106"/>
    <cellStyle name="Standaard 3 3" xfId="107"/>
    <cellStyle name="Standaard 3 3 2" xfId="108"/>
    <cellStyle name="Standaard 3 4" xfId="109"/>
    <cellStyle name="Standaard 3 5" xfId="229"/>
    <cellStyle name="Standaard 3 5 2" xfId="5425"/>
    <cellStyle name="Standaard 3 5 3" xfId="5424"/>
    <cellStyle name="Standaard 3 6" xfId="5426"/>
    <cellStyle name="Standaard 3 7" xfId="5423"/>
    <cellStyle name="Standaard 4" xfId="3"/>
    <cellStyle name="Standaard 4 2" xfId="4"/>
    <cellStyle name="Standaard 4 2 2" xfId="386"/>
    <cellStyle name="Standaard 4 2 3" xfId="373"/>
    <cellStyle name="Standaard 4 2 3 2" xfId="5429"/>
    <cellStyle name="Standaard 4 2 4" xfId="310"/>
    <cellStyle name="Standaard 4 2 5" xfId="5430"/>
    <cellStyle name="Standaard 4 2 6" xfId="5428"/>
    <cellStyle name="Standaard 4 2 7" xfId="242"/>
    <cellStyle name="Standaard 4 3" xfId="170"/>
    <cellStyle name="Standaard 4 4" xfId="5427"/>
    <cellStyle name="Standaard 4 5" xfId="165"/>
    <cellStyle name="Standaard 5" xfId="110"/>
    <cellStyle name="Standaard 5 2" xfId="215"/>
    <cellStyle name="Standaard 5 3" xfId="228"/>
    <cellStyle name="Standaard 5 3 2" xfId="388"/>
    <cellStyle name="Standaard 5 3 3" xfId="374"/>
    <cellStyle name="Standaard 5 3 3 2" xfId="5433"/>
    <cellStyle name="Standaard 5 3 4" xfId="312"/>
    <cellStyle name="Standaard 5 3 5" xfId="5434"/>
    <cellStyle name="Standaard 5 3 6" xfId="5432"/>
    <cellStyle name="Standaard 5 4" xfId="313"/>
    <cellStyle name="Standaard 5 5" xfId="387"/>
    <cellStyle name="Standaard 5 6" xfId="311"/>
    <cellStyle name="Standaard 5 7" xfId="205"/>
    <cellStyle name="Standaard 5 8" xfId="5431"/>
    <cellStyle name="Standaard 5 9" xfId="149"/>
    <cellStyle name="Standaard 6" xfId="111"/>
    <cellStyle name="Standaard 7" xfId="314"/>
    <cellStyle name="Standaard 7 2" xfId="315"/>
    <cellStyle name="Standaard 8" xfId="316"/>
    <cellStyle name="Standaard 8 2" xfId="5435"/>
    <cellStyle name="Standaard 8 3" xfId="5436"/>
    <cellStyle name="Standaard 8 4" xfId="4168"/>
    <cellStyle name="Standaard 9" xfId="317"/>
    <cellStyle name="Tabelstandaard" xfId="112"/>
    <cellStyle name="Tabelstandaard financieel" xfId="113"/>
    <cellStyle name="Tabelstandaard negatief" xfId="114"/>
    <cellStyle name="Tabelstandaard Totaal" xfId="115"/>
    <cellStyle name="Tabelstandaard Totaal 10" xfId="5437"/>
    <cellStyle name="Tabelstandaard Totaal 10 2" xfId="9870"/>
    <cellStyle name="Tabelstandaard Totaal 10 2 2" xfId="22168"/>
    <cellStyle name="Tabelstandaard Totaal 10 2 3" xfId="34220"/>
    <cellStyle name="Tabelstandaard Totaal 10 2 4" xfId="42512"/>
    <cellStyle name="Tabelstandaard Totaal 10 2 5" xfId="54835"/>
    <cellStyle name="Tabelstandaard Totaal 10 3" xfId="15585"/>
    <cellStyle name="Tabelstandaard Totaal 10 4" xfId="27637"/>
    <cellStyle name="Tabelstandaard Totaal 10 5" xfId="45229"/>
    <cellStyle name="Tabelstandaard Totaal 10 6" xfId="48950"/>
    <cellStyle name="Tabelstandaard Totaal 11" xfId="5438"/>
    <cellStyle name="Tabelstandaard Totaal 11 2" xfId="9871"/>
    <cellStyle name="Tabelstandaard Totaal 11 2 2" xfId="22169"/>
    <cellStyle name="Tabelstandaard Totaal 11 2 3" xfId="34221"/>
    <cellStyle name="Tabelstandaard Totaal 11 2 4" xfId="31522"/>
    <cellStyle name="Tabelstandaard Totaal 11 2 5" xfId="54836"/>
    <cellStyle name="Tabelstandaard Totaal 11 3" xfId="15586"/>
    <cellStyle name="Tabelstandaard Totaal 11 4" xfId="27638"/>
    <cellStyle name="Tabelstandaard Totaal 11 5" xfId="39316"/>
    <cellStyle name="Tabelstandaard Totaal 11 6" xfId="48951"/>
    <cellStyle name="Tabelstandaard Totaal 12" xfId="5439"/>
    <cellStyle name="Tabelstandaard Totaal 12 2" xfId="9872"/>
    <cellStyle name="Tabelstandaard Totaal 12 2 2" xfId="22170"/>
    <cellStyle name="Tabelstandaard Totaal 12 2 3" xfId="34222"/>
    <cellStyle name="Tabelstandaard Totaal 12 2 4" xfId="42511"/>
    <cellStyle name="Tabelstandaard Totaal 12 2 5" xfId="54837"/>
    <cellStyle name="Tabelstandaard Totaal 12 3" xfId="15587"/>
    <cellStyle name="Tabelstandaard Totaal 12 4" xfId="27639"/>
    <cellStyle name="Tabelstandaard Totaal 12 5" xfId="45228"/>
    <cellStyle name="Tabelstandaard Totaal 12 6" xfId="48952"/>
    <cellStyle name="Tabelstandaard Totaal 13" xfId="5440"/>
    <cellStyle name="Tabelstandaard Totaal 13 2" xfId="9873"/>
    <cellStyle name="Tabelstandaard Totaal 13 2 2" xfId="22171"/>
    <cellStyle name="Tabelstandaard Totaal 13 2 3" xfId="34223"/>
    <cellStyle name="Tabelstandaard Totaal 13 2 4" xfId="28311"/>
    <cellStyle name="Tabelstandaard Totaal 13 2 5" xfId="54838"/>
    <cellStyle name="Tabelstandaard Totaal 13 3" xfId="15588"/>
    <cellStyle name="Tabelstandaard Totaal 13 4" xfId="27640"/>
    <cellStyle name="Tabelstandaard Totaal 13 5" xfId="39315"/>
    <cellStyle name="Tabelstandaard Totaal 13 6" xfId="48953"/>
    <cellStyle name="Tabelstandaard Totaal 14" xfId="5441"/>
    <cellStyle name="Tabelstandaard Totaal 14 2" xfId="15589"/>
    <cellStyle name="Tabelstandaard Totaal 14 3" xfId="27641"/>
    <cellStyle name="Tabelstandaard Totaal 14 4" xfId="45227"/>
    <cellStyle name="Tabelstandaard Totaal 14 5" xfId="48954"/>
    <cellStyle name="Tabelstandaard Totaal 15" xfId="7794"/>
    <cellStyle name="Tabelstandaard Totaal 15 2" xfId="43361"/>
    <cellStyle name="Tabelstandaard Totaal 16" xfId="15584"/>
    <cellStyle name="Tabelstandaard Totaal 2" xfId="133"/>
    <cellStyle name="Tabelstandaard Totaal 2 10" xfId="5442"/>
    <cellStyle name="Tabelstandaard Totaal 2 10 2" xfId="9875"/>
    <cellStyle name="Tabelstandaard Totaal 2 10 2 2" xfId="22173"/>
    <cellStyle name="Tabelstandaard Totaal 2 10 2 3" xfId="34225"/>
    <cellStyle name="Tabelstandaard Totaal 2 10 2 4" xfId="31429"/>
    <cellStyle name="Tabelstandaard Totaal 2 10 2 5" xfId="54840"/>
    <cellStyle name="Tabelstandaard Totaal 2 10 3" xfId="15591"/>
    <cellStyle name="Tabelstandaard Totaal 2 10 4" xfId="27643"/>
    <cellStyle name="Tabelstandaard Totaal 2 10 5" xfId="39313"/>
    <cellStyle name="Tabelstandaard Totaal 2 10 6" xfId="48955"/>
    <cellStyle name="Tabelstandaard Totaal 2 11" xfId="5443"/>
    <cellStyle name="Tabelstandaard Totaal 2 11 2" xfId="9876"/>
    <cellStyle name="Tabelstandaard Totaal 2 11 2 2" xfId="22174"/>
    <cellStyle name="Tabelstandaard Totaal 2 11 2 3" xfId="34226"/>
    <cellStyle name="Tabelstandaard Totaal 2 11 2 4" xfId="42509"/>
    <cellStyle name="Tabelstandaard Totaal 2 11 2 5" xfId="54841"/>
    <cellStyle name="Tabelstandaard Totaal 2 11 3" xfId="15592"/>
    <cellStyle name="Tabelstandaard Totaal 2 11 4" xfId="27644"/>
    <cellStyle name="Tabelstandaard Totaal 2 11 5" xfId="39312"/>
    <cellStyle name="Tabelstandaard Totaal 2 11 6" xfId="48956"/>
    <cellStyle name="Tabelstandaard Totaal 2 12" xfId="5444"/>
    <cellStyle name="Tabelstandaard Totaal 2 12 2" xfId="9877"/>
    <cellStyle name="Tabelstandaard Totaal 2 12 2 2" xfId="22175"/>
    <cellStyle name="Tabelstandaard Totaal 2 12 2 3" xfId="34227"/>
    <cellStyle name="Tabelstandaard Totaal 2 12 2 4" xfId="32078"/>
    <cellStyle name="Tabelstandaard Totaal 2 12 2 5" xfId="54842"/>
    <cellStyle name="Tabelstandaard Totaal 2 12 3" xfId="15593"/>
    <cellStyle name="Tabelstandaard Totaal 2 12 4" xfId="27645"/>
    <cellStyle name="Tabelstandaard Totaal 2 12 5" xfId="45226"/>
    <cellStyle name="Tabelstandaard Totaal 2 12 6" xfId="48957"/>
    <cellStyle name="Tabelstandaard Totaal 2 13" xfId="5445"/>
    <cellStyle name="Tabelstandaard Totaal 2 13 2" xfId="15594"/>
    <cellStyle name="Tabelstandaard Totaal 2 13 3" xfId="27646"/>
    <cellStyle name="Tabelstandaard Totaal 2 13 4" xfId="39311"/>
    <cellStyle name="Tabelstandaard Totaal 2 13 5" xfId="48958"/>
    <cellStyle name="Tabelstandaard Totaal 2 14" xfId="7786"/>
    <cellStyle name="Tabelstandaard Totaal 2 14 2" xfId="20084"/>
    <cellStyle name="Tabelstandaard Totaal 2 14 3" xfId="41887"/>
    <cellStyle name="Tabelstandaard Totaal 2 14 4" xfId="43364"/>
    <cellStyle name="Tabelstandaard Totaal 2 14 5" xfId="52756"/>
    <cellStyle name="Tabelstandaard Totaal 2 15" xfId="15590"/>
    <cellStyle name="Tabelstandaard Totaal 2 16" xfId="211"/>
    <cellStyle name="Tabelstandaard Totaal 2 2" xfId="142"/>
    <cellStyle name="Tabelstandaard Totaal 2 2 10" xfId="248"/>
    <cellStyle name="Tabelstandaard Totaal 2 2 2" xfId="396"/>
    <cellStyle name="Tabelstandaard Totaal 2 2 2 2" xfId="826"/>
    <cellStyle name="Tabelstandaard Totaal 2 2 2 2 2" xfId="1487"/>
    <cellStyle name="Tabelstandaard Totaal 2 2 2 2 2 2" xfId="9881"/>
    <cellStyle name="Tabelstandaard Totaal 2 2 2 2 2 2 2" xfId="22179"/>
    <cellStyle name="Tabelstandaard Totaal 2 2 2 2 2 2 3" xfId="34231"/>
    <cellStyle name="Tabelstandaard Totaal 2 2 2 2 2 2 4" xfId="34604"/>
    <cellStyle name="Tabelstandaard Totaal 2 2 2 2 2 2 5" xfId="54846"/>
    <cellStyle name="Tabelstandaard Totaal 2 2 2 2 2 3" xfId="15598"/>
    <cellStyle name="Tabelstandaard Totaal 2 2 2 2 2 4" xfId="27650"/>
    <cellStyle name="Tabelstandaard Totaal 2 2 2 2 2 5" xfId="39309"/>
    <cellStyle name="Tabelstandaard Totaal 2 2 2 2 2 6" xfId="48959"/>
    <cellStyle name="Tabelstandaard Totaal 2 2 2 2 2 7" xfId="5446"/>
    <cellStyle name="Tabelstandaard Totaal 2 2 2 2 3" xfId="2837"/>
    <cellStyle name="Tabelstandaard Totaal 2 2 2 2 3 2" xfId="15599"/>
    <cellStyle name="Tabelstandaard Totaal 2 2 2 2 3 3" xfId="27651"/>
    <cellStyle name="Tabelstandaard Totaal 2 2 2 2 3 4" xfId="45224"/>
    <cellStyle name="Tabelstandaard Totaal 2 2 2 2 3 5" xfId="48960"/>
    <cellStyle name="Tabelstandaard Totaal 2 2 2 2 4" xfId="10116"/>
    <cellStyle name="Tabelstandaard Totaal 2 2 2 2 4 2" xfId="22414"/>
    <cellStyle name="Tabelstandaard Totaal 2 2 2 2 4 3" xfId="44178"/>
    <cellStyle name="Tabelstandaard Totaal 2 2 2 2 4 4" xfId="42409"/>
    <cellStyle name="Tabelstandaard Totaal 2 2 2 2 4 5" xfId="55081"/>
    <cellStyle name="Tabelstandaard Totaal 2 2 2 2 5" xfId="15597"/>
    <cellStyle name="Tabelstandaard Totaal 2 2 2 3" xfId="1335"/>
    <cellStyle name="Tabelstandaard Totaal 2 2 2 3 2" xfId="3346"/>
    <cellStyle name="Tabelstandaard Totaal 2 2 2 3 2 2" xfId="9883"/>
    <cellStyle name="Tabelstandaard Totaal 2 2 2 3 2 2 2" xfId="22181"/>
    <cellStyle name="Tabelstandaard Totaal 2 2 2 3 2 2 3" xfId="34233"/>
    <cellStyle name="Tabelstandaard Totaal 2 2 2 3 2 2 4" xfId="28320"/>
    <cellStyle name="Tabelstandaard Totaal 2 2 2 3 2 2 5" xfId="54848"/>
    <cellStyle name="Tabelstandaard Totaal 2 2 2 3 2 3" xfId="15601"/>
    <cellStyle name="Tabelstandaard Totaal 2 2 2 3 2 4" xfId="27653"/>
    <cellStyle name="Tabelstandaard Totaal 2 2 2 3 2 5" xfId="45223"/>
    <cellStyle name="Tabelstandaard Totaal 2 2 2 3 2 6" xfId="48961"/>
    <cellStyle name="Tabelstandaard Totaal 2 2 2 3 3" xfId="5447"/>
    <cellStyle name="Tabelstandaard Totaal 2 2 2 3 3 2" xfId="15602"/>
    <cellStyle name="Tabelstandaard Totaal 2 2 2 3 3 3" xfId="27654"/>
    <cellStyle name="Tabelstandaard Totaal 2 2 2 3 3 4" xfId="39307"/>
    <cellStyle name="Tabelstandaard Totaal 2 2 2 3 3 5" xfId="48962"/>
    <cellStyle name="Tabelstandaard Totaal 2 2 2 3 4" xfId="7045"/>
    <cellStyle name="Tabelstandaard Totaal 2 2 2 3 4 2" xfId="19343"/>
    <cellStyle name="Tabelstandaard Totaal 2 2 2 3 4 3" xfId="41146"/>
    <cellStyle name="Tabelstandaard Totaal 2 2 2 3 4 4" xfId="43673"/>
    <cellStyle name="Tabelstandaard Totaal 2 2 2 3 4 5" xfId="52016"/>
    <cellStyle name="Tabelstandaard Totaal 2 2 2 3 5" xfId="15600"/>
    <cellStyle name="Tabelstandaard Totaal 2 2 2 4" xfId="1768"/>
    <cellStyle name="Tabelstandaard Totaal 2 2 2 4 2" xfId="9884"/>
    <cellStyle name="Tabelstandaard Totaal 2 2 2 4 2 2" xfId="22182"/>
    <cellStyle name="Tabelstandaard Totaal 2 2 2 4 2 3" xfId="34234"/>
    <cellStyle name="Tabelstandaard Totaal 2 2 2 4 2 4" xfId="42506"/>
    <cellStyle name="Tabelstandaard Totaal 2 2 2 4 2 5" xfId="54849"/>
    <cellStyle name="Tabelstandaard Totaal 2 2 2 4 3" xfId="15603"/>
    <cellStyle name="Tabelstandaard Totaal 2 2 2 4 4" xfId="27655"/>
    <cellStyle name="Tabelstandaard Totaal 2 2 2 4 5" xfId="39306"/>
    <cellStyle name="Tabelstandaard Totaal 2 2 2 4 6" xfId="48963"/>
    <cellStyle name="Tabelstandaard Totaal 2 2 2 5" xfId="5448"/>
    <cellStyle name="Tabelstandaard Totaal 2 2 2 5 2" xfId="15604"/>
    <cellStyle name="Tabelstandaard Totaal 2 2 2 5 3" xfId="27656"/>
    <cellStyle name="Tabelstandaard Totaal 2 2 2 5 4" xfId="39305"/>
    <cellStyle name="Tabelstandaard Totaal 2 2 2 5 5" xfId="48964"/>
    <cellStyle name="Tabelstandaard Totaal 2 2 2 6" xfId="7720"/>
    <cellStyle name="Tabelstandaard Totaal 2 2 2 6 2" xfId="20018"/>
    <cellStyle name="Tabelstandaard Totaal 2 2 2 6 3" xfId="41821"/>
    <cellStyle name="Tabelstandaard Totaal 2 2 2 6 4" xfId="43391"/>
    <cellStyle name="Tabelstandaard Totaal 2 2 2 6 5" xfId="52690"/>
    <cellStyle name="Tabelstandaard Totaal 2 2 2 7" xfId="15596"/>
    <cellStyle name="Tabelstandaard Totaal 2 2 3" xfId="375"/>
    <cellStyle name="Tabelstandaard Totaal 2 2 3 2" xfId="925"/>
    <cellStyle name="Tabelstandaard Totaal 2 2 3 2 2" xfId="1921"/>
    <cellStyle name="Tabelstandaard Totaal 2 2 3 2 2 2" xfId="9887"/>
    <cellStyle name="Tabelstandaard Totaal 2 2 3 2 2 2 2" xfId="22185"/>
    <cellStyle name="Tabelstandaard Totaal 2 2 3 2 2 2 3" xfId="34237"/>
    <cellStyle name="Tabelstandaard Totaal 2 2 3 2 2 2 4" xfId="32103"/>
    <cellStyle name="Tabelstandaard Totaal 2 2 3 2 2 2 5" xfId="54852"/>
    <cellStyle name="Tabelstandaard Totaal 2 2 3 2 2 3" xfId="15607"/>
    <cellStyle name="Tabelstandaard Totaal 2 2 3 2 2 4" xfId="27659"/>
    <cellStyle name="Tabelstandaard Totaal 2 2 3 2 2 5" xfId="45221"/>
    <cellStyle name="Tabelstandaard Totaal 2 2 3 2 2 6" xfId="48965"/>
    <cellStyle name="Tabelstandaard Totaal 2 2 3 2 2 7" xfId="5449"/>
    <cellStyle name="Tabelstandaard Totaal 2 2 3 2 3" xfId="2936"/>
    <cellStyle name="Tabelstandaard Totaal 2 2 3 2 3 2" xfId="15608"/>
    <cellStyle name="Tabelstandaard Totaal 2 2 3 2 3 3" xfId="27660"/>
    <cellStyle name="Tabelstandaard Totaal 2 2 3 2 3 4" xfId="39303"/>
    <cellStyle name="Tabelstandaard Totaal 2 2 3 2 3 5" xfId="48966"/>
    <cellStyle name="Tabelstandaard Totaal 2 2 3 2 4" xfId="7362"/>
    <cellStyle name="Tabelstandaard Totaal 2 2 3 2 4 2" xfId="19660"/>
    <cellStyle name="Tabelstandaard Totaal 2 2 3 2 4 3" xfId="41463"/>
    <cellStyle name="Tabelstandaard Totaal 2 2 3 2 4 4" xfId="43541"/>
    <cellStyle name="Tabelstandaard Totaal 2 2 3 2 4 5" xfId="52332"/>
    <cellStyle name="Tabelstandaard Totaal 2 2 3 2 5" xfId="15606"/>
    <cellStyle name="Tabelstandaard Totaal 2 2 3 3" xfId="1302"/>
    <cellStyle name="Tabelstandaard Totaal 2 2 3 3 2" xfId="3313"/>
    <cellStyle name="Tabelstandaard Totaal 2 2 3 3 2 2" xfId="9889"/>
    <cellStyle name="Tabelstandaard Totaal 2 2 3 3 2 2 2" xfId="22187"/>
    <cellStyle name="Tabelstandaard Totaal 2 2 3 3 2 2 3" xfId="34239"/>
    <cellStyle name="Tabelstandaard Totaal 2 2 3 3 2 2 4" xfId="28325"/>
    <cellStyle name="Tabelstandaard Totaal 2 2 3 3 2 2 5" xfId="54854"/>
    <cellStyle name="Tabelstandaard Totaal 2 2 3 3 2 3" xfId="15610"/>
    <cellStyle name="Tabelstandaard Totaal 2 2 3 3 2 4" xfId="27662"/>
    <cellStyle name="Tabelstandaard Totaal 2 2 3 3 2 5" xfId="45220"/>
    <cellStyle name="Tabelstandaard Totaal 2 2 3 3 2 6" xfId="48967"/>
    <cellStyle name="Tabelstandaard Totaal 2 2 3 3 3" xfId="5450"/>
    <cellStyle name="Tabelstandaard Totaal 2 2 3 3 3 2" xfId="15611"/>
    <cellStyle name="Tabelstandaard Totaal 2 2 3 3 3 3" xfId="27663"/>
    <cellStyle name="Tabelstandaard Totaal 2 2 3 3 3 4" xfId="39301"/>
    <cellStyle name="Tabelstandaard Totaal 2 2 3 3 3 5" xfId="48968"/>
    <cellStyle name="Tabelstandaard Totaal 2 2 3 3 4" xfId="7075"/>
    <cellStyle name="Tabelstandaard Totaal 2 2 3 3 4 2" xfId="19373"/>
    <cellStyle name="Tabelstandaard Totaal 2 2 3 3 4 3" xfId="41176"/>
    <cellStyle name="Tabelstandaard Totaal 2 2 3 3 4 4" xfId="36990"/>
    <cellStyle name="Tabelstandaard Totaal 2 2 3 3 4 5" xfId="52046"/>
    <cellStyle name="Tabelstandaard Totaal 2 2 3 3 5" xfId="15609"/>
    <cellStyle name="Tabelstandaard Totaal 2 2 3 4" xfId="1734"/>
    <cellStyle name="Tabelstandaard Totaal 2 2 3 4 2" xfId="9890"/>
    <cellStyle name="Tabelstandaard Totaal 2 2 3 4 2 2" xfId="22188"/>
    <cellStyle name="Tabelstandaard Totaal 2 2 3 4 2 3" xfId="34240"/>
    <cellStyle name="Tabelstandaard Totaal 2 2 3 4 2 4" xfId="42503"/>
    <cellStyle name="Tabelstandaard Totaal 2 2 3 4 2 5" xfId="54855"/>
    <cellStyle name="Tabelstandaard Totaal 2 2 3 4 3" xfId="15612"/>
    <cellStyle name="Tabelstandaard Totaal 2 2 3 4 4" xfId="27664"/>
    <cellStyle name="Tabelstandaard Totaal 2 2 3 4 5" xfId="45219"/>
    <cellStyle name="Tabelstandaard Totaal 2 2 3 4 6" xfId="48969"/>
    <cellStyle name="Tabelstandaard Totaal 2 2 3 5" xfId="5451"/>
    <cellStyle name="Tabelstandaard Totaal 2 2 3 5 2" xfId="15613"/>
    <cellStyle name="Tabelstandaard Totaal 2 2 3 5 3" xfId="27665"/>
    <cellStyle name="Tabelstandaard Totaal 2 2 3 5 4" xfId="39300"/>
    <cellStyle name="Tabelstandaard Totaal 2 2 3 5 5" xfId="48970"/>
    <cellStyle name="Tabelstandaard Totaal 2 2 3 6" xfId="7731"/>
    <cellStyle name="Tabelstandaard Totaal 2 2 3 6 2" xfId="20029"/>
    <cellStyle name="Tabelstandaard Totaal 2 2 3 6 3" xfId="41832"/>
    <cellStyle name="Tabelstandaard Totaal 2 2 3 6 4" xfId="25157"/>
    <cellStyle name="Tabelstandaard Totaal 2 2 3 6 5" xfId="52701"/>
    <cellStyle name="Tabelstandaard Totaal 2 2 3 7" xfId="15605"/>
    <cellStyle name="Tabelstandaard Totaal 2 2 4" xfId="350"/>
    <cellStyle name="Tabelstandaard Totaal 2 2 4 2" xfId="628"/>
    <cellStyle name="Tabelstandaard Totaal 2 2 4 2 2" xfId="1625"/>
    <cellStyle name="Tabelstandaard Totaal 2 2 4 2 2 2" xfId="9893"/>
    <cellStyle name="Tabelstandaard Totaal 2 2 4 2 2 2 2" xfId="22191"/>
    <cellStyle name="Tabelstandaard Totaal 2 2 4 2 2 2 3" xfId="34243"/>
    <cellStyle name="Tabelstandaard Totaal 2 2 4 2 2 2 4" xfId="28330"/>
    <cellStyle name="Tabelstandaard Totaal 2 2 4 2 2 2 5" xfId="54858"/>
    <cellStyle name="Tabelstandaard Totaal 2 2 4 2 2 3" xfId="15616"/>
    <cellStyle name="Tabelstandaard Totaal 2 2 4 2 2 4" xfId="27668"/>
    <cellStyle name="Tabelstandaard Totaal 2 2 4 2 2 5" xfId="39298"/>
    <cellStyle name="Tabelstandaard Totaal 2 2 4 2 2 6" xfId="48971"/>
    <cellStyle name="Tabelstandaard Totaal 2 2 4 2 3" xfId="5452"/>
    <cellStyle name="Tabelstandaard Totaal 2 2 4 2 3 2" xfId="15617"/>
    <cellStyle name="Tabelstandaard Totaal 2 2 4 2 3 3" xfId="27669"/>
    <cellStyle name="Tabelstandaard Totaal 2 2 4 2 3 4" xfId="45217"/>
    <cellStyle name="Tabelstandaard Totaal 2 2 4 2 3 5" xfId="48972"/>
    <cellStyle name="Tabelstandaard Totaal 2 2 4 2 4" xfId="7563"/>
    <cellStyle name="Tabelstandaard Totaal 2 2 4 2 4 2" xfId="19861"/>
    <cellStyle name="Tabelstandaard Totaal 2 2 4 2 4 3" xfId="41664"/>
    <cellStyle name="Tabelstandaard Totaal 2 2 4 2 4 4" xfId="24814"/>
    <cellStyle name="Tabelstandaard Totaal 2 2 4 2 4 5" xfId="52533"/>
    <cellStyle name="Tabelstandaard Totaal 2 2 4 2 5" xfId="15615"/>
    <cellStyle name="Tabelstandaard Totaal 2 2 4 3" xfId="1296"/>
    <cellStyle name="Tabelstandaard Totaal 2 2 4 3 2" xfId="2105"/>
    <cellStyle name="Tabelstandaard Totaal 2 2 4 3 2 2" xfId="9895"/>
    <cellStyle name="Tabelstandaard Totaal 2 2 4 3 2 2 2" xfId="22193"/>
    <cellStyle name="Tabelstandaard Totaal 2 2 4 3 2 2 3" xfId="34245"/>
    <cellStyle name="Tabelstandaard Totaal 2 2 4 3 2 2 4" xfId="28331"/>
    <cellStyle name="Tabelstandaard Totaal 2 2 4 3 2 2 5" xfId="54860"/>
    <cellStyle name="Tabelstandaard Totaal 2 2 4 3 2 3" xfId="15619"/>
    <cellStyle name="Tabelstandaard Totaal 2 2 4 3 2 4" xfId="27671"/>
    <cellStyle name="Tabelstandaard Totaal 2 2 4 3 2 5" xfId="45216"/>
    <cellStyle name="Tabelstandaard Totaal 2 2 4 3 2 6" xfId="48973"/>
    <cellStyle name="Tabelstandaard Totaal 2 2 4 3 2 7" xfId="5453"/>
    <cellStyle name="Tabelstandaard Totaal 2 2 4 3 3" xfId="3307"/>
    <cellStyle name="Tabelstandaard Totaal 2 2 4 3 3 2" xfId="15620"/>
    <cellStyle name="Tabelstandaard Totaal 2 2 4 3 3 3" xfId="27672"/>
    <cellStyle name="Tabelstandaard Totaal 2 2 4 3 3 4" xfId="39297"/>
    <cellStyle name="Tabelstandaard Totaal 2 2 4 3 3 5" xfId="48974"/>
    <cellStyle name="Tabelstandaard Totaal 2 2 4 3 4" xfId="7080"/>
    <cellStyle name="Tabelstandaard Totaal 2 2 4 3 4 2" xfId="19378"/>
    <cellStyle name="Tabelstandaard Totaal 2 2 4 3 4 3" xfId="41181"/>
    <cellStyle name="Tabelstandaard Totaal 2 2 4 3 4 4" xfId="43658"/>
    <cellStyle name="Tabelstandaard Totaal 2 2 4 3 4 5" xfId="52051"/>
    <cellStyle name="Tabelstandaard Totaal 2 2 4 3 5" xfId="15618"/>
    <cellStyle name="Tabelstandaard Totaal 2 2 4 4" xfId="5454"/>
    <cellStyle name="Tabelstandaard Totaal 2 2 4 4 2" xfId="9896"/>
    <cellStyle name="Tabelstandaard Totaal 2 2 4 4 2 2" xfId="22194"/>
    <cellStyle name="Tabelstandaard Totaal 2 2 4 4 2 3" xfId="34246"/>
    <cellStyle name="Tabelstandaard Totaal 2 2 4 4 2 4" xfId="42501"/>
    <cellStyle name="Tabelstandaard Totaal 2 2 4 4 2 5" xfId="54861"/>
    <cellStyle name="Tabelstandaard Totaal 2 2 4 4 3" xfId="15621"/>
    <cellStyle name="Tabelstandaard Totaal 2 2 4 4 4" xfId="27673"/>
    <cellStyle name="Tabelstandaard Totaal 2 2 4 4 5" xfId="45215"/>
    <cellStyle name="Tabelstandaard Totaal 2 2 4 4 6" xfId="48975"/>
    <cellStyle name="Tabelstandaard Totaal 2 2 4 5" xfId="5455"/>
    <cellStyle name="Tabelstandaard Totaal 2 2 4 5 2" xfId="15622"/>
    <cellStyle name="Tabelstandaard Totaal 2 2 4 5 3" xfId="27674"/>
    <cellStyle name="Tabelstandaard Totaal 2 2 4 5 4" xfId="39296"/>
    <cellStyle name="Tabelstandaard Totaal 2 2 4 5 5" xfId="48976"/>
    <cellStyle name="Tabelstandaard Totaal 2 2 4 6" xfId="7750"/>
    <cellStyle name="Tabelstandaard Totaal 2 2 4 6 2" xfId="20048"/>
    <cellStyle name="Tabelstandaard Totaal 2 2 4 6 3" xfId="41851"/>
    <cellStyle name="Tabelstandaard Totaal 2 2 4 6 4" xfId="43379"/>
    <cellStyle name="Tabelstandaard Totaal 2 2 4 6 5" xfId="52720"/>
    <cellStyle name="Tabelstandaard Totaal 2 2 4 7" xfId="15614"/>
    <cellStyle name="Tabelstandaard Totaal 2 2 5" xfId="493"/>
    <cellStyle name="Tabelstandaard Totaal 2 2 5 2" xfId="1735"/>
    <cellStyle name="Tabelstandaard Totaal 2 2 5 2 2" xfId="9898"/>
    <cellStyle name="Tabelstandaard Totaal 2 2 5 2 2 2" xfId="22196"/>
    <cellStyle name="Tabelstandaard Totaal 2 2 5 2 2 3" xfId="34248"/>
    <cellStyle name="Tabelstandaard Totaal 2 2 5 2 2 4" xfId="42500"/>
    <cellStyle name="Tabelstandaard Totaal 2 2 5 2 2 5" xfId="54863"/>
    <cellStyle name="Tabelstandaard Totaal 2 2 5 2 3" xfId="15624"/>
    <cellStyle name="Tabelstandaard Totaal 2 2 5 2 4" xfId="27676"/>
    <cellStyle name="Tabelstandaard Totaal 2 2 5 2 5" xfId="39295"/>
    <cellStyle name="Tabelstandaard Totaal 2 2 5 2 6" xfId="48977"/>
    <cellStyle name="Tabelstandaard Totaal 2 2 5 2 7" xfId="5456"/>
    <cellStyle name="Tabelstandaard Totaal 2 2 5 3" xfId="2564"/>
    <cellStyle name="Tabelstandaard Totaal 2 2 5 3 2" xfId="15625"/>
    <cellStyle name="Tabelstandaard Totaal 2 2 5 3 3" xfId="27677"/>
    <cellStyle name="Tabelstandaard Totaal 2 2 5 3 4" xfId="45213"/>
    <cellStyle name="Tabelstandaard Totaal 2 2 5 3 5" xfId="48978"/>
    <cellStyle name="Tabelstandaard Totaal 2 2 5 4" xfId="7654"/>
    <cellStyle name="Tabelstandaard Totaal 2 2 5 4 2" xfId="19952"/>
    <cellStyle name="Tabelstandaard Totaal 2 2 5 4 3" xfId="41755"/>
    <cellStyle name="Tabelstandaard Totaal 2 2 5 4 4" xfId="31490"/>
    <cellStyle name="Tabelstandaard Totaal 2 2 5 4 5" xfId="52624"/>
    <cellStyle name="Tabelstandaard Totaal 2 2 5 5" xfId="15623"/>
    <cellStyle name="Tabelstandaard Totaal 2 2 6" xfId="1929"/>
    <cellStyle name="Tabelstandaard Totaal 2 2 6 2" xfId="9899"/>
    <cellStyle name="Tabelstandaard Totaal 2 2 6 2 2" xfId="22197"/>
    <cellStyle name="Tabelstandaard Totaal 2 2 6 2 3" xfId="34249"/>
    <cellStyle name="Tabelstandaard Totaal 2 2 6 2 4" xfId="31495"/>
    <cellStyle name="Tabelstandaard Totaal 2 2 6 2 5" xfId="54864"/>
    <cellStyle name="Tabelstandaard Totaal 2 2 6 3" xfId="15626"/>
    <cellStyle name="Tabelstandaard Totaal 2 2 6 4" xfId="27678"/>
    <cellStyle name="Tabelstandaard Totaal 2 2 6 5" xfId="39294"/>
    <cellStyle name="Tabelstandaard Totaal 2 2 6 6" xfId="48979"/>
    <cellStyle name="Tabelstandaard Totaal 2 2 7" xfId="5457"/>
    <cellStyle name="Tabelstandaard Totaal 2 2 7 2" xfId="15627"/>
    <cellStyle name="Tabelstandaard Totaal 2 2 7 3" xfId="27679"/>
    <cellStyle name="Tabelstandaard Totaal 2 2 7 4" xfId="39293"/>
    <cellStyle name="Tabelstandaard Totaal 2 2 7 5" xfId="48980"/>
    <cellStyle name="Tabelstandaard Totaal 2 2 8" xfId="7772"/>
    <cellStyle name="Tabelstandaard Totaal 2 2 8 2" xfId="20070"/>
    <cellStyle name="Tabelstandaard Totaal 2 2 8 3" xfId="41873"/>
    <cellStyle name="Tabelstandaard Totaal 2 2 8 4" xfId="43370"/>
    <cellStyle name="Tabelstandaard Totaal 2 2 8 5" xfId="52742"/>
    <cellStyle name="Tabelstandaard Totaal 2 2 9" xfId="15595"/>
    <cellStyle name="Tabelstandaard Totaal 2 3" xfId="355"/>
    <cellStyle name="Tabelstandaard Totaal 2 3 2" xfId="397"/>
    <cellStyle name="Tabelstandaard Totaal 2 3 2 2" xfId="1187"/>
    <cellStyle name="Tabelstandaard Totaal 2 3 2 2 2" xfId="1881"/>
    <cellStyle name="Tabelstandaard Totaal 2 3 2 2 2 2" xfId="9903"/>
    <cellStyle name="Tabelstandaard Totaal 2 3 2 2 2 2 2" xfId="22201"/>
    <cellStyle name="Tabelstandaard Totaal 2 3 2 2 2 2 3" xfId="34253"/>
    <cellStyle name="Tabelstandaard Totaal 2 3 2 2 2 2 4" xfId="31391"/>
    <cellStyle name="Tabelstandaard Totaal 2 3 2 2 2 2 5" xfId="54868"/>
    <cellStyle name="Tabelstandaard Totaal 2 3 2 2 2 3" xfId="15631"/>
    <cellStyle name="Tabelstandaard Totaal 2 3 2 2 2 4" xfId="27683"/>
    <cellStyle name="Tabelstandaard Totaal 2 3 2 2 2 5" xfId="45211"/>
    <cellStyle name="Tabelstandaard Totaal 2 3 2 2 2 6" xfId="48981"/>
    <cellStyle name="Tabelstandaard Totaal 2 3 2 2 2 7" xfId="5458"/>
    <cellStyle name="Tabelstandaard Totaal 2 3 2 2 3" xfId="3198"/>
    <cellStyle name="Tabelstandaard Totaal 2 3 2 2 3 2" xfId="15632"/>
    <cellStyle name="Tabelstandaard Totaal 2 3 2 2 3 3" xfId="27684"/>
    <cellStyle name="Tabelstandaard Totaal 2 3 2 2 3 4" xfId="39290"/>
    <cellStyle name="Tabelstandaard Totaal 2 3 2 2 3 5" xfId="48982"/>
    <cellStyle name="Tabelstandaard Totaal 2 3 2 2 4" xfId="7184"/>
    <cellStyle name="Tabelstandaard Totaal 2 3 2 2 4 2" xfId="19482"/>
    <cellStyle name="Tabelstandaard Totaal 2 3 2 2 4 3" xfId="41285"/>
    <cellStyle name="Tabelstandaard Totaal 2 3 2 2 4 4" xfId="43615"/>
    <cellStyle name="Tabelstandaard Totaal 2 3 2 2 4 5" xfId="52154"/>
    <cellStyle name="Tabelstandaard Totaal 2 3 2 2 5" xfId="15630"/>
    <cellStyle name="Tabelstandaard Totaal 2 3 2 3" xfId="1336"/>
    <cellStyle name="Tabelstandaard Totaal 2 3 2 3 2" xfId="3347"/>
    <cellStyle name="Tabelstandaard Totaal 2 3 2 3 2 2" xfId="9905"/>
    <cellStyle name="Tabelstandaard Totaal 2 3 2 3 2 2 2" xfId="22203"/>
    <cellStyle name="Tabelstandaard Totaal 2 3 2 3 2 2 3" xfId="34255"/>
    <cellStyle name="Tabelstandaard Totaal 2 3 2 3 2 2 4" xfId="32092"/>
    <cellStyle name="Tabelstandaard Totaal 2 3 2 3 2 2 5" xfId="54870"/>
    <cellStyle name="Tabelstandaard Totaal 2 3 2 3 2 3" xfId="15634"/>
    <cellStyle name="Tabelstandaard Totaal 2 3 2 3 2 4" xfId="27686"/>
    <cellStyle name="Tabelstandaard Totaal 2 3 2 3 2 5" xfId="39289"/>
    <cellStyle name="Tabelstandaard Totaal 2 3 2 3 2 6" xfId="48983"/>
    <cellStyle name="Tabelstandaard Totaal 2 3 2 3 3" xfId="5459"/>
    <cellStyle name="Tabelstandaard Totaal 2 3 2 3 3 2" xfId="15635"/>
    <cellStyle name="Tabelstandaard Totaal 2 3 2 3 3 3" xfId="27687"/>
    <cellStyle name="Tabelstandaard Totaal 2 3 2 3 3 4" xfId="45209"/>
    <cellStyle name="Tabelstandaard Totaal 2 3 2 3 3 5" xfId="48984"/>
    <cellStyle name="Tabelstandaard Totaal 2 3 2 3 4" xfId="9849"/>
    <cellStyle name="Tabelstandaard Totaal 2 3 2 3 4 2" xfId="22147"/>
    <cellStyle name="Tabelstandaard Totaal 2 3 2 3 4 3" xfId="43914"/>
    <cellStyle name="Tabelstandaard Totaal 2 3 2 3 4 4" xfId="34590"/>
    <cellStyle name="Tabelstandaard Totaal 2 3 2 3 4 5" xfId="54814"/>
    <cellStyle name="Tabelstandaard Totaal 2 3 2 3 5" xfId="15633"/>
    <cellStyle name="Tabelstandaard Totaal 2 3 2 4" xfId="1864"/>
    <cellStyle name="Tabelstandaard Totaal 2 3 2 4 2" xfId="9906"/>
    <cellStyle name="Tabelstandaard Totaal 2 3 2 4 2 2" xfId="22204"/>
    <cellStyle name="Tabelstandaard Totaal 2 3 2 4 2 3" xfId="34256"/>
    <cellStyle name="Tabelstandaard Totaal 2 3 2 4 2 4" xfId="42497"/>
    <cellStyle name="Tabelstandaard Totaal 2 3 2 4 2 5" xfId="54871"/>
    <cellStyle name="Tabelstandaard Totaal 2 3 2 4 3" xfId="15636"/>
    <cellStyle name="Tabelstandaard Totaal 2 3 2 4 4" xfId="27688"/>
    <cellStyle name="Tabelstandaard Totaal 2 3 2 4 5" xfId="39288"/>
    <cellStyle name="Tabelstandaard Totaal 2 3 2 4 6" xfId="48985"/>
    <cellStyle name="Tabelstandaard Totaal 2 3 2 5" xfId="5460"/>
    <cellStyle name="Tabelstandaard Totaal 2 3 2 5 2" xfId="15637"/>
    <cellStyle name="Tabelstandaard Totaal 2 3 2 5 3" xfId="27689"/>
    <cellStyle name="Tabelstandaard Totaal 2 3 2 5 4" xfId="45208"/>
    <cellStyle name="Tabelstandaard Totaal 2 3 2 5 5" xfId="48986"/>
    <cellStyle name="Tabelstandaard Totaal 2 3 2 6" xfId="7719"/>
    <cellStyle name="Tabelstandaard Totaal 2 3 2 6 2" xfId="20017"/>
    <cellStyle name="Tabelstandaard Totaal 2 3 2 6 3" xfId="41820"/>
    <cellStyle name="Tabelstandaard Totaal 2 3 2 6 4" xfId="31424"/>
    <cellStyle name="Tabelstandaard Totaal 2 3 2 6 5" xfId="52689"/>
    <cellStyle name="Tabelstandaard Totaal 2 3 2 7" xfId="15629"/>
    <cellStyle name="Tabelstandaard Totaal 2 3 3" xfId="5461"/>
    <cellStyle name="Tabelstandaard Totaal 2 3 3 2" xfId="9907"/>
    <cellStyle name="Tabelstandaard Totaal 2 3 3 2 2" xfId="22205"/>
    <cellStyle name="Tabelstandaard Totaal 2 3 3 2 3" xfId="34257"/>
    <cellStyle name="Tabelstandaard Totaal 2 3 3 2 4" xfId="28342"/>
    <cellStyle name="Tabelstandaard Totaal 2 3 3 2 5" xfId="54872"/>
    <cellStyle name="Tabelstandaard Totaal 2 3 3 3" xfId="15638"/>
    <cellStyle name="Tabelstandaard Totaal 2 3 3 4" xfId="27690"/>
    <cellStyle name="Tabelstandaard Totaal 2 3 3 5" xfId="39287"/>
    <cellStyle name="Tabelstandaard Totaal 2 3 3 6" xfId="48987"/>
    <cellStyle name="Tabelstandaard Totaal 2 3 4" xfId="5462"/>
    <cellStyle name="Tabelstandaard Totaal 2 3 4 2" xfId="15639"/>
    <cellStyle name="Tabelstandaard Totaal 2 3 4 3" xfId="27691"/>
    <cellStyle name="Tabelstandaard Totaal 2 3 4 4" xfId="39286"/>
    <cellStyle name="Tabelstandaard Totaal 2 3 4 5" xfId="48988"/>
    <cellStyle name="Tabelstandaard Totaal 2 3 5" xfId="7745"/>
    <cellStyle name="Tabelstandaard Totaal 2 3 5 2" xfId="20043"/>
    <cellStyle name="Tabelstandaard Totaal 2 3 5 3" xfId="41846"/>
    <cellStyle name="Tabelstandaard Totaal 2 3 5 4" xfId="31681"/>
    <cellStyle name="Tabelstandaard Totaal 2 3 5 5" xfId="52715"/>
    <cellStyle name="Tabelstandaard Totaal 2 3 6" xfId="15628"/>
    <cellStyle name="Tabelstandaard Totaal 2 4" xfId="734"/>
    <cellStyle name="Tabelstandaard Totaal 2 4 2" xfId="422"/>
    <cellStyle name="Tabelstandaard Totaal 2 4 2 2" xfId="2139"/>
    <cellStyle name="Tabelstandaard Totaal 2 4 2 2 2" xfId="9910"/>
    <cellStyle name="Tabelstandaard Totaal 2 4 2 2 2 2" xfId="22208"/>
    <cellStyle name="Tabelstandaard Totaal 2 4 2 2 2 3" xfId="34260"/>
    <cellStyle name="Tabelstandaard Totaal 2 4 2 2 2 4" xfId="42495"/>
    <cellStyle name="Tabelstandaard Totaal 2 4 2 2 2 5" xfId="54875"/>
    <cellStyle name="Tabelstandaard Totaal 2 4 2 2 3" xfId="15642"/>
    <cellStyle name="Tabelstandaard Totaal 2 4 2 2 4" xfId="27694"/>
    <cellStyle name="Tabelstandaard Totaal 2 4 2 2 5" xfId="39284"/>
    <cellStyle name="Tabelstandaard Totaal 2 4 2 2 6" xfId="48989"/>
    <cellStyle name="Tabelstandaard Totaal 2 4 2 2 7" xfId="5463"/>
    <cellStyle name="Tabelstandaard Totaal 2 4 2 3" xfId="2493"/>
    <cellStyle name="Tabelstandaard Totaal 2 4 2 3 2" xfId="15643"/>
    <cellStyle name="Tabelstandaard Totaal 2 4 2 3 3" xfId="27695"/>
    <cellStyle name="Tabelstandaard Totaal 2 4 2 3 4" xfId="45207"/>
    <cellStyle name="Tabelstandaard Totaal 2 4 2 3 5" xfId="48990"/>
    <cellStyle name="Tabelstandaard Totaal 2 4 2 4" xfId="7701"/>
    <cellStyle name="Tabelstandaard Totaal 2 4 2 4 2" xfId="19999"/>
    <cellStyle name="Tabelstandaard Totaal 2 4 2 4 3" xfId="41802"/>
    <cellStyle name="Tabelstandaard Totaal 2 4 2 4 4" xfId="25097"/>
    <cellStyle name="Tabelstandaard Totaal 2 4 2 4 5" xfId="52671"/>
    <cellStyle name="Tabelstandaard Totaal 2 4 2 5" xfId="15641"/>
    <cellStyle name="Tabelstandaard Totaal 2 4 3" xfId="2437"/>
    <cellStyle name="Tabelstandaard Totaal 2 4 3 2" xfId="9911"/>
    <cellStyle name="Tabelstandaard Totaal 2 4 3 2 2" xfId="22209"/>
    <cellStyle name="Tabelstandaard Totaal 2 4 3 2 3" xfId="34261"/>
    <cellStyle name="Tabelstandaard Totaal 2 4 3 2 4" xfId="31477"/>
    <cellStyle name="Tabelstandaard Totaal 2 4 3 2 5" xfId="54876"/>
    <cellStyle name="Tabelstandaard Totaal 2 4 3 3" xfId="15644"/>
    <cellStyle name="Tabelstandaard Totaal 2 4 3 4" xfId="27696"/>
    <cellStyle name="Tabelstandaard Totaal 2 4 3 5" xfId="39283"/>
    <cellStyle name="Tabelstandaard Totaal 2 4 3 6" xfId="48991"/>
    <cellStyle name="Tabelstandaard Totaal 2 4 4" xfId="5464"/>
    <cellStyle name="Tabelstandaard Totaal 2 4 4 2" xfId="15645"/>
    <cellStyle name="Tabelstandaard Totaal 2 4 4 3" xfId="27697"/>
    <cellStyle name="Tabelstandaard Totaal 2 4 4 4" xfId="45206"/>
    <cellStyle name="Tabelstandaard Totaal 2 4 4 5" xfId="48992"/>
    <cellStyle name="Tabelstandaard Totaal 2 4 5" xfId="10163"/>
    <cellStyle name="Tabelstandaard Totaal 2 4 5 2" xfId="22461"/>
    <cellStyle name="Tabelstandaard Totaal 2 4 5 3" xfId="44225"/>
    <cellStyle name="Tabelstandaard Totaal 2 4 5 4" xfId="34315"/>
    <cellStyle name="Tabelstandaard Totaal 2 4 5 5" xfId="55128"/>
    <cellStyle name="Tabelstandaard Totaal 2 4 6" xfId="15640"/>
    <cellStyle name="Tabelstandaard Totaal 2 5" xfId="725"/>
    <cellStyle name="Tabelstandaard Totaal 2 5 2" xfId="1079"/>
    <cellStyle name="Tabelstandaard Totaal 2 5 2 2" xfId="1423"/>
    <cellStyle name="Tabelstandaard Totaal 2 5 2 2 2" xfId="9914"/>
    <cellStyle name="Tabelstandaard Totaal 2 5 2 2 2 2" xfId="22212"/>
    <cellStyle name="Tabelstandaard Totaal 2 5 2 2 2 3" xfId="34264"/>
    <cellStyle name="Tabelstandaard Totaal 2 5 2 2 2 4" xfId="42493"/>
    <cellStyle name="Tabelstandaard Totaal 2 5 2 2 2 5" xfId="54879"/>
    <cellStyle name="Tabelstandaard Totaal 2 5 2 2 3" xfId="15648"/>
    <cellStyle name="Tabelstandaard Totaal 2 5 2 2 4" xfId="27700"/>
    <cellStyle name="Tabelstandaard Totaal 2 5 2 2 5" xfId="39281"/>
    <cellStyle name="Tabelstandaard Totaal 2 5 2 2 6" xfId="48993"/>
    <cellStyle name="Tabelstandaard Totaal 2 5 2 2 7" xfId="5465"/>
    <cellStyle name="Tabelstandaard Totaal 2 5 2 3" xfId="3090"/>
    <cellStyle name="Tabelstandaard Totaal 2 5 2 3 2" xfId="15649"/>
    <cellStyle name="Tabelstandaard Totaal 2 5 2 3 3" xfId="27701"/>
    <cellStyle name="Tabelstandaard Totaal 2 5 2 3 4" xfId="45204"/>
    <cellStyle name="Tabelstandaard Totaal 2 5 2 3 5" xfId="48994"/>
    <cellStyle name="Tabelstandaard Totaal 2 5 2 4" xfId="9941"/>
    <cellStyle name="Tabelstandaard Totaal 2 5 2 4 2" xfId="22239"/>
    <cellStyle name="Tabelstandaard Totaal 2 5 2 4 3" xfId="44004"/>
    <cellStyle name="Tabelstandaard Totaal 2 5 2 4 4" xfId="28372"/>
    <cellStyle name="Tabelstandaard Totaal 2 5 2 4 5" xfId="54906"/>
    <cellStyle name="Tabelstandaard Totaal 2 5 2 5" xfId="15647"/>
    <cellStyle name="Tabelstandaard Totaal 2 5 3" xfId="2370"/>
    <cellStyle name="Tabelstandaard Totaal 2 5 3 2" xfId="9915"/>
    <cellStyle name="Tabelstandaard Totaal 2 5 3 2 2" xfId="22213"/>
    <cellStyle name="Tabelstandaard Totaal 2 5 3 2 3" xfId="34265"/>
    <cellStyle name="Tabelstandaard Totaal 2 5 3 2 4" xfId="28348"/>
    <cellStyle name="Tabelstandaard Totaal 2 5 3 2 5" xfId="54880"/>
    <cellStyle name="Tabelstandaard Totaal 2 5 3 3" xfId="15650"/>
    <cellStyle name="Tabelstandaard Totaal 2 5 3 4" xfId="27702"/>
    <cellStyle name="Tabelstandaard Totaal 2 5 3 5" xfId="39280"/>
    <cellStyle name="Tabelstandaard Totaal 2 5 3 6" xfId="48995"/>
    <cellStyle name="Tabelstandaard Totaal 2 5 4" xfId="5466"/>
    <cellStyle name="Tabelstandaard Totaal 2 5 4 2" xfId="15651"/>
    <cellStyle name="Tabelstandaard Totaal 2 5 4 3" xfId="27703"/>
    <cellStyle name="Tabelstandaard Totaal 2 5 4 4" xfId="39279"/>
    <cellStyle name="Tabelstandaard Totaal 2 5 4 5" xfId="48996"/>
    <cellStyle name="Tabelstandaard Totaal 2 5 5" xfId="7497"/>
    <cellStyle name="Tabelstandaard Totaal 2 5 5 2" xfId="19795"/>
    <cellStyle name="Tabelstandaard Totaal 2 5 5 3" xfId="41598"/>
    <cellStyle name="Tabelstandaard Totaal 2 5 5 4" xfId="34505"/>
    <cellStyle name="Tabelstandaard Totaal 2 5 5 5" xfId="52467"/>
    <cellStyle name="Tabelstandaard Totaal 2 5 6" xfId="15646"/>
    <cellStyle name="Tabelstandaard Totaal 2 6" xfId="791"/>
    <cellStyle name="Tabelstandaard Totaal 2 6 2" xfId="1164"/>
    <cellStyle name="Tabelstandaard Totaal 2 6 2 2" xfId="2406"/>
    <cellStyle name="Tabelstandaard Totaal 2 6 2 2 2" xfId="9918"/>
    <cellStyle name="Tabelstandaard Totaal 2 6 2 2 2 2" xfId="22216"/>
    <cellStyle name="Tabelstandaard Totaal 2 6 2 2 2 3" xfId="34268"/>
    <cellStyle name="Tabelstandaard Totaal 2 6 2 2 2 4" xfId="42492"/>
    <cellStyle name="Tabelstandaard Totaal 2 6 2 2 2 5" xfId="54883"/>
    <cellStyle name="Tabelstandaard Totaal 2 6 2 2 3" xfId="15654"/>
    <cellStyle name="Tabelstandaard Totaal 2 6 2 2 4" xfId="27706"/>
    <cellStyle name="Tabelstandaard Totaal 2 6 2 2 5" xfId="39277"/>
    <cellStyle name="Tabelstandaard Totaal 2 6 2 2 6" xfId="48997"/>
    <cellStyle name="Tabelstandaard Totaal 2 6 2 2 7" xfId="5467"/>
    <cellStyle name="Tabelstandaard Totaal 2 6 2 3" xfId="3175"/>
    <cellStyle name="Tabelstandaard Totaal 2 6 2 3 2" xfId="15655"/>
    <cellStyle name="Tabelstandaard Totaal 2 6 2 3 3" xfId="27707"/>
    <cellStyle name="Tabelstandaard Totaal 2 6 2 3 4" xfId="45202"/>
    <cellStyle name="Tabelstandaard Totaal 2 6 2 3 5" xfId="48998"/>
    <cellStyle name="Tabelstandaard Totaal 2 6 2 4" xfId="7200"/>
    <cellStyle name="Tabelstandaard Totaal 2 6 2 4 2" xfId="19498"/>
    <cellStyle name="Tabelstandaard Totaal 2 6 2 4 3" xfId="41301"/>
    <cellStyle name="Tabelstandaard Totaal 2 6 2 4 4" xfId="43608"/>
    <cellStyle name="Tabelstandaard Totaal 2 6 2 4 5" xfId="52170"/>
    <cellStyle name="Tabelstandaard Totaal 2 6 2 5" xfId="15653"/>
    <cellStyle name="Tabelstandaard Totaal 2 6 3" xfId="1507"/>
    <cellStyle name="Tabelstandaard Totaal 2 6 3 2" xfId="9919"/>
    <cellStyle name="Tabelstandaard Totaal 2 6 3 2 2" xfId="22217"/>
    <cellStyle name="Tabelstandaard Totaal 2 6 3 2 3" xfId="34269"/>
    <cellStyle name="Tabelstandaard Totaal 2 6 3 2 4" xfId="34568"/>
    <cellStyle name="Tabelstandaard Totaal 2 6 3 2 5" xfId="54884"/>
    <cellStyle name="Tabelstandaard Totaal 2 6 3 3" xfId="15656"/>
    <cellStyle name="Tabelstandaard Totaal 2 6 3 4" xfId="27708"/>
    <cellStyle name="Tabelstandaard Totaal 2 6 3 5" xfId="39276"/>
    <cellStyle name="Tabelstandaard Totaal 2 6 3 6" xfId="48999"/>
    <cellStyle name="Tabelstandaard Totaal 2 6 4" xfId="5468"/>
    <cellStyle name="Tabelstandaard Totaal 2 6 4 2" xfId="15657"/>
    <cellStyle name="Tabelstandaard Totaal 2 6 4 3" xfId="27709"/>
    <cellStyle name="Tabelstandaard Totaal 2 6 4 4" xfId="45201"/>
    <cellStyle name="Tabelstandaard Totaal 2 6 4 5" xfId="49000"/>
    <cellStyle name="Tabelstandaard Totaal 2 6 5" xfId="7453"/>
    <cellStyle name="Tabelstandaard Totaal 2 6 5 2" xfId="19751"/>
    <cellStyle name="Tabelstandaard Totaal 2 6 5 3" xfId="41554"/>
    <cellStyle name="Tabelstandaard Totaal 2 6 5 4" xfId="19427"/>
    <cellStyle name="Tabelstandaard Totaal 2 6 5 5" xfId="52423"/>
    <cellStyle name="Tabelstandaard Totaal 2 6 6" xfId="15652"/>
    <cellStyle name="Tabelstandaard Totaal 2 7" xfId="802"/>
    <cellStyle name="Tabelstandaard Totaal 2 7 2" xfId="1132"/>
    <cellStyle name="Tabelstandaard Totaal 2 7 2 2" xfId="1789"/>
    <cellStyle name="Tabelstandaard Totaal 2 7 2 2 2" xfId="9922"/>
    <cellStyle name="Tabelstandaard Totaal 2 7 2 2 2 2" xfId="22220"/>
    <cellStyle name="Tabelstandaard Totaal 2 7 2 2 2 3" xfId="34272"/>
    <cellStyle name="Tabelstandaard Totaal 2 7 2 2 2 4" xfId="42490"/>
    <cellStyle name="Tabelstandaard Totaal 2 7 2 2 2 5" xfId="54887"/>
    <cellStyle name="Tabelstandaard Totaal 2 7 2 2 3" xfId="15660"/>
    <cellStyle name="Tabelstandaard Totaal 2 7 2 2 4" xfId="27712"/>
    <cellStyle name="Tabelstandaard Totaal 2 7 2 2 5" xfId="39274"/>
    <cellStyle name="Tabelstandaard Totaal 2 7 2 2 6" xfId="49001"/>
    <cellStyle name="Tabelstandaard Totaal 2 7 2 2 7" xfId="5469"/>
    <cellStyle name="Tabelstandaard Totaal 2 7 2 3" xfId="3143"/>
    <cellStyle name="Tabelstandaard Totaal 2 7 2 3 2" xfId="15661"/>
    <cellStyle name="Tabelstandaard Totaal 2 7 2 3 3" xfId="27713"/>
    <cellStyle name="Tabelstandaard Totaal 2 7 2 3 4" xfId="45199"/>
    <cellStyle name="Tabelstandaard Totaal 2 7 2 3 5" xfId="49002"/>
    <cellStyle name="Tabelstandaard Totaal 2 7 2 4" xfId="7221"/>
    <cellStyle name="Tabelstandaard Totaal 2 7 2 4 2" xfId="19519"/>
    <cellStyle name="Tabelstandaard Totaal 2 7 2 4 3" xfId="41322"/>
    <cellStyle name="Tabelstandaard Totaal 2 7 2 4 4" xfId="36905"/>
    <cellStyle name="Tabelstandaard Totaal 2 7 2 4 5" xfId="52191"/>
    <cellStyle name="Tabelstandaard Totaal 2 7 2 5" xfId="15659"/>
    <cellStyle name="Tabelstandaard Totaal 2 7 3" xfId="1646"/>
    <cellStyle name="Tabelstandaard Totaal 2 7 3 2" xfId="9923"/>
    <cellStyle name="Tabelstandaard Totaal 2 7 3 2 2" xfId="22221"/>
    <cellStyle name="Tabelstandaard Totaal 2 7 3 2 3" xfId="34273"/>
    <cellStyle name="Tabelstandaard Totaal 2 7 3 2 4" xfId="28355"/>
    <cellStyle name="Tabelstandaard Totaal 2 7 3 2 5" xfId="54888"/>
    <cellStyle name="Tabelstandaard Totaal 2 7 3 3" xfId="15662"/>
    <cellStyle name="Tabelstandaard Totaal 2 7 3 4" xfId="27714"/>
    <cellStyle name="Tabelstandaard Totaal 2 7 3 5" xfId="39273"/>
    <cellStyle name="Tabelstandaard Totaal 2 7 3 6" xfId="49003"/>
    <cellStyle name="Tabelstandaard Totaal 2 7 4" xfId="5470"/>
    <cellStyle name="Tabelstandaard Totaal 2 7 4 2" xfId="15663"/>
    <cellStyle name="Tabelstandaard Totaal 2 7 4 3" xfId="27715"/>
    <cellStyle name="Tabelstandaard Totaal 2 7 4 4" xfId="39272"/>
    <cellStyle name="Tabelstandaard Totaal 2 7 4 5" xfId="49004"/>
    <cellStyle name="Tabelstandaard Totaal 2 7 5" xfId="10132"/>
    <cellStyle name="Tabelstandaard Totaal 2 7 5 2" xfId="22430"/>
    <cellStyle name="Tabelstandaard Totaal 2 7 5 3" xfId="44194"/>
    <cellStyle name="Tabelstandaard Totaal 2 7 5 4" xfId="42402"/>
    <cellStyle name="Tabelstandaard Totaal 2 7 5 5" xfId="55097"/>
    <cellStyle name="Tabelstandaard Totaal 2 7 6" xfId="15658"/>
    <cellStyle name="Tabelstandaard Totaal 2 8" xfId="816"/>
    <cellStyle name="Tabelstandaard Totaal 2 8 2" xfId="1131"/>
    <cellStyle name="Tabelstandaard Totaal 2 8 2 2" xfId="2257"/>
    <cellStyle name="Tabelstandaard Totaal 2 8 2 2 2" xfId="9926"/>
    <cellStyle name="Tabelstandaard Totaal 2 8 2 2 2 2" xfId="22224"/>
    <cellStyle name="Tabelstandaard Totaal 2 8 2 2 2 3" xfId="34276"/>
    <cellStyle name="Tabelstandaard Totaal 2 8 2 2 2 4" xfId="42488"/>
    <cellStyle name="Tabelstandaard Totaal 2 8 2 2 2 5" xfId="54891"/>
    <cellStyle name="Tabelstandaard Totaal 2 8 2 2 3" xfId="15666"/>
    <cellStyle name="Tabelstandaard Totaal 2 8 2 2 4" xfId="27718"/>
    <cellStyle name="Tabelstandaard Totaal 2 8 2 2 5" xfId="39271"/>
    <cellStyle name="Tabelstandaard Totaal 2 8 2 2 6" xfId="49005"/>
    <cellStyle name="Tabelstandaard Totaal 2 8 2 2 7" xfId="5471"/>
    <cellStyle name="Tabelstandaard Totaal 2 8 2 3" xfId="3142"/>
    <cellStyle name="Tabelstandaard Totaal 2 8 2 3 2" xfId="15667"/>
    <cellStyle name="Tabelstandaard Totaal 2 8 2 3 3" xfId="27719"/>
    <cellStyle name="Tabelstandaard Totaal 2 8 2 3 4" xfId="45197"/>
    <cellStyle name="Tabelstandaard Totaal 2 8 2 3 5" xfId="49006"/>
    <cellStyle name="Tabelstandaard Totaal 2 8 2 4" xfId="7222"/>
    <cellStyle name="Tabelstandaard Totaal 2 8 2 4 2" xfId="19520"/>
    <cellStyle name="Tabelstandaard Totaal 2 8 2 4 3" xfId="41323"/>
    <cellStyle name="Tabelstandaard Totaal 2 8 2 4 4" xfId="43599"/>
    <cellStyle name="Tabelstandaard Totaal 2 8 2 4 5" xfId="52192"/>
    <cellStyle name="Tabelstandaard Totaal 2 8 2 5" xfId="15665"/>
    <cellStyle name="Tabelstandaard Totaal 2 8 3" xfId="1578"/>
    <cellStyle name="Tabelstandaard Totaal 2 8 3 2" xfId="9927"/>
    <cellStyle name="Tabelstandaard Totaal 2 8 3 2 2" xfId="22225"/>
    <cellStyle name="Tabelstandaard Totaal 2 8 3 2 3" xfId="34277"/>
    <cellStyle name="Tabelstandaard Totaal 2 8 3 2 4" xfId="31802"/>
    <cellStyle name="Tabelstandaard Totaal 2 8 3 2 5" xfId="54892"/>
    <cellStyle name="Tabelstandaard Totaal 2 8 3 3" xfId="15668"/>
    <cellStyle name="Tabelstandaard Totaal 2 8 3 4" xfId="27720"/>
    <cellStyle name="Tabelstandaard Totaal 2 8 3 5" xfId="39270"/>
    <cellStyle name="Tabelstandaard Totaal 2 8 3 6" xfId="49007"/>
    <cellStyle name="Tabelstandaard Totaal 2 8 4" xfId="5472"/>
    <cellStyle name="Tabelstandaard Totaal 2 8 4 2" xfId="15669"/>
    <cellStyle name="Tabelstandaard Totaal 2 8 4 3" xfId="27721"/>
    <cellStyle name="Tabelstandaard Totaal 2 8 4 4" xfId="45196"/>
    <cellStyle name="Tabelstandaard Totaal 2 8 4 5" xfId="49008"/>
    <cellStyle name="Tabelstandaard Totaal 2 8 5" xfId="7436"/>
    <cellStyle name="Tabelstandaard Totaal 2 8 5 2" xfId="19734"/>
    <cellStyle name="Tabelstandaard Totaal 2 8 5 3" xfId="41537"/>
    <cellStyle name="Tabelstandaard Totaal 2 8 5 4" xfId="43509"/>
    <cellStyle name="Tabelstandaard Totaal 2 8 5 5" xfId="52406"/>
    <cellStyle name="Tabelstandaard Totaal 2 8 6" xfId="15664"/>
    <cellStyle name="Tabelstandaard Totaal 2 9" xfId="823"/>
    <cellStyle name="Tabelstandaard Totaal 2 9 2" xfId="1290"/>
    <cellStyle name="Tabelstandaard Totaal 2 9 2 2" xfId="2109"/>
    <cellStyle name="Tabelstandaard Totaal 2 9 2 2 2" xfId="9930"/>
    <cellStyle name="Tabelstandaard Totaal 2 9 2 2 2 2" xfId="22228"/>
    <cellStyle name="Tabelstandaard Totaal 2 9 2 2 2 3" xfId="34280"/>
    <cellStyle name="Tabelstandaard Totaal 2 9 2 2 2 4" xfId="42487"/>
    <cellStyle name="Tabelstandaard Totaal 2 9 2 2 2 5" xfId="54895"/>
    <cellStyle name="Tabelstandaard Totaal 2 9 2 2 3" xfId="15672"/>
    <cellStyle name="Tabelstandaard Totaal 2 9 2 2 4" xfId="27724"/>
    <cellStyle name="Tabelstandaard Totaal 2 9 2 2 5" xfId="39268"/>
    <cellStyle name="Tabelstandaard Totaal 2 9 2 2 6" xfId="49009"/>
    <cellStyle name="Tabelstandaard Totaal 2 9 2 2 7" xfId="5473"/>
    <cellStyle name="Tabelstandaard Totaal 2 9 2 3" xfId="3301"/>
    <cellStyle name="Tabelstandaard Totaal 2 9 2 3 2" xfId="15673"/>
    <cellStyle name="Tabelstandaard Totaal 2 9 2 3 3" xfId="27725"/>
    <cellStyle name="Tabelstandaard Totaal 2 9 2 3 4" xfId="45194"/>
    <cellStyle name="Tabelstandaard Totaal 2 9 2 3 5" xfId="49010"/>
    <cellStyle name="Tabelstandaard Totaal 2 9 2 4" xfId="7086"/>
    <cellStyle name="Tabelstandaard Totaal 2 9 2 4 2" xfId="19384"/>
    <cellStyle name="Tabelstandaard Totaal 2 9 2 4 3" xfId="41187"/>
    <cellStyle name="Tabelstandaard Totaal 2 9 2 4 4" xfId="43656"/>
    <cellStyle name="Tabelstandaard Totaal 2 9 2 4 5" xfId="52057"/>
    <cellStyle name="Tabelstandaard Totaal 2 9 2 5" xfId="15671"/>
    <cellStyle name="Tabelstandaard Totaal 2 9 3" xfId="1574"/>
    <cellStyle name="Tabelstandaard Totaal 2 9 3 2" xfId="9931"/>
    <cellStyle name="Tabelstandaard Totaal 2 9 3 2 2" xfId="22229"/>
    <cellStyle name="Tabelstandaard Totaal 2 9 3 2 3" xfId="34281"/>
    <cellStyle name="Tabelstandaard Totaal 2 9 3 2 4" xfId="31619"/>
    <cellStyle name="Tabelstandaard Totaal 2 9 3 2 5" xfId="54896"/>
    <cellStyle name="Tabelstandaard Totaal 2 9 3 3" xfId="15674"/>
    <cellStyle name="Tabelstandaard Totaal 2 9 3 4" xfId="27726"/>
    <cellStyle name="Tabelstandaard Totaal 2 9 3 5" xfId="39267"/>
    <cellStyle name="Tabelstandaard Totaal 2 9 3 6" xfId="49011"/>
    <cellStyle name="Tabelstandaard Totaal 2 9 4" xfId="5474"/>
    <cellStyle name="Tabelstandaard Totaal 2 9 4 2" xfId="15675"/>
    <cellStyle name="Tabelstandaard Totaal 2 9 4 3" xfId="27727"/>
    <cellStyle name="Tabelstandaard Totaal 2 9 4 4" xfId="39266"/>
    <cellStyle name="Tabelstandaard Totaal 2 9 4 5" xfId="49012"/>
    <cellStyle name="Tabelstandaard Totaal 2 9 5" xfId="7432"/>
    <cellStyle name="Tabelstandaard Totaal 2 9 5 2" xfId="19730"/>
    <cellStyle name="Tabelstandaard Totaal 2 9 5 3" xfId="41533"/>
    <cellStyle name="Tabelstandaard Totaal 2 9 5 4" xfId="43511"/>
    <cellStyle name="Tabelstandaard Totaal 2 9 5 5" xfId="52402"/>
    <cellStyle name="Tabelstandaard Totaal 2 9 6" xfId="15670"/>
    <cellStyle name="Tabelstandaard Totaal 3" xfId="243"/>
    <cellStyle name="Tabelstandaard Totaal 3 2" xfId="361"/>
    <cellStyle name="Tabelstandaard Totaal 3 2 2" xfId="402"/>
    <cellStyle name="Tabelstandaard Totaal 3 2 2 2" xfId="1123"/>
    <cellStyle name="Tabelstandaard Totaal 3 2 2 2 2" xfId="1841"/>
    <cellStyle name="Tabelstandaard Totaal 3 2 2 2 2 2" xfId="9936"/>
    <cellStyle name="Tabelstandaard Totaal 3 2 2 2 2 2 2" xfId="22234"/>
    <cellStyle name="Tabelstandaard Totaal 3 2 2 2 2 2 3" xfId="34286"/>
    <cellStyle name="Tabelstandaard Totaal 3 2 2 2 2 2 4" xfId="42484"/>
    <cellStyle name="Tabelstandaard Totaal 3 2 2 2 2 2 5" xfId="54901"/>
    <cellStyle name="Tabelstandaard Totaal 3 2 2 2 2 3" xfId="15680"/>
    <cellStyle name="Tabelstandaard Totaal 3 2 2 2 2 4" xfId="27732"/>
    <cellStyle name="Tabelstandaard Totaal 3 2 2 2 2 5" xfId="39263"/>
    <cellStyle name="Tabelstandaard Totaal 3 2 2 2 2 6" xfId="49013"/>
    <cellStyle name="Tabelstandaard Totaal 3 2 2 2 2 7" xfId="5475"/>
    <cellStyle name="Tabelstandaard Totaal 3 2 2 2 3" xfId="3134"/>
    <cellStyle name="Tabelstandaard Totaal 3 2 2 2 3 2" xfId="15681"/>
    <cellStyle name="Tabelstandaard Totaal 3 2 2 2 3 3" xfId="27733"/>
    <cellStyle name="Tabelstandaard Totaal 3 2 2 2 3 4" xfId="39262"/>
    <cellStyle name="Tabelstandaard Totaal 3 2 2 2 3 5" xfId="49014"/>
    <cellStyle name="Tabelstandaard Totaal 3 2 2 2 4" xfId="7227"/>
    <cellStyle name="Tabelstandaard Totaal 3 2 2 2 4 2" xfId="19525"/>
    <cellStyle name="Tabelstandaard Totaal 3 2 2 2 4 3" xfId="41328"/>
    <cellStyle name="Tabelstandaard Totaal 3 2 2 2 4 4" xfId="36902"/>
    <cellStyle name="Tabelstandaard Totaal 3 2 2 2 4 5" xfId="52197"/>
    <cellStyle name="Tabelstandaard Totaal 3 2 2 2 5" xfId="15679"/>
    <cellStyle name="Tabelstandaard Totaal 3 2 2 3" xfId="1341"/>
    <cellStyle name="Tabelstandaard Totaal 3 2 2 3 2" xfId="3352"/>
    <cellStyle name="Tabelstandaard Totaal 3 2 2 3 2 2" xfId="9938"/>
    <cellStyle name="Tabelstandaard Totaal 3 2 2 3 2 2 2" xfId="22236"/>
    <cellStyle name="Tabelstandaard Totaal 3 2 2 3 2 2 3" xfId="34288"/>
    <cellStyle name="Tabelstandaard Totaal 3 2 2 3 2 2 4" xfId="42483"/>
    <cellStyle name="Tabelstandaard Totaal 3 2 2 3 2 2 5" xfId="54903"/>
    <cellStyle name="Tabelstandaard Totaal 3 2 2 3 2 3" xfId="15683"/>
    <cellStyle name="Tabelstandaard Totaal 3 2 2 3 2 4" xfId="27735"/>
    <cellStyle name="Tabelstandaard Totaal 3 2 2 3 2 5" xfId="39261"/>
    <cellStyle name="Tabelstandaard Totaal 3 2 2 3 2 6" xfId="49015"/>
    <cellStyle name="Tabelstandaard Totaal 3 2 2 3 3" xfId="5476"/>
    <cellStyle name="Tabelstandaard Totaal 3 2 2 3 3 2" xfId="15684"/>
    <cellStyle name="Tabelstandaard Totaal 3 2 2 3 3 3" xfId="27736"/>
    <cellStyle name="Tabelstandaard Totaal 3 2 2 3 3 4" xfId="45191"/>
    <cellStyle name="Tabelstandaard Totaal 3 2 2 3 3 5" xfId="49016"/>
    <cellStyle name="Tabelstandaard Totaal 3 2 2 3 4" xfId="7040"/>
    <cellStyle name="Tabelstandaard Totaal 3 2 2 3 4 2" xfId="19338"/>
    <cellStyle name="Tabelstandaard Totaal 3 2 2 3 4 3" xfId="41141"/>
    <cellStyle name="Tabelstandaard Totaal 3 2 2 3 4 4" xfId="37011"/>
    <cellStyle name="Tabelstandaard Totaal 3 2 2 3 4 5" xfId="52011"/>
    <cellStyle name="Tabelstandaard Totaal 3 2 2 3 5" xfId="15682"/>
    <cellStyle name="Tabelstandaard Totaal 3 2 2 4" xfId="2279"/>
    <cellStyle name="Tabelstandaard Totaal 3 2 2 4 2" xfId="9939"/>
    <cellStyle name="Tabelstandaard Totaal 3 2 2 4 2 2" xfId="22237"/>
    <cellStyle name="Tabelstandaard Totaal 3 2 2 4 2 3" xfId="34289"/>
    <cellStyle name="Tabelstandaard Totaal 3 2 2 4 2 4" xfId="31902"/>
    <cellStyle name="Tabelstandaard Totaal 3 2 2 4 2 5" xfId="54904"/>
    <cellStyle name="Tabelstandaard Totaal 3 2 2 4 3" xfId="15685"/>
    <cellStyle name="Tabelstandaard Totaal 3 2 2 4 4" xfId="27737"/>
    <cellStyle name="Tabelstandaard Totaal 3 2 2 4 5" xfId="39260"/>
    <cellStyle name="Tabelstandaard Totaal 3 2 2 4 6" xfId="49017"/>
    <cellStyle name="Tabelstandaard Totaal 3 2 2 5" xfId="5477"/>
    <cellStyle name="Tabelstandaard Totaal 3 2 2 5 2" xfId="15686"/>
    <cellStyle name="Tabelstandaard Totaal 3 2 2 5 3" xfId="27738"/>
    <cellStyle name="Tabelstandaard Totaal 3 2 2 5 4" xfId="45190"/>
    <cellStyle name="Tabelstandaard Totaal 3 2 2 5 5" xfId="49018"/>
    <cellStyle name="Tabelstandaard Totaal 3 2 2 6" xfId="7715"/>
    <cellStyle name="Tabelstandaard Totaal 3 2 2 6 2" xfId="20013"/>
    <cellStyle name="Tabelstandaard Totaal 3 2 2 6 3" xfId="41816"/>
    <cellStyle name="Tabelstandaard Totaal 3 2 2 6 4" xfId="31450"/>
    <cellStyle name="Tabelstandaard Totaal 3 2 2 6 5" xfId="52685"/>
    <cellStyle name="Tabelstandaard Totaal 3 2 2 7" xfId="15678"/>
    <cellStyle name="Tabelstandaard Totaal 3 2 3" xfId="5478"/>
    <cellStyle name="Tabelstandaard Totaal 3 2 3 2" xfId="9940"/>
    <cellStyle name="Tabelstandaard Totaal 3 2 3 2 2" xfId="22238"/>
    <cellStyle name="Tabelstandaard Totaal 3 2 3 2 3" xfId="34290"/>
    <cellStyle name="Tabelstandaard Totaal 3 2 3 2 4" xfId="34533"/>
    <cellStyle name="Tabelstandaard Totaal 3 2 3 2 5" xfId="54905"/>
    <cellStyle name="Tabelstandaard Totaal 3 2 3 3" xfId="15687"/>
    <cellStyle name="Tabelstandaard Totaal 3 2 3 4" xfId="27739"/>
    <cellStyle name="Tabelstandaard Totaal 3 2 3 5" xfId="39259"/>
    <cellStyle name="Tabelstandaard Totaal 3 2 3 6" xfId="49019"/>
    <cellStyle name="Tabelstandaard Totaal 3 2 4" xfId="5479"/>
    <cellStyle name="Tabelstandaard Totaal 3 2 4 2" xfId="15688"/>
    <cellStyle name="Tabelstandaard Totaal 3 2 4 3" xfId="27740"/>
    <cellStyle name="Tabelstandaard Totaal 3 2 4 4" xfId="39258"/>
    <cellStyle name="Tabelstandaard Totaal 3 2 4 5" xfId="49020"/>
    <cellStyle name="Tabelstandaard Totaal 3 2 5" xfId="7740"/>
    <cellStyle name="Tabelstandaard Totaal 3 2 5 2" xfId="20038"/>
    <cellStyle name="Tabelstandaard Totaal 3 2 5 3" xfId="41841"/>
    <cellStyle name="Tabelstandaard Totaal 3 2 5 4" xfId="43383"/>
    <cellStyle name="Tabelstandaard Totaal 3 2 5 5" xfId="52710"/>
    <cellStyle name="Tabelstandaard Totaal 3 2 6" xfId="15677"/>
    <cellStyle name="Tabelstandaard Totaal 3 3" xfId="366"/>
    <cellStyle name="Tabelstandaard Totaal 3 3 2" xfId="407"/>
    <cellStyle name="Tabelstandaard Totaal 3 3 2 2" xfId="1252"/>
    <cellStyle name="Tabelstandaard Totaal 3 3 2 2 2" xfId="2026"/>
    <cellStyle name="Tabelstandaard Totaal 3 3 2 2 2 2" xfId="9944"/>
    <cellStyle name="Tabelstandaard Totaal 3 3 2 2 2 2 2" xfId="22242"/>
    <cellStyle name="Tabelstandaard Totaal 3 3 2 2 2 2 3" xfId="34294"/>
    <cellStyle name="Tabelstandaard Totaal 3 3 2 2 2 2 4" xfId="42481"/>
    <cellStyle name="Tabelstandaard Totaal 3 3 2 2 2 2 5" xfId="54909"/>
    <cellStyle name="Tabelstandaard Totaal 3 3 2 2 2 3" xfId="15692"/>
    <cellStyle name="Tabelstandaard Totaal 3 3 2 2 2 4" xfId="27744"/>
    <cellStyle name="Tabelstandaard Totaal 3 3 2 2 2 5" xfId="39256"/>
    <cellStyle name="Tabelstandaard Totaal 3 3 2 2 2 6" xfId="49021"/>
    <cellStyle name="Tabelstandaard Totaal 3 3 2 2 2 7" xfId="5480"/>
    <cellStyle name="Tabelstandaard Totaal 3 3 2 2 3" xfId="3263"/>
    <cellStyle name="Tabelstandaard Totaal 3 3 2 2 3 2" xfId="15693"/>
    <cellStyle name="Tabelstandaard Totaal 3 3 2 2 3 3" xfId="27745"/>
    <cellStyle name="Tabelstandaard Totaal 3 3 2 2 3 4" xfId="45188"/>
    <cellStyle name="Tabelstandaard Totaal 3 3 2 2 3 5" xfId="49022"/>
    <cellStyle name="Tabelstandaard Totaal 3 3 2 2 4" xfId="7123"/>
    <cellStyle name="Tabelstandaard Totaal 3 3 2 2 4 2" xfId="19421"/>
    <cellStyle name="Tabelstandaard Totaal 3 3 2 2 4 3" xfId="41224"/>
    <cellStyle name="Tabelstandaard Totaal 3 3 2 2 4 4" xfId="36962"/>
    <cellStyle name="Tabelstandaard Totaal 3 3 2 2 4 5" xfId="52094"/>
    <cellStyle name="Tabelstandaard Totaal 3 3 2 2 5" xfId="15691"/>
    <cellStyle name="Tabelstandaard Totaal 3 3 2 3" xfId="1346"/>
    <cellStyle name="Tabelstandaard Totaal 3 3 2 3 2" xfId="3357"/>
    <cellStyle name="Tabelstandaard Totaal 3 3 2 3 2 2" xfId="9946"/>
    <cellStyle name="Tabelstandaard Totaal 3 3 2 3 2 2 2" xfId="22244"/>
    <cellStyle name="Tabelstandaard Totaal 3 3 2 3 2 2 3" xfId="34296"/>
    <cellStyle name="Tabelstandaard Totaal 3 3 2 3 2 2 4" xfId="42480"/>
    <cellStyle name="Tabelstandaard Totaal 3 3 2 3 2 2 5" xfId="54911"/>
    <cellStyle name="Tabelstandaard Totaal 3 3 2 3 2 3" xfId="15695"/>
    <cellStyle name="Tabelstandaard Totaal 3 3 2 3 2 4" xfId="27747"/>
    <cellStyle name="Tabelstandaard Totaal 3 3 2 3 2 5" xfId="45187"/>
    <cellStyle name="Tabelstandaard Totaal 3 3 2 3 2 6" xfId="49023"/>
    <cellStyle name="Tabelstandaard Totaal 3 3 2 3 3" xfId="5481"/>
    <cellStyle name="Tabelstandaard Totaal 3 3 2 3 3 2" xfId="15696"/>
    <cellStyle name="Tabelstandaard Totaal 3 3 2 3 3 3" xfId="27748"/>
    <cellStyle name="Tabelstandaard Totaal 3 3 2 3 3 4" xfId="39254"/>
    <cellStyle name="Tabelstandaard Totaal 3 3 2 3 3 5" xfId="49024"/>
    <cellStyle name="Tabelstandaard Totaal 3 3 2 3 4" xfId="7036"/>
    <cellStyle name="Tabelstandaard Totaal 3 3 2 3 4 2" xfId="19334"/>
    <cellStyle name="Tabelstandaard Totaal 3 3 2 3 4 3" xfId="41137"/>
    <cellStyle name="Tabelstandaard Totaal 3 3 2 3 4 4" xfId="37013"/>
    <cellStyle name="Tabelstandaard Totaal 3 3 2 3 4 5" xfId="52007"/>
    <cellStyle name="Tabelstandaard Totaal 3 3 2 3 5" xfId="15694"/>
    <cellStyle name="Tabelstandaard Totaal 3 3 2 4" xfId="2390"/>
    <cellStyle name="Tabelstandaard Totaal 3 3 2 4 2" xfId="9947"/>
    <cellStyle name="Tabelstandaard Totaal 3 3 2 4 2 2" xfId="22245"/>
    <cellStyle name="Tabelstandaard Totaal 3 3 2 4 2 3" xfId="34297"/>
    <cellStyle name="Tabelstandaard Totaal 3 3 2 4 2 4" xfId="31784"/>
    <cellStyle name="Tabelstandaard Totaal 3 3 2 4 2 5" xfId="54912"/>
    <cellStyle name="Tabelstandaard Totaal 3 3 2 4 3" xfId="15697"/>
    <cellStyle name="Tabelstandaard Totaal 3 3 2 4 4" xfId="27749"/>
    <cellStyle name="Tabelstandaard Totaal 3 3 2 4 5" xfId="45186"/>
    <cellStyle name="Tabelstandaard Totaal 3 3 2 4 6" xfId="49025"/>
    <cellStyle name="Tabelstandaard Totaal 3 3 2 5" xfId="5482"/>
    <cellStyle name="Tabelstandaard Totaal 3 3 2 5 2" xfId="15698"/>
    <cellStyle name="Tabelstandaard Totaal 3 3 2 5 3" xfId="27750"/>
    <cellStyle name="Tabelstandaard Totaal 3 3 2 5 4" xfId="39253"/>
    <cellStyle name="Tabelstandaard Totaal 3 3 2 5 5" xfId="49026"/>
    <cellStyle name="Tabelstandaard Totaal 3 3 2 6" xfId="7711"/>
    <cellStyle name="Tabelstandaard Totaal 3 3 2 6 2" xfId="20009"/>
    <cellStyle name="Tabelstandaard Totaal 3 3 2 6 3" xfId="41812"/>
    <cellStyle name="Tabelstandaard Totaal 3 3 2 6 4" xfId="25118"/>
    <cellStyle name="Tabelstandaard Totaal 3 3 2 6 5" xfId="52681"/>
    <cellStyle name="Tabelstandaard Totaal 3 3 2 7" xfId="15690"/>
    <cellStyle name="Tabelstandaard Totaal 3 3 3" xfId="5483"/>
    <cellStyle name="Tabelstandaard Totaal 3 3 3 2" xfId="9948"/>
    <cellStyle name="Tabelstandaard Totaal 3 3 3 2 2" xfId="22246"/>
    <cellStyle name="Tabelstandaard Totaal 3 3 3 2 3" xfId="34298"/>
    <cellStyle name="Tabelstandaard Totaal 3 3 3 2 4" xfId="42479"/>
    <cellStyle name="Tabelstandaard Totaal 3 3 3 2 5" xfId="54913"/>
    <cellStyle name="Tabelstandaard Totaal 3 3 3 3" xfId="15699"/>
    <cellStyle name="Tabelstandaard Totaal 3 3 3 4" xfId="27751"/>
    <cellStyle name="Tabelstandaard Totaal 3 3 3 5" xfId="39252"/>
    <cellStyle name="Tabelstandaard Totaal 3 3 3 6" xfId="49027"/>
    <cellStyle name="Tabelstandaard Totaal 3 3 4" xfId="5484"/>
    <cellStyle name="Tabelstandaard Totaal 3 3 4 2" xfId="15700"/>
    <cellStyle name="Tabelstandaard Totaal 3 3 4 3" xfId="27752"/>
    <cellStyle name="Tabelstandaard Totaal 3 3 4 4" xfId="39251"/>
    <cellStyle name="Tabelstandaard Totaal 3 3 4 5" xfId="49028"/>
    <cellStyle name="Tabelstandaard Totaal 3 3 5" xfId="7736"/>
    <cellStyle name="Tabelstandaard Totaal 3 3 5 2" xfId="20034"/>
    <cellStyle name="Tabelstandaard Totaal 3 3 5 3" xfId="41837"/>
    <cellStyle name="Tabelstandaard Totaal 3 3 5 4" xfId="43385"/>
    <cellStyle name="Tabelstandaard Totaal 3 3 5 5" xfId="52706"/>
    <cellStyle name="Tabelstandaard Totaal 3 3 6" xfId="15689"/>
    <cellStyle name="Tabelstandaard Totaal 3 4" xfId="1108"/>
    <cellStyle name="Tabelstandaard Totaal 3 4 2" xfId="1541"/>
    <cellStyle name="Tabelstandaard Totaal 3 4 2 2" xfId="9950"/>
    <cellStyle name="Tabelstandaard Totaal 3 4 2 2 2" xfId="22248"/>
    <cellStyle name="Tabelstandaard Totaal 3 4 2 2 3" xfId="34300"/>
    <cellStyle name="Tabelstandaard Totaal 3 4 2 2 4" xfId="42478"/>
    <cellStyle name="Tabelstandaard Totaal 3 4 2 2 5" xfId="54915"/>
    <cellStyle name="Tabelstandaard Totaal 3 4 2 3" xfId="15702"/>
    <cellStyle name="Tabelstandaard Totaal 3 4 2 4" xfId="27754"/>
    <cellStyle name="Tabelstandaard Totaal 3 4 2 5" xfId="39250"/>
    <cellStyle name="Tabelstandaard Totaal 3 4 2 6" xfId="49029"/>
    <cellStyle name="Tabelstandaard Totaal 3 4 2 7" xfId="5485"/>
    <cellStyle name="Tabelstandaard Totaal 3 4 3" xfId="3119"/>
    <cellStyle name="Tabelstandaard Totaal 3 4 3 2" xfId="15703"/>
    <cellStyle name="Tabelstandaard Totaal 3 4 3 3" xfId="27755"/>
    <cellStyle name="Tabelstandaard Totaal 3 4 3 4" xfId="45184"/>
    <cellStyle name="Tabelstandaard Totaal 3 4 3 5" xfId="49030"/>
    <cellStyle name="Tabelstandaard Totaal 3 4 4" xfId="7237"/>
    <cellStyle name="Tabelstandaard Totaal 3 4 4 2" xfId="19535"/>
    <cellStyle name="Tabelstandaard Totaal 3 4 4 3" xfId="41338"/>
    <cellStyle name="Tabelstandaard Totaal 3 4 4 4" xfId="36896"/>
    <cellStyle name="Tabelstandaard Totaal 3 4 4 5" xfId="52207"/>
    <cellStyle name="Tabelstandaard Totaal 3 4 5" xfId="15701"/>
    <cellStyle name="Tabelstandaard Totaal 3 5" xfId="2115"/>
    <cellStyle name="Tabelstandaard Totaal 3 5 2" xfId="9951"/>
    <cellStyle name="Tabelstandaard Totaal 3 5 2 2" xfId="22249"/>
    <cellStyle name="Tabelstandaard Totaal 3 5 2 3" xfId="34301"/>
    <cellStyle name="Tabelstandaard Totaal 3 5 2 4" xfId="28379"/>
    <cellStyle name="Tabelstandaard Totaal 3 5 2 5" xfId="54916"/>
    <cellStyle name="Tabelstandaard Totaal 3 5 3" xfId="15704"/>
    <cellStyle name="Tabelstandaard Totaal 3 5 4" xfId="27756"/>
    <cellStyle name="Tabelstandaard Totaal 3 5 5" xfId="39249"/>
    <cellStyle name="Tabelstandaard Totaal 3 5 6" xfId="49031"/>
    <cellStyle name="Tabelstandaard Totaal 3 6" xfId="5486"/>
    <cellStyle name="Tabelstandaard Totaal 3 6 2" xfId="15705"/>
    <cellStyle name="Tabelstandaard Totaal 3 6 3" xfId="27757"/>
    <cellStyle name="Tabelstandaard Totaal 3 6 4" xfId="45183"/>
    <cellStyle name="Tabelstandaard Totaal 3 6 5" xfId="49032"/>
    <cellStyle name="Tabelstandaard Totaal 3 7" xfId="7778"/>
    <cellStyle name="Tabelstandaard Totaal 3 7 2" xfId="20076"/>
    <cellStyle name="Tabelstandaard Totaal 3 7 3" xfId="41879"/>
    <cellStyle name="Tabelstandaard Totaal 3 7 4" xfId="43367"/>
    <cellStyle name="Tabelstandaard Totaal 3 7 5" xfId="52748"/>
    <cellStyle name="Tabelstandaard Totaal 3 8" xfId="15676"/>
    <cellStyle name="Tabelstandaard Totaal 4" xfId="699"/>
    <cellStyle name="Tabelstandaard Totaal 4 2" xfId="1200"/>
    <cellStyle name="Tabelstandaard Totaal 4 2 2" xfId="2358"/>
    <cellStyle name="Tabelstandaard Totaal 4 2 2 2" xfId="9954"/>
    <cellStyle name="Tabelstandaard Totaal 4 2 2 2 2" xfId="22252"/>
    <cellStyle name="Tabelstandaard Totaal 4 2 2 2 3" xfId="34304"/>
    <cellStyle name="Tabelstandaard Totaal 4 2 2 2 4" xfId="42477"/>
    <cellStyle name="Tabelstandaard Totaal 4 2 2 2 5" xfId="54919"/>
    <cellStyle name="Tabelstandaard Totaal 4 2 2 3" xfId="15708"/>
    <cellStyle name="Tabelstandaard Totaal 4 2 2 4" xfId="27760"/>
    <cellStyle name="Tabelstandaard Totaal 4 2 2 5" xfId="39247"/>
    <cellStyle name="Tabelstandaard Totaal 4 2 2 6" xfId="49033"/>
    <cellStyle name="Tabelstandaard Totaal 4 2 2 7" xfId="5487"/>
    <cellStyle name="Tabelstandaard Totaal 4 2 3" xfId="3211"/>
    <cellStyle name="Tabelstandaard Totaal 4 2 3 2" xfId="15709"/>
    <cellStyle name="Tabelstandaard Totaal 4 2 3 3" xfId="27761"/>
    <cellStyle name="Tabelstandaard Totaal 4 2 3 4" xfId="45181"/>
    <cellStyle name="Tabelstandaard Totaal 4 2 3 5" xfId="49034"/>
    <cellStyle name="Tabelstandaard Totaal 4 2 4" xfId="7173"/>
    <cellStyle name="Tabelstandaard Totaal 4 2 4 2" xfId="19471"/>
    <cellStyle name="Tabelstandaard Totaal 4 2 4 3" xfId="41274"/>
    <cellStyle name="Tabelstandaard Totaal 4 2 4 4" xfId="36933"/>
    <cellStyle name="Tabelstandaard Totaal 4 2 4 5" xfId="52143"/>
    <cellStyle name="Tabelstandaard Totaal 4 2 5" xfId="15707"/>
    <cellStyle name="Tabelstandaard Totaal 4 3" xfId="1837"/>
    <cellStyle name="Tabelstandaard Totaal 4 3 2" xfId="9955"/>
    <cellStyle name="Tabelstandaard Totaal 4 3 2 2" xfId="22253"/>
    <cellStyle name="Tabelstandaard Totaal 4 3 2 3" xfId="34305"/>
    <cellStyle name="Tabelstandaard Totaal 4 3 2 4" xfId="34675"/>
    <cellStyle name="Tabelstandaard Totaal 4 3 2 5" xfId="54920"/>
    <cellStyle name="Tabelstandaard Totaal 4 3 3" xfId="15710"/>
    <cellStyle name="Tabelstandaard Totaal 4 3 4" xfId="27762"/>
    <cellStyle name="Tabelstandaard Totaal 4 3 5" xfId="39246"/>
    <cellStyle name="Tabelstandaard Totaal 4 3 6" xfId="49035"/>
    <cellStyle name="Tabelstandaard Totaal 4 4" xfId="5488"/>
    <cellStyle name="Tabelstandaard Totaal 4 4 2" xfId="15711"/>
    <cellStyle name="Tabelstandaard Totaal 4 4 3" xfId="27763"/>
    <cellStyle name="Tabelstandaard Totaal 4 4 4" xfId="39245"/>
    <cellStyle name="Tabelstandaard Totaal 4 4 5" xfId="49036"/>
    <cellStyle name="Tabelstandaard Totaal 4 5" xfId="7514"/>
    <cellStyle name="Tabelstandaard Totaal 4 5 2" xfId="19812"/>
    <cellStyle name="Tabelstandaard Totaal 4 5 3" xfId="41615"/>
    <cellStyle name="Tabelstandaard Totaal 4 5 4" xfId="43477"/>
    <cellStyle name="Tabelstandaard Totaal 4 5 5" xfId="52484"/>
    <cellStyle name="Tabelstandaard Totaal 4 6" xfId="15706"/>
    <cellStyle name="Tabelstandaard Totaal 5" xfId="758"/>
    <cellStyle name="Tabelstandaard Totaal 5 2" xfId="1267"/>
    <cellStyle name="Tabelstandaard Totaal 5 2 2" xfId="1683"/>
    <cellStyle name="Tabelstandaard Totaal 5 2 2 2" xfId="9958"/>
    <cellStyle name="Tabelstandaard Totaal 5 2 2 2 2" xfId="22256"/>
    <cellStyle name="Tabelstandaard Totaal 5 2 2 2 3" xfId="34308"/>
    <cellStyle name="Tabelstandaard Totaal 5 2 2 2 4" xfId="42475"/>
    <cellStyle name="Tabelstandaard Totaal 5 2 2 2 5" xfId="54923"/>
    <cellStyle name="Tabelstandaard Totaal 5 2 2 3" xfId="15714"/>
    <cellStyle name="Tabelstandaard Totaal 5 2 2 4" xfId="27766"/>
    <cellStyle name="Tabelstandaard Totaal 5 2 2 5" xfId="39243"/>
    <cellStyle name="Tabelstandaard Totaal 5 2 2 6" xfId="49037"/>
    <cellStyle name="Tabelstandaard Totaal 5 2 2 7" xfId="5489"/>
    <cellStyle name="Tabelstandaard Totaal 5 2 3" xfId="3278"/>
    <cellStyle name="Tabelstandaard Totaal 5 2 3 2" xfId="15715"/>
    <cellStyle name="Tabelstandaard Totaal 5 2 3 3" xfId="27767"/>
    <cellStyle name="Tabelstandaard Totaal 5 2 3 4" xfId="45179"/>
    <cellStyle name="Tabelstandaard Totaal 5 2 3 5" xfId="49038"/>
    <cellStyle name="Tabelstandaard Totaal 5 2 4" xfId="7109"/>
    <cellStyle name="Tabelstandaard Totaal 5 2 4 2" xfId="19407"/>
    <cellStyle name="Tabelstandaard Totaal 5 2 4 3" xfId="41210"/>
    <cellStyle name="Tabelstandaard Totaal 5 2 4 4" xfId="36970"/>
    <cellStyle name="Tabelstandaard Totaal 5 2 4 5" xfId="52080"/>
    <cellStyle name="Tabelstandaard Totaal 5 2 5" xfId="15713"/>
    <cellStyle name="Tabelstandaard Totaal 5 3" xfId="1612"/>
    <cellStyle name="Tabelstandaard Totaal 5 3 2" xfId="9959"/>
    <cellStyle name="Tabelstandaard Totaal 5 3 2 2" xfId="22257"/>
    <cellStyle name="Tabelstandaard Totaal 5 3 2 3" xfId="34309"/>
    <cellStyle name="Tabelstandaard Totaal 5 3 2 4" xfId="31389"/>
    <cellStyle name="Tabelstandaard Totaal 5 3 2 5" xfId="54924"/>
    <cellStyle name="Tabelstandaard Totaal 5 3 3" xfId="15716"/>
    <cellStyle name="Tabelstandaard Totaal 5 3 4" xfId="27768"/>
    <cellStyle name="Tabelstandaard Totaal 5 3 5" xfId="39242"/>
    <cellStyle name="Tabelstandaard Totaal 5 3 6" xfId="49039"/>
    <cellStyle name="Tabelstandaard Totaal 5 4" xfId="5490"/>
    <cellStyle name="Tabelstandaard Totaal 5 4 2" xfId="15717"/>
    <cellStyle name="Tabelstandaard Totaal 5 4 3" xfId="27769"/>
    <cellStyle name="Tabelstandaard Totaal 5 4 4" xfId="45178"/>
    <cellStyle name="Tabelstandaard Totaal 5 4 5" xfId="49040"/>
    <cellStyle name="Tabelstandaard Totaal 5 5" xfId="10166"/>
    <cellStyle name="Tabelstandaard Totaal 5 5 2" xfId="22464"/>
    <cellStyle name="Tabelstandaard Totaal 5 5 3" xfId="44228"/>
    <cellStyle name="Tabelstandaard Totaal 5 5 4" xfId="42388"/>
    <cellStyle name="Tabelstandaard Totaal 5 5 5" xfId="55131"/>
    <cellStyle name="Tabelstandaard Totaal 5 6" xfId="15712"/>
    <cellStyle name="Tabelstandaard Totaal 6" xfId="683"/>
    <cellStyle name="Tabelstandaard Totaal 6 2" xfId="1285"/>
    <cellStyle name="Tabelstandaard Totaal 6 2 2" xfId="1985"/>
    <cellStyle name="Tabelstandaard Totaal 6 2 2 2" xfId="9962"/>
    <cellStyle name="Tabelstandaard Totaal 6 2 2 2 2" xfId="22260"/>
    <cellStyle name="Tabelstandaard Totaal 6 2 2 2 3" xfId="34312"/>
    <cellStyle name="Tabelstandaard Totaal 6 2 2 2 4" xfId="42473"/>
    <cellStyle name="Tabelstandaard Totaal 6 2 2 2 5" xfId="54927"/>
    <cellStyle name="Tabelstandaard Totaal 6 2 2 3" xfId="15720"/>
    <cellStyle name="Tabelstandaard Totaal 6 2 2 4" xfId="27772"/>
    <cellStyle name="Tabelstandaard Totaal 6 2 2 5" xfId="39240"/>
    <cellStyle name="Tabelstandaard Totaal 6 2 2 6" xfId="49041"/>
    <cellStyle name="Tabelstandaard Totaal 6 2 2 7" xfId="5491"/>
    <cellStyle name="Tabelstandaard Totaal 6 2 3" xfId="3296"/>
    <cellStyle name="Tabelstandaard Totaal 6 2 3 2" xfId="15721"/>
    <cellStyle name="Tabelstandaard Totaal 6 2 3 3" xfId="27773"/>
    <cellStyle name="Tabelstandaard Totaal 6 2 3 4" xfId="45176"/>
    <cellStyle name="Tabelstandaard Totaal 6 2 3 5" xfId="49042"/>
    <cellStyle name="Tabelstandaard Totaal 6 2 4" xfId="7091"/>
    <cellStyle name="Tabelstandaard Totaal 6 2 4 2" xfId="19389"/>
    <cellStyle name="Tabelstandaard Totaal 6 2 4 3" xfId="41192"/>
    <cellStyle name="Tabelstandaard Totaal 6 2 4 4" xfId="36981"/>
    <cellStyle name="Tabelstandaard Totaal 6 2 4 5" xfId="52062"/>
    <cellStyle name="Tabelstandaard Totaal 6 2 5" xfId="15719"/>
    <cellStyle name="Tabelstandaard Totaal 6 3" xfId="1742"/>
    <cellStyle name="Tabelstandaard Totaal 6 3 2" xfId="9963"/>
    <cellStyle name="Tabelstandaard Totaal 6 3 2 2" xfId="22261"/>
    <cellStyle name="Tabelstandaard Totaal 6 3 2 3" xfId="34313"/>
    <cellStyle name="Tabelstandaard Totaal 6 3 2 4" xfId="32089"/>
    <cellStyle name="Tabelstandaard Totaal 6 3 2 5" xfId="54928"/>
    <cellStyle name="Tabelstandaard Totaal 6 3 3" xfId="15722"/>
    <cellStyle name="Tabelstandaard Totaal 6 3 4" xfId="27774"/>
    <cellStyle name="Tabelstandaard Totaal 6 3 5" xfId="39239"/>
    <cellStyle name="Tabelstandaard Totaal 6 3 6" xfId="49043"/>
    <cellStyle name="Tabelstandaard Totaal 6 4" xfId="5492"/>
    <cellStyle name="Tabelstandaard Totaal 6 4 2" xfId="15723"/>
    <cellStyle name="Tabelstandaard Totaal 6 4 3" xfId="27775"/>
    <cellStyle name="Tabelstandaard Totaal 6 4 4" xfId="39238"/>
    <cellStyle name="Tabelstandaard Totaal 6 4 5" xfId="49044"/>
    <cellStyle name="Tabelstandaard Totaal 6 5" xfId="7527"/>
    <cellStyle name="Tabelstandaard Totaal 6 5 2" xfId="19825"/>
    <cellStyle name="Tabelstandaard Totaal 6 5 3" xfId="41628"/>
    <cellStyle name="Tabelstandaard Totaal 6 5 4" xfId="32029"/>
    <cellStyle name="Tabelstandaard Totaal 6 5 5" xfId="52497"/>
    <cellStyle name="Tabelstandaard Totaal 6 6" xfId="15718"/>
    <cellStyle name="Tabelstandaard Totaal 7" xfId="772"/>
    <cellStyle name="Tabelstandaard Totaal 7 2" xfId="568"/>
    <cellStyle name="Tabelstandaard Totaal 7 2 2" xfId="1940"/>
    <cellStyle name="Tabelstandaard Totaal 7 2 2 2" xfId="9966"/>
    <cellStyle name="Tabelstandaard Totaal 7 2 2 2 2" xfId="22264"/>
    <cellStyle name="Tabelstandaard Totaal 7 2 2 2 3" xfId="34316"/>
    <cellStyle name="Tabelstandaard Totaal 7 2 2 2 4" xfId="42472"/>
    <cellStyle name="Tabelstandaard Totaal 7 2 2 2 5" xfId="54931"/>
    <cellStyle name="Tabelstandaard Totaal 7 2 2 3" xfId="15726"/>
    <cellStyle name="Tabelstandaard Totaal 7 2 2 4" xfId="27778"/>
    <cellStyle name="Tabelstandaard Totaal 7 2 2 5" xfId="39236"/>
    <cellStyle name="Tabelstandaard Totaal 7 2 2 6" xfId="49045"/>
    <cellStyle name="Tabelstandaard Totaal 7 2 2 7" xfId="5493"/>
    <cellStyle name="Tabelstandaard Totaal 7 2 3" xfId="2639"/>
    <cellStyle name="Tabelstandaard Totaal 7 2 3 2" xfId="15727"/>
    <cellStyle name="Tabelstandaard Totaal 7 2 3 3" xfId="27779"/>
    <cellStyle name="Tabelstandaard Totaal 7 2 3 4" xfId="45175"/>
    <cellStyle name="Tabelstandaard Totaal 7 2 3 5" xfId="49046"/>
    <cellStyle name="Tabelstandaard Totaal 7 2 4" xfId="7603"/>
    <cellStyle name="Tabelstandaard Totaal 7 2 4 2" xfId="19901"/>
    <cellStyle name="Tabelstandaard Totaal 7 2 4 3" xfId="41704"/>
    <cellStyle name="Tabelstandaard Totaal 7 2 4 4" xfId="34382"/>
    <cellStyle name="Tabelstandaard Totaal 7 2 4 5" xfId="52573"/>
    <cellStyle name="Tabelstandaard Totaal 7 2 5" xfId="15725"/>
    <cellStyle name="Tabelstandaard Totaal 7 3" xfId="1595"/>
    <cellStyle name="Tabelstandaard Totaal 7 3 2" xfId="9967"/>
    <cellStyle name="Tabelstandaard Totaal 7 3 2 2" xfId="22265"/>
    <cellStyle name="Tabelstandaard Totaal 7 3 2 3" xfId="34317"/>
    <cellStyle name="Tabelstandaard Totaal 7 3 2 4" xfId="28393"/>
    <cellStyle name="Tabelstandaard Totaal 7 3 2 5" xfId="54932"/>
    <cellStyle name="Tabelstandaard Totaal 7 3 3" xfId="15728"/>
    <cellStyle name="Tabelstandaard Totaal 7 3 4" xfId="27780"/>
    <cellStyle name="Tabelstandaard Totaal 7 3 5" xfId="39235"/>
    <cellStyle name="Tabelstandaard Totaal 7 3 6" xfId="49047"/>
    <cellStyle name="Tabelstandaard Totaal 7 4" xfId="5494"/>
    <cellStyle name="Tabelstandaard Totaal 7 4 2" xfId="15729"/>
    <cellStyle name="Tabelstandaard Totaal 7 4 3" xfId="27781"/>
    <cellStyle name="Tabelstandaard Totaal 7 4 4" xfId="45174"/>
    <cellStyle name="Tabelstandaard Totaal 7 4 5" xfId="49048"/>
    <cellStyle name="Tabelstandaard Totaal 7 5" xfId="10156"/>
    <cellStyle name="Tabelstandaard Totaal 7 5 2" xfId="22454"/>
    <cellStyle name="Tabelstandaard Totaal 7 5 3" xfId="44218"/>
    <cellStyle name="Tabelstandaard Totaal 7 5 4" xfId="42392"/>
    <cellStyle name="Tabelstandaard Totaal 7 5 5" xfId="55121"/>
    <cellStyle name="Tabelstandaard Totaal 7 6" xfId="15724"/>
    <cellStyle name="Tabelstandaard Totaal 8" xfId="780"/>
    <cellStyle name="Tabelstandaard Totaal 8 2" xfId="921"/>
    <cellStyle name="Tabelstandaard Totaal 8 2 2" xfId="2292"/>
    <cellStyle name="Tabelstandaard Totaal 8 2 2 2" xfId="9970"/>
    <cellStyle name="Tabelstandaard Totaal 8 2 2 2 2" xfId="22268"/>
    <cellStyle name="Tabelstandaard Totaal 8 2 2 2 3" xfId="34320"/>
    <cellStyle name="Tabelstandaard Totaal 8 2 2 2 4" xfId="42470"/>
    <cellStyle name="Tabelstandaard Totaal 8 2 2 2 5" xfId="54935"/>
    <cellStyle name="Tabelstandaard Totaal 8 2 2 3" xfId="15732"/>
    <cellStyle name="Tabelstandaard Totaal 8 2 2 4" xfId="27784"/>
    <cellStyle name="Tabelstandaard Totaal 8 2 2 5" xfId="39233"/>
    <cellStyle name="Tabelstandaard Totaal 8 2 2 6" xfId="49049"/>
    <cellStyle name="Tabelstandaard Totaal 8 2 2 7" xfId="5495"/>
    <cellStyle name="Tabelstandaard Totaal 8 2 3" xfId="2932"/>
    <cellStyle name="Tabelstandaard Totaal 8 2 3 2" xfId="15733"/>
    <cellStyle name="Tabelstandaard Totaal 8 2 3 3" xfId="27785"/>
    <cellStyle name="Tabelstandaard Totaal 8 2 3 4" xfId="45172"/>
    <cellStyle name="Tabelstandaard Totaal 8 2 3 5" xfId="49050"/>
    <cellStyle name="Tabelstandaard Totaal 8 2 4" xfId="7364"/>
    <cellStyle name="Tabelstandaard Totaal 8 2 4 2" xfId="19662"/>
    <cellStyle name="Tabelstandaard Totaal 8 2 4 3" xfId="41465"/>
    <cellStyle name="Tabelstandaard Totaal 8 2 4 4" xfId="43540"/>
    <cellStyle name="Tabelstandaard Totaal 8 2 4 5" xfId="52334"/>
    <cellStyle name="Tabelstandaard Totaal 8 2 5" xfId="15731"/>
    <cellStyle name="Tabelstandaard Totaal 8 3" xfId="1590"/>
    <cellStyle name="Tabelstandaard Totaal 8 3 2" xfId="9971"/>
    <cellStyle name="Tabelstandaard Totaal 8 3 2 2" xfId="22269"/>
    <cellStyle name="Tabelstandaard Totaal 8 3 2 3" xfId="34321"/>
    <cellStyle name="Tabelstandaard Totaal 8 3 2 4" xfId="28396"/>
    <cellStyle name="Tabelstandaard Totaal 8 3 2 5" xfId="54936"/>
    <cellStyle name="Tabelstandaard Totaal 8 3 3" xfId="15734"/>
    <cellStyle name="Tabelstandaard Totaal 8 3 4" xfId="27786"/>
    <cellStyle name="Tabelstandaard Totaal 8 3 5" xfId="39232"/>
    <cellStyle name="Tabelstandaard Totaal 8 3 6" xfId="49051"/>
    <cellStyle name="Tabelstandaard Totaal 8 4" xfId="5496"/>
    <cellStyle name="Tabelstandaard Totaal 8 4 2" xfId="15735"/>
    <cellStyle name="Tabelstandaard Totaal 8 4 3" xfId="27787"/>
    <cellStyle name="Tabelstandaard Totaal 8 4 4" xfId="39231"/>
    <cellStyle name="Tabelstandaard Totaal 8 4 5" xfId="49052"/>
    <cellStyle name="Tabelstandaard Totaal 8 5" xfId="7460"/>
    <cellStyle name="Tabelstandaard Totaal 8 5 2" xfId="19758"/>
    <cellStyle name="Tabelstandaard Totaal 8 5 3" xfId="41561"/>
    <cellStyle name="Tabelstandaard Totaal 8 5 4" xfId="43499"/>
    <cellStyle name="Tabelstandaard Totaal 8 5 5" xfId="52430"/>
    <cellStyle name="Tabelstandaard Totaal 8 6" xfId="15730"/>
    <cellStyle name="Tabelstandaard Totaal 9" xfId="798"/>
    <cellStyle name="Tabelstandaard Totaal 9 2" xfId="514"/>
    <cellStyle name="Tabelstandaard Totaal 9 2 2" xfId="1897"/>
    <cellStyle name="Tabelstandaard Totaal 9 2 2 2" xfId="9974"/>
    <cellStyle name="Tabelstandaard Totaal 9 2 2 2 2" xfId="22272"/>
    <cellStyle name="Tabelstandaard Totaal 9 2 2 2 3" xfId="34324"/>
    <cellStyle name="Tabelstandaard Totaal 9 2 2 2 4" xfId="42468"/>
    <cellStyle name="Tabelstandaard Totaal 9 2 2 2 5" xfId="54939"/>
    <cellStyle name="Tabelstandaard Totaal 9 2 2 3" xfId="15738"/>
    <cellStyle name="Tabelstandaard Totaal 9 2 2 4" xfId="27790"/>
    <cellStyle name="Tabelstandaard Totaal 9 2 2 5" xfId="39229"/>
    <cellStyle name="Tabelstandaard Totaal 9 2 2 6" xfId="49053"/>
    <cellStyle name="Tabelstandaard Totaal 9 2 2 7" xfId="5497"/>
    <cellStyle name="Tabelstandaard Totaal 9 2 3" xfId="2585"/>
    <cellStyle name="Tabelstandaard Totaal 9 2 3 2" xfId="15739"/>
    <cellStyle name="Tabelstandaard Totaal 9 2 3 3" xfId="27791"/>
    <cellStyle name="Tabelstandaard Totaal 9 2 3 4" xfId="45170"/>
    <cellStyle name="Tabelstandaard Totaal 9 2 3 5" xfId="49054"/>
    <cellStyle name="Tabelstandaard Totaal 9 2 4" xfId="7640"/>
    <cellStyle name="Tabelstandaard Totaal 9 2 4 2" xfId="19938"/>
    <cellStyle name="Tabelstandaard Totaal 9 2 4 3" xfId="41741"/>
    <cellStyle name="Tabelstandaard Totaal 9 2 4 4" xfId="43424"/>
    <cellStyle name="Tabelstandaard Totaal 9 2 4 5" xfId="52610"/>
    <cellStyle name="Tabelstandaard Totaal 9 2 5" xfId="15737"/>
    <cellStyle name="Tabelstandaard Totaal 9 3" xfId="1587"/>
    <cellStyle name="Tabelstandaard Totaal 9 3 2" xfId="9975"/>
    <cellStyle name="Tabelstandaard Totaal 9 3 2 2" xfId="22273"/>
    <cellStyle name="Tabelstandaard Totaal 9 3 2 3" xfId="34325"/>
    <cellStyle name="Tabelstandaard Totaal 9 3 2 4" xfId="34751"/>
    <cellStyle name="Tabelstandaard Totaal 9 3 2 5" xfId="54940"/>
    <cellStyle name="Tabelstandaard Totaal 9 3 3" xfId="15740"/>
    <cellStyle name="Tabelstandaard Totaal 9 3 4" xfId="27792"/>
    <cellStyle name="Tabelstandaard Totaal 9 3 5" xfId="39228"/>
    <cellStyle name="Tabelstandaard Totaal 9 3 6" xfId="49055"/>
    <cellStyle name="Tabelstandaard Totaal 9 4" xfId="5498"/>
    <cellStyle name="Tabelstandaard Totaal 9 4 2" xfId="15741"/>
    <cellStyle name="Tabelstandaard Totaal 9 4 3" xfId="27793"/>
    <cellStyle name="Tabelstandaard Totaal 9 4 4" xfId="45169"/>
    <cellStyle name="Tabelstandaard Totaal 9 4 5" xfId="49056"/>
    <cellStyle name="Tabelstandaard Totaal 9 5" xfId="7448"/>
    <cellStyle name="Tabelstandaard Totaal 9 5 2" xfId="19746"/>
    <cellStyle name="Tabelstandaard Totaal 9 5 3" xfId="41549"/>
    <cellStyle name="Tabelstandaard Totaal 9 5 4" xfId="15550"/>
    <cellStyle name="Tabelstandaard Totaal 9 5 5" xfId="52418"/>
    <cellStyle name="Tabelstandaard Totaal 9 6" xfId="15736"/>
    <cellStyle name="Tabelstandaard Totaal Negatief" xfId="116"/>
    <cellStyle name="Tabelstandaard Totaal Negatief 10" xfId="762"/>
    <cellStyle name="Tabelstandaard Totaal Negatief 10 2" xfId="1256"/>
    <cellStyle name="Tabelstandaard Totaal Negatief 10 2 2" xfId="2405"/>
    <cellStyle name="Tabelstandaard Totaal Negatief 10 2 2 2" xfId="9979"/>
    <cellStyle name="Tabelstandaard Totaal Negatief 10 2 2 2 2" xfId="22277"/>
    <cellStyle name="Tabelstandaard Totaal Negatief 10 2 2 2 3" xfId="34329"/>
    <cellStyle name="Tabelstandaard Totaal Negatief 10 2 2 2 4" xfId="31592"/>
    <cellStyle name="Tabelstandaard Totaal Negatief 10 2 2 2 5" xfId="54944"/>
    <cellStyle name="Tabelstandaard Totaal Negatief 10 2 2 3" xfId="15745"/>
    <cellStyle name="Tabelstandaard Totaal Negatief 10 2 2 4" xfId="27797"/>
    <cellStyle name="Tabelstandaard Totaal Negatief 10 2 2 5" xfId="45167"/>
    <cellStyle name="Tabelstandaard Totaal Negatief 10 2 2 6" xfId="49057"/>
    <cellStyle name="Tabelstandaard Totaal Negatief 10 2 2 7" xfId="5499"/>
    <cellStyle name="Tabelstandaard Totaal Negatief 10 2 3" xfId="3267"/>
    <cellStyle name="Tabelstandaard Totaal Negatief 10 2 3 2" xfId="15746"/>
    <cellStyle name="Tabelstandaard Totaal Negatief 10 2 3 3" xfId="27798"/>
    <cellStyle name="Tabelstandaard Totaal Negatief 10 2 3 4" xfId="39226"/>
    <cellStyle name="Tabelstandaard Totaal Negatief 10 2 3 5" xfId="49058"/>
    <cellStyle name="Tabelstandaard Totaal Negatief 10 2 4" xfId="7119"/>
    <cellStyle name="Tabelstandaard Totaal Negatief 10 2 4 2" xfId="19417"/>
    <cellStyle name="Tabelstandaard Totaal Negatief 10 2 4 3" xfId="41220"/>
    <cellStyle name="Tabelstandaard Totaal Negatief 10 2 4 4" xfId="36964"/>
    <cellStyle name="Tabelstandaard Totaal Negatief 10 2 4 5" xfId="52090"/>
    <cellStyle name="Tabelstandaard Totaal Negatief 10 2 5" xfId="15744"/>
    <cellStyle name="Tabelstandaard Totaal Negatief 10 3" xfId="2431"/>
    <cellStyle name="Tabelstandaard Totaal Negatief 10 3 2" xfId="9980"/>
    <cellStyle name="Tabelstandaard Totaal Negatief 10 3 2 2" xfId="22278"/>
    <cellStyle name="Tabelstandaard Totaal Negatief 10 3 2 3" xfId="34330"/>
    <cellStyle name="Tabelstandaard Totaal Negatief 10 3 2 4" xfId="42466"/>
    <cellStyle name="Tabelstandaard Totaal Negatief 10 3 2 5" xfId="54945"/>
    <cellStyle name="Tabelstandaard Totaal Negatief 10 3 3" xfId="15747"/>
    <cellStyle name="Tabelstandaard Totaal Negatief 10 3 4" xfId="27799"/>
    <cellStyle name="Tabelstandaard Totaal Negatief 10 3 5" xfId="39225"/>
    <cellStyle name="Tabelstandaard Totaal Negatief 10 3 6" xfId="49059"/>
    <cellStyle name="Tabelstandaard Totaal Negatief 10 4" xfId="5500"/>
    <cellStyle name="Tabelstandaard Totaal Negatief 10 4 2" xfId="15748"/>
    <cellStyle name="Tabelstandaard Totaal Negatief 10 4 3" xfId="27800"/>
    <cellStyle name="Tabelstandaard Totaal Negatief 10 4 4" xfId="39224"/>
    <cellStyle name="Tabelstandaard Totaal Negatief 10 4 5" xfId="49060"/>
    <cellStyle name="Tabelstandaard Totaal Negatief 10 5" xfId="7472"/>
    <cellStyle name="Tabelstandaard Totaal Negatief 10 5 2" xfId="19770"/>
    <cellStyle name="Tabelstandaard Totaal Negatief 10 5 3" xfId="41573"/>
    <cellStyle name="Tabelstandaard Totaal Negatief 10 5 4" xfId="43494"/>
    <cellStyle name="Tabelstandaard Totaal Negatief 10 5 5" xfId="52442"/>
    <cellStyle name="Tabelstandaard Totaal Negatief 10 6" xfId="15743"/>
    <cellStyle name="Tabelstandaard Totaal Negatief 11" xfId="764"/>
    <cellStyle name="Tabelstandaard Totaal Negatief 11 2" xfId="1142"/>
    <cellStyle name="Tabelstandaard Totaal Negatief 11 2 2" xfId="1680"/>
    <cellStyle name="Tabelstandaard Totaal Negatief 11 2 2 2" xfId="9983"/>
    <cellStyle name="Tabelstandaard Totaal Negatief 11 2 2 2 2" xfId="22281"/>
    <cellStyle name="Tabelstandaard Totaal Negatief 11 2 2 2 3" xfId="34333"/>
    <cellStyle name="Tabelstandaard Totaal Negatief 11 2 2 2 4" xfId="28408"/>
    <cellStyle name="Tabelstandaard Totaal Negatief 11 2 2 2 5" xfId="54948"/>
    <cellStyle name="Tabelstandaard Totaal Negatief 11 2 2 3" xfId="15751"/>
    <cellStyle name="Tabelstandaard Totaal Negatief 11 2 2 4" xfId="27803"/>
    <cellStyle name="Tabelstandaard Totaal Negatief 11 2 2 5" xfId="45165"/>
    <cellStyle name="Tabelstandaard Totaal Negatief 11 2 2 6" xfId="49061"/>
    <cellStyle name="Tabelstandaard Totaal Negatief 11 2 2 7" xfId="5501"/>
    <cellStyle name="Tabelstandaard Totaal Negatief 11 2 3" xfId="3153"/>
    <cellStyle name="Tabelstandaard Totaal Negatief 11 2 3 2" xfId="15752"/>
    <cellStyle name="Tabelstandaard Totaal Negatief 11 2 3 3" xfId="27804"/>
    <cellStyle name="Tabelstandaard Totaal Negatief 11 2 3 4" xfId="39222"/>
    <cellStyle name="Tabelstandaard Totaal Negatief 11 2 3 5" xfId="49062"/>
    <cellStyle name="Tabelstandaard Totaal Negatief 11 2 4" xfId="9901"/>
    <cellStyle name="Tabelstandaard Totaal Negatief 11 2 4 2" xfId="22199"/>
    <cellStyle name="Tabelstandaard Totaal Negatief 11 2 4 3" xfId="43966"/>
    <cellStyle name="Tabelstandaard Totaal Negatief 11 2 4 4" xfId="28335"/>
    <cellStyle name="Tabelstandaard Totaal Negatief 11 2 4 5" xfId="54866"/>
    <cellStyle name="Tabelstandaard Totaal Negatief 11 2 5" xfId="15750"/>
    <cellStyle name="Tabelstandaard Totaal Negatief 11 3" xfId="1655"/>
    <cellStyle name="Tabelstandaard Totaal Negatief 11 3 2" xfId="9984"/>
    <cellStyle name="Tabelstandaard Totaal Negatief 11 3 2 2" xfId="22282"/>
    <cellStyle name="Tabelstandaard Totaal Negatief 11 3 2 3" xfId="34334"/>
    <cellStyle name="Tabelstandaard Totaal Negatief 11 3 2 4" xfId="42464"/>
    <cellStyle name="Tabelstandaard Totaal Negatief 11 3 2 5" xfId="54949"/>
    <cellStyle name="Tabelstandaard Totaal Negatief 11 3 3" xfId="15753"/>
    <cellStyle name="Tabelstandaard Totaal Negatief 11 3 4" xfId="27805"/>
    <cellStyle name="Tabelstandaard Totaal Negatief 11 3 5" xfId="39221"/>
    <cellStyle name="Tabelstandaard Totaal Negatief 11 3 6" xfId="49063"/>
    <cellStyle name="Tabelstandaard Totaal Negatief 11 4" xfId="5502"/>
    <cellStyle name="Tabelstandaard Totaal Negatief 11 4 2" xfId="15754"/>
    <cellStyle name="Tabelstandaard Totaal Negatief 11 4 3" xfId="27806"/>
    <cellStyle name="Tabelstandaard Totaal Negatief 11 4 4" xfId="45164"/>
    <cellStyle name="Tabelstandaard Totaal Negatief 11 4 5" xfId="49064"/>
    <cellStyle name="Tabelstandaard Totaal Negatief 11 5" xfId="10159"/>
    <cellStyle name="Tabelstandaard Totaal Negatief 11 5 2" xfId="22457"/>
    <cellStyle name="Tabelstandaard Totaal Negatief 11 5 3" xfId="44221"/>
    <cellStyle name="Tabelstandaard Totaal Negatief 11 5 4" xfId="28728"/>
    <cellStyle name="Tabelstandaard Totaal Negatief 11 5 5" xfId="55124"/>
    <cellStyle name="Tabelstandaard Totaal Negatief 11 6" xfId="15749"/>
    <cellStyle name="Tabelstandaard Totaal Negatief 12" xfId="774"/>
    <cellStyle name="Tabelstandaard Totaal Negatief 12 2" xfId="1097"/>
    <cellStyle name="Tabelstandaard Totaal Negatief 12 2 2" xfId="1550"/>
    <cellStyle name="Tabelstandaard Totaal Negatief 12 2 2 2" xfId="9987"/>
    <cellStyle name="Tabelstandaard Totaal Negatief 12 2 2 2 2" xfId="22285"/>
    <cellStyle name="Tabelstandaard Totaal Negatief 12 2 2 2 3" xfId="34337"/>
    <cellStyle name="Tabelstandaard Totaal Negatief 12 2 2 2 4" xfId="31977"/>
    <cellStyle name="Tabelstandaard Totaal Negatief 12 2 2 2 5" xfId="54952"/>
    <cellStyle name="Tabelstandaard Totaal Negatief 12 2 2 3" xfId="15757"/>
    <cellStyle name="Tabelstandaard Totaal Negatief 12 2 2 4" xfId="27809"/>
    <cellStyle name="Tabelstandaard Totaal Negatief 12 2 2 5" xfId="39219"/>
    <cellStyle name="Tabelstandaard Totaal Negatief 12 2 2 6" xfId="49065"/>
    <cellStyle name="Tabelstandaard Totaal Negatief 12 2 2 7" xfId="5503"/>
    <cellStyle name="Tabelstandaard Totaal Negatief 12 2 3" xfId="3108"/>
    <cellStyle name="Tabelstandaard Totaal Negatief 12 2 3 2" xfId="15758"/>
    <cellStyle name="Tabelstandaard Totaal Negatief 12 2 3 3" xfId="27810"/>
    <cellStyle name="Tabelstandaard Totaal Negatief 12 2 3 4" xfId="45162"/>
    <cellStyle name="Tabelstandaard Totaal Negatief 12 2 3 5" xfId="49066"/>
    <cellStyle name="Tabelstandaard Totaal Negatief 12 2 4" xfId="7245"/>
    <cellStyle name="Tabelstandaard Totaal Negatief 12 2 4 2" xfId="19543"/>
    <cellStyle name="Tabelstandaard Totaal Negatief 12 2 4 3" xfId="41346"/>
    <cellStyle name="Tabelstandaard Totaal Negatief 12 2 4 4" xfId="36891"/>
    <cellStyle name="Tabelstandaard Totaal Negatief 12 2 4 5" xfId="52215"/>
    <cellStyle name="Tabelstandaard Totaal Negatief 12 2 5" xfId="15756"/>
    <cellStyle name="Tabelstandaard Totaal Negatief 12 3" xfId="1593"/>
    <cellStyle name="Tabelstandaard Totaal Negatief 12 3 2" xfId="9988"/>
    <cellStyle name="Tabelstandaard Totaal Negatief 12 3 2 2" xfId="22286"/>
    <cellStyle name="Tabelstandaard Totaal Negatief 12 3 2 3" xfId="34338"/>
    <cellStyle name="Tabelstandaard Totaal Negatief 12 3 2 4" xfId="34542"/>
    <cellStyle name="Tabelstandaard Totaal Negatief 12 3 2 5" xfId="54953"/>
    <cellStyle name="Tabelstandaard Totaal Negatief 12 3 3" xfId="15759"/>
    <cellStyle name="Tabelstandaard Totaal Negatief 12 3 4" xfId="27811"/>
    <cellStyle name="Tabelstandaard Totaal Negatief 12 3 5" xfId="39218"/>
    <cellStyle name="Tabelstandaard Totaal Negatief 12 3 6" xfId="49067"/>
    <cellStyle name="Tabelstandaard Totaal Negatief 12 4" xfId="5504"/>
    <cellStyle name="Tabelstandaard Totaal Negatief 12 4 2" xfId="15760"/>
    <cellStyle name="Tabelstandaard Totaal Negatief 12 4 3" xfId="27812"/>
    <cellStyle name="Tabelstandaard Totaal Negatief 12 4 4" xfId="39217"/>
    <cellStyle name="Tabelstandaard Totaal Negatief 12 4 5" xfId="49068"/>
    <cellStyle name="Tabelstandaard Totaal Negatief 12 5" xfId="7464"/>
    <cellStyle name="Tabelstandaard Totaal Negatief 12 5 2" xfId="19762"/>
    <cellStyle name="Tabelstandaard Totaal Negatief 12 5 3" xfId="41565"/>
    <cellStyle name="Tabelstandaard Totaal Negatief 12 5 4" xfId="43498"/>
    <cellStyle name="Tabelstandaard Totaal Negatief 12 5 5" xfId="52434"/>
    <cellStyle name="Tabelstandaard Totaal Negatief 12 6" xfId="15755"/>
    <cellStyle name="Tabelstandaard Totaal Negatief 13" xfId="5505"/>
    <cellStyle name="Tabelstandaard Totaal Negatief 13 2" xfId="9989"/>
    <cellStyle name="Tabelstandaard Totaal Negatief 13 2 2" xfId="22287"/>
    <cellStyle name="Tabelstandaard Totaal Negatief 13 2 3" xfId="34339"/>
    <cellStyle name="Tabelstandaard Totaal Negatief 13 2 4" xfId="28414"/>
    <cellStyle name="Tabelstandaard Totaal Negatief 13 2 5" xfId="54954"/>
    <cellStyle name="Tabelstandaard Totaal Negatief 13 3" xfId="15761"/>
    <cellStyle name="Tabelstandaard Totaal Negatief 13 4" xfId="27813"/>
    <cellStyle name="Tabelstandaard Totaal Negatief 13 5" xfId="45161"/>
    <cellStyle name="Tabelstandaard Totaal Negatief 13 6" xfId="49069"/>
    <cellStyle name="Tabelstandaard Totaal Negatief 14" xfId="5506"/>
    <cellStyle name="Tabelstandaard Totaal Negatief 14 2" xfId="9990"/>
    <cellStyle name="Tabelstandaard Totaal Negatief 14 2 2" xfId="22288"/>
    <cellStyle name="Tabelstandaard Totaal Negatief 14 2 3" xfId="34340"/>
    <cellStyle name="Tabelstandaard Totaal Negatief 14 2 4" xfId="42462"/>
    <cellStyle name="Tabelstandaard Totaal Negatief 14 2 5" xfId="54955"/>
    <cellStyle name="Tabelstandaard Totaal Negatief 14 3" xfId="15762"/>
    <cellStyle name="Tabelstandaard Totaal Negatief 14 4" xfId="27814"/>
    <cellStyle name="Tabelstandaard Totaal Negatief 14 5" xfId="39216"/>
    <cellStyle name="Tabelstandaard Totaal Negatief 14 6" xfId="49070"/>
    <cellStyle name="Tabelstandaard Totaal Negatief 15" xfId="5507"/>
    <cellStyle name="Tabelstandaard Totaal Negatief 15 2" xfId="9991"/>
    <cellStyle name="Tabelstandaard Totaal Negatief 15 2 2" xfId="22289"/>
    <cellStyle name="Tabelstandaard Totaal Negatief 15 2 3" xfId="34341"/>
    <cellStyle name="Tabelstandaard Totaal Negatief 15 2 4" xfId="28415"/>
    <cellStyle name="Tabelstandaard Totaal Negatief 15 2 5" xfId="54956"/>
    <cellStyle name="Tabelstandaard Totaal Negatief 15 3" xfId="15763"/>
    <cellStyle name="Tabelstandaard Totaal Negatief 15 4" xfId="27815"/>
    <cellStyle name="Tabelstandaard Totaal Negatief 15 5" xfId="45160"/>
    <cellStyle name="Tabelstandaard Totaal Negatief 15 6" xfId="49071"/>
    <cellStyle name="Tabelstandaard Totaal Negatief 16" xfId="5508"/>
    <cellStyle name="Tabelstandaard Totaal Negatief 16 2" xfId="9992"/>
    <cellStyle name="Tabelstandaard Totaal Negatief 16 2 2" xfId="22290"/>
    <cellStyle name="Tabelstandaard Totaal Negatief 16 2 3" xfId="34342"/>
    <cellStyle name="Tabelstandaard Totaal Negatief 16 2 4" xfId="42461"/>
    <cellStyle name="Tabelstandaard Totaal Negatief 16 2 5" xfId="54957"/>
    <cellStyle name="Tabelstandaard Totaal Negatief 16 3" xfId="15764"/>
    <cellStyle name="Tabelstandaard Totaal Negatief 16 4" xfId="27816"/>
    <cellStyle name="Tabelstandaard Totaal Negatief 16 5" xfId="39215"/>
    <cellStyle name="Tabelstandaard Totaal Negatief 16 6" xfId="49072"/>
    <cellStyle name="Tabelstandaard Totaal Negatief 17" xfId="5509"/>
    <cellStyle name="Tabelstandaard Totaal Negatief 17 2" xfId="15765"/>
    <cellStyle name="Tabelstandaard Totaal Negatief 17 3" xfId="27817"/>
    <cellStyle name="Tabelstandaard Totaal Negatief 17 4" xfId="45159"/>
    <cellStyle name="Tabelstandaard Totaal Negatief 17 5" xfId="49073"/>
    <cellStyle name="Tabelstandaard Totaal Negatief 18" xfId="7793"/>
    <cellStyle name="Tabelstandaard Totaal Negatief 18 2" xfId="31706"/>
    <cellStyle name="Tabelstandaard Totaal Negatief 19" xfId="15742"/>
    <cellStyle name="Tabelstandaard Totaal Negatief 2" xfId="117"/>
    <cellStyle name="Tabelstandaard Totaal Negatief 2 10" xfId="5510"/>
    <cellStyle name="Tabelstandaard Totaal Negatief 2 10 2" xfId="9994"/>
    <cellStyle name="Tabelstandaard Totaal Negatief 2 10 2 2" xfId="22292"/>
    <cellStyle name="Tabelstandaard Totaal Negatief 2 10 2 3" xfId="34344"/>
    <cellStyle name="Tabelstandaard Totaal Negatief 2 10 2 4" xfId="42460"/>
    <cellStyle name="Tabelstandaard Totaal Negatief 2 10 2 5" xfId="54959"/>
    <cellStyle name="Tabelstandaard Totaal Negatief 2 10 3" xfId="15767"/>
    <cellStyle name="Tabelstandaard Totaal Negatief 2 10 4" xfId="27819"/>
    <cellStyle name="Tabelstandaard Totaal Negatief 2 10 5" xfId="45158"/>
    <cellStyle name="Tabelstandaard Totaal Negatief 2 10 6" xfId="49074"/>
    <cellStyle name="Tabelstandaard Totaal Negatief 2 11" xfId="5511"/>
    <cellStyle name="Tabelstandaard Totaal Negatief 2 11 2" xfId="9995"/>
    <cellStyle name="Tabelstandaard Totaal Negatief 2 11 2 2" xfId="22293"/>
    <cellStyle name="Tabelstandaard Totaal Negatief 2 11 2 3" xfId="34345"/>
    <cellStyle name="Tabelstandaard Totaal Negatief 2 11 2 4" xfId="31849"/>
    <cellStyle name="Tabelstandaard Totaal Negatief 2 11 2 5" xfId="54960"/>
    <cellStyle name="Tabelstandaard Totaal Negatief 2 11 3" xfId="15768"/>
    <cellStyle name="Tabelstandaard Totaal Negatief 2 11 4" xfId="27820"/>
    <cellStyle name="Tabelstandaard Totaal Negatief 2 11 5" xfId="39213"/>
    <cellStyle name="Tabelstandaard Totaal Negatief 2 11 6" xfId="49075"/>
    <cellStyle name="Tabelstandaard Totaal Negatief 2 12" xfId="5512"/>
    <cellStyle name="Tabelstandaard Totaal Negatief 2 12 2" xfId="9996"/>
    <cellStyle name="Tabelstandaard Totaal Negatief 2 12 2 2" xfId="22294"/>
    <cellStyle name="Tabelstandaard Totaal Negatief 2 12 2 3" xfId="34346"/>
    <cellStyle name="Tabelstandaard Totaal Negatief 2 12 2 4" xfId="42459"/>
    <cellStyle name="Tabelstandaard Totaal Negatief 2 12 2 5" xfId="54961"/>
    <cellStyle name="Tabelstandaard Totaal Negatief 2 12 3" xfId="15769"/>
    <cellStyle name="Tabelstandaard Totaal Negatief 2 12 4" xfId="27821"/>
    <cellStyle name="Tabelstandaard Totaal Negatief 2 12 5" xfId="45157"/>
    <cellStyle name="Tabelstandaard Totaal Negatief 2 12 6" xfId="49076"/>
    <cellStyle name="Tabelstandaard Totaal Negatief 2 13" xfId="5513"/>
    <cellStyle name="Tabelstandaard Totaal Negatief 2 13 2" xfId="9997"/>
    <cellStyle name="Tabelstandaard Totaal Negatief 2 13 2 2" xfId="22295"/>
    <cellStyle name="Tabelstandaard Totaal Negatief 2 13 2 3" xfId="34347"/>
    <cellStyle name="Tabelstandaard Totaal Negatief 2 13 2 4" xfId="28420"/>
    <cellStyle name="Tabelstandaard Totaal Negatief 2 13 2 5" xfId="54962"/>
    <cellStyle name="Tabelstandaard Totaal Negatief 2 13 3" xfId="15770"/>
    <cellStyle name="Tabelstandaard Totaal Negatief 2 13 4" xfId="27822"/>
    <cellStyle name="Tabelstandaard Totaal Negatief 2 13 5" xfId="39212"/>
    <cellStyle name="Tabelstandaard Totaal Negatief 2 13 6" xfId="49077"/>
    <cellStyle name="Tabelstandaard Totaal Negatief 2 14" xfId="5514"/>
    <cellStyle name="Tabelstandaard Totaal Negatief 2 14 2" xfId="15771"/>
    <cellStyle name="Tabelstandaard Totaal Negatief 2 14 3" xfId="27823"/>
    <cellStyle name="Tabelstandaard Totaal Negatief 2 14 4" xfId="39211"/>
    <cellStyle name="Tabelstandaard Totaal Negatief 2 14 5" xfId="49078"/>
    <cellStyle name="Tabelstandaard Totaal Negatief 2 15" xfId="7792"/>
    <cellStyle name="Tabelstandaard Totaal Negatief 2 15 2" xfId="25283"/>
    <cellStyle name="Tabelstandaard Totaal Negatief 2 16" xfId="15766"/>
    <cellStyle name="Tabelstandaard Totaal Negatief 2 2" xfId="135"/>
    <cellStyle name="Tabelstandaard Totaal Negatief 2 2 10" xfId="5515"/>
    <cellStyle name="Tabelstandaard Totaal Negatief 2 2 10 2" xfId="9999"/>
    <cellStyle name="Tabelstandaard Totaal Negatief 2 2 10 2 2" xfId="22297"/>
    <cellStyle name="Tabelstandaard Totaal Negatief 2 2 10 2 3" xfId="34349"/>
    <cellStyle name="Tabelstandaard Totaal Negatief 2 2 10 2 4" xfId="28421"/>
    <cellStyle name="Tabelstandaard Totaal Negatief 2 2 10 2 5" xfId="54964"/>
    <cellStyle name="Tabelstandaard Totaal Negatief 2 2 10 3" xfId="15773"/>
    <cellStyle name="Tabelstandaard Totaal Negatief 2 2 10 4" xfId="27825"/>
    <cellStyle name="Tabelstandaard Totaal Negatief 2 2 10 5" xfId="45156"/>
    <cellStyle name="Tabelstandaard Totaal Negatief 2 2 10 6" xfId="49079"/>
    <cellStyle name="Tabelstandaard Totaal Negatief 2 2 11" xfId="5516"/>
    <cellStyle name="Tabelstandaard Totaal Negatief 2 2 11 2" xfId="10000"/>
    <cellStyle name="Tabelstandaard Totaal Negatief 2 2 11 2 2" xfId="22298"/>
    <cellStyle name="Tabelstandaard Totaal Negatief 2 2 11 2 3" xfId="34350"/>
    <cellStyle name="Tabelstandaard Totaal Negatief 2 2 11 2 4" xfId="31777"/>
    <cellStyle name="Tabelstandaard Totaal Negatief 2 2 11 2 5" xfId="54965"/>
    <cellStyle name="Tabelstandaard Totaal Negatief 2 2 11 3" xfId="15774"/>
    <cellStyle name="Tabelstandaard Totaal Negatief 2 2 11 4" xfId="27826"/>
    <cellStyle name="Tabelstandaard Totaal Negatief 2 2 11 5" xfId="39209"/>
    <cellStyle name="Tabelstandaard Totaal Negatief 2 2 11 6" xfId="49080"/>
    <cellStyle name="Tabelstandaard Totaal Negatief 2 2 12" xfId="5517"/>
    <cellStyle name="Tabelstandaard Totaal Negatief 2 2 12 2" xfId="10001"/>
    <cellStyle name="Tabelstandaard Totaal Negatief 2 2 12 2 2" xfId="22299"/>
    <cellStyle name="Tabelstandaard Totaal Negatief 2 2 12 2 3" xfId="34351"/>
    <cellStyle name="Tabelstandaard Totaal Negatief 2 2 12 2 4" xfId="34554"/>
    <cellStyle name="Tabelstandaard Totaal Negatief 2 2 12 2 5" xfId="54966"/>
    <cellStyle name="Tabelstandaard Totaal Negatief 2 2 12 3" xfId="15775"/>
    <cellStyle name="Tabelstandaard Totaal Negatief 2 2 12 4" xfId="27827"/>
    <cellStyle name="Tabelstandaard Totaal Negatief 2 2 12 5" xfId="45155"/>
    <cellStyle name="Tabelstandaard Totaal Negatief 2 2 12 6" xfId="49081"/>
    <cellStyle name="Tabelstandaard Totaal Negatief 2 2 13" xfId="5518"/>
    <cellStyle name="Tabelstandaard Totaal Negatief 2 2 13 2" xfId="15776"/>
    <cellStyle name="Tabelstandaard Totaal Negatief 2 2 13 3" xfId="27828"/>
    <cellStyle name="Tabelstandaard Totaal Negatief 2 2 13 4" xfId="39208"/>
    <cellStyle name="Tabelstandaard Totaal Negatief 2 2 13 5" xfId="49082"/>
    <cellStyle name="Tabelstandaard Totaal Negatief 2 2 14" xfId="7784"/>
    <cellStyle name="Tabelstandaard Totaal Negatief 2 2 14 2" xfId="20082"/>
    <cellStyle name="Tabelstandaard Totaal Negatief 2 2 14 3" xfId="41885"/>
    <cellStyle name="Tabelstandaard Totaal Negatief 2 2 14 4" xfId="43365"/>
    <cellStyle name="Tabelstandaard Totaal Negatief 2 2 14 5" xfId="52754"/>
    <cellStyle name="Tabelstandaard Totaal Negatief 2 2 15" xfId="15772"/>
    <cellStyle name="Tabelstandaard Totaal Negatief 2 2 16" xfId="213"/>
    <cellStyle name="Tabelstandaard Totaal Negatief 2 2 2" xfId="144"/>
    <cellStyle name="Tabelstandaard Totaal Negatief 2 2 2 10" xfId="250"/>
    <cellStyle name="Tabelstandaard Totaal Negatief 2 2 2 2" xfId="395"/>
    <cellStyle name="Tabelstandaard Totaal Negatief 2 2 2 2 2" xfId="581"/>
    <cellStyle name="Tabelstandaard Totaal Negatief 2 2 2 2 2 2" xfId="1723"/>
    <cellStyle name="Tabelstandaard Totaal Negatief 2 2 2 2 2 2 2" xfId="10005"/>
    <cellStyle name="Tabelstandaard Totaal Negatief 2 2 2 2 2 2 2 2" xfId="22303"/>
    <cellStyle name="Tabelstandaard Totaal Negatief 2 2 2 2 2 2 2 3" xfId="34355"/>
    <cellStyle name="Tabelstandaard Totaal Negatief 2 2 2 2 2 2 2 4" xfId="28427"/>
    <cellStyle name="Tabelstandaard Totaal Negatief 2 2 2 2 2 2 2 5" xfId="54970"/>
    <cellStyle name="Tabelstandaard Totaal Negatief 2 2 2 2 2 2 3" xfId="15780"/>
    <cellStyle name="Tabelstandaard Totaal Negatief 2 2 2 2 2 2 4" xfId="27832"/>
    <cellStyle name="Tabelstandaard Totaal Negatief 2 2 2 2 2 2 5" xfId="39206"/>
    <cellStyle name="Tabelstandaard Totaal Negatief 2 2 2 2 2 2 6" xfId="49083"/>
    <cellStyle name="Tabelstandaard Totaal Negatief 2 2 2 2 2 2 7" xfId="5519"/>
    <cellStyle name="Tabelstandaard Totaal Negatief 2 2 2 2 2 3" xfId="2652"/>
    <cellStyle name="Tabelstandaard Totaal Negatief 2 2 2 2 2 3 2" xfId="15781"/>
    <cellStyle name="Tabelstandaard Totaal Negatief 2 2 2 2 2 3 3" xfId="27833"/>
    <cellStyle name="Tabelstandaard Totaal Negatief 2 2 2 2 2 3 4" xfId="45153"/>
    <cellStyle name="Tabelstandaard Totaal Negatief 2 2 2 2 2 3 5" xfId="49084"/>
    <cellStyle name="Tabelstandaard Totaal Negatief 2 2 2 2 2 4" xfId="10279"/>
    <cellStyle name="Tabelstandaard Totaal Negatief 2 2 2 2 2 4 2" xfId="22577"/>
    <cellStyle name="Tabelstandaard Totaal Negatief 2 2 2 2 2 4 3" xfId="44338"/>
    <cellStyle name="Tabelstandaard Totaal Negatief 2 2 2 2 2 4 4" xfId="28976"/>
    <cellStyle name="Tabelstandaard Totaal Negatief 2 2 2 2 2 4 5" xfId="55244"/>
    <cellStyle name="Tabelstandaard Totaal Negatief 2 2 2 2 2 5" xfId="15779"/>
    <cellStyle name="Tabelstandaard Totaal Negatief 2 2 2 2 3" xfId="1334"/>
    <cellStyle name="Tabelstandaard Totaal Negatief 2 2 2 2 3 2" xfId="3345"/>
    <cellStyle name="Tabelstandaard Totaal Negatief 2 2 2 2 3 2 2" xfId="10007"/>
    <cellStyle name="Tabelstandaard Totaal Negatief 2 2 2 2 3 2 2 2" xfId="22305"/>
    <cellStyle name="Tabelstandaard Totaal Negatief 2 2 2 2 3 2 2 3" xfId="34357"/>
    <cellStyle name="Tabelstandaard Totaal Negatief 2 2 2 2 3 2 2 4" xfId="32140"/>
    <cellStyle name="Tabelstandaard Totaal Negatief 2 2 2 2 3 2 2 5" xfId="54972"/>
    <cellStyle name="Tabelstandaard Totaal Negatief 2 2 2 2 3 2 3" xfId="15783"/>
    <cellStyle name="Tabelstandaard Totaal Negatief 2 2 2 2 3 2 4" xfId="27835"/>
    <cellStyle name="Tabelstandaard Totaal Negatief 2 2 2 2 3 2 5" xfId="39204"/>
    <cellStyle name="Tabelstandaard Totaal Negatief 2 2 2 2 3 2 6" xfId="49085"/>
    <cellStyle name="Tabelstandaard Totaal Negatief 2 2 2 2 3 3" xfId="5520"/>
    <cellStyle name="Tabelstandaard Totaal Negatief 2 2 2 2 3 3 2" xfId="15784"/>
    <cellStyle name="Tabelstandaard Totaal Negatief 2 2 2 2 3 3 3" xfId="27836"/>
    <cellStyle name="Tabelstandaard Totaal Negatief 2 2 2 2 3 3 4" xfId="39203"/>
    <cellStyle name="Tabelstandaard Totaal Negatief 2 2 2 2 3 3 5" xfId="49086"/>
    <cellStyle name="Tabelstandaard Totaal Negatief 2 2 2 2 3 4" xfId="7046"/>
    <cellStyle name="Tabelstandaard Totaal Negatief 2 2 2 2 3 4 2" xfId="19344"/>
    <cellStyle name="Tabelstandaard Totaal Negatief 2 2 2 2 3 4 3" xfId="41147"/>
    <cellStyle name="Tabelstandaard Totaal Negatief 2 2 2 2 3 4 4" xfId="37007"/>
    <cellStyle name="Tabelstandaard Totaal Negatief 2 2 2 2 3 4 5" xfId="52017"/>
    <cellStyle name="Tabelstandaard Totaal Negatief 2 2 2 2 3 5" xfId="15782"/>
    <cellStyle name="Tabelstandaard Totaal Negatief 2 2 2 2 4" xfId="1607"/>
    <cellStyle name="Tabelstandaard Totaal Negatief 2 2 2 2 4 2" xfId="10008"/>
    <cellStyle name="Tabelstandaard Totaal Negatief 2 2 2 2 4 2 2" xfId="22306"/>
    <cellStyle name="Tabelstandaard Totaal Negatief 2 2 2 2 4 2 3" xfId="34358"/>
    <cellStyle name="Tabelstandaard Totaal Negatief 2 2 2 2 4 2 4" xfId="42454"/>
    <cellStyle name="Tabelstandaard Totaal Negatief 2 2 2 2 4 2 5" xfId="54973"/>
    <cellStyle name="Tabelstandaard Totaal Negatief 2 2 2 2 4 3" xfId="15785"/>
    <cellStyle name="Tabelstandaard Totaal Negatief 2 2 2 2 4 4" xfId="27837"/>
    <cellStyle name="Tabelstandaard Totaal Negatief 2 2 2 2 4 5" xfId="45152"/>
    <cellStyle name="Tabelstandaard Totaal Negatief 2 2 2 2 4 6" xfId="49087"/>
    <cellStyle name="Tabelstandaard Totaal Negatief 2 2 2 2 5" xfId="5521"/>
    <cellStyle name="Tabelstandaard Totaal Negatief 2 2 2 2 5 2" xfId="15786"/>
    <cellStyle name="Tabelstandaard Totaal Negatief 2 2 2 2 5 3" xfId="27838"/>
    <cellStyle name="Tabelstandaard Totaal Negatief 2 2 2 2 5 4" xfId="39202"/>
    <cellStyle name="Tabelstandaard Totaal Negatief 2 2 2 2 5 5" xfId="49088"/>
    <cellStyle name="Tabelstandaard Totaal Negatief 2 2 2 2 6" xfId="7721"/>
    <cellStyle name="Tabelstandaard Totaal Negatief 2 2 2 2 6 2" xfId="20019"/>
    <cellStyle name="Tabelstandaard Totaal Negatief 2 2 2 2 6 3" xfId="41822"/>
    <cellStyle name="Tabelstandaard Totaal Negatief 2 2 2 2 6 4" xfId="25139"/>
    <cellStyle name="Tabelstandaard Totaal Negatief 2 2 2 2 6 5" xfId="52691"/>
    <cellStyle name="Tabelstandaard Totaal Negatief 2 2 2 2 7" xfId="15778"/>
    <cellStyle name="Tabelstandaard Totaal Negatief 2 2 2 3" xfId="376"/>
    <cellStyle name="Tabelstandaard Totaal Negatief 2 2 2 3 2" xfId="947"/>
    <cellStyle name="Tabelstandaard Totaal Negatief 2 2 2 3 2 2" xfId="2158"/>
    <cellStyle name="Tabelstandaard Totaal Negatief 2 2 2 3 2 2 2" xfId="10011"/>
    <cellStyle name="Tabelstandaard Totaal Negatief 2 2 2 3 2 2 2 2" xfId="22309"/>
    <cellStyle name="Tabelstandaard Totaal Negatief 2 2 2 3 2 2 2 3" xfId="34361"/>
    <cellStyle name="Tabelstandaard Totaal Negatief 2 2 2 3 2 2 2 4" xfId="28430"/>
    <cellStyle name="Tabelstandaard Totaal Negatief 2 2 2 3 2 2 2 5" xfId="54976"/>
    <cellStyle name="Tabelstandaard Totaal Negatief 2 2 2 3 2 2 3" xfId="15789"/>
    <cellStyle name="Tabelstandaard Totaal Negatief 2 2 2 3 2 2 4" xfId="27841"/>
    <cellStyle name="Tabelstandaard Totaal Negatief 2 2 2 3 2 2 5" xfId="45150"/>
    <cellStyle name="Tabelstandaard Totaal Negatief 2 2 2 3 2 2 6" xfId="49089"/>
    <cellStyle name="Tabelstandaard Totaal Negatief 2 2 2 3 2 2 7" xfId="5522"/>
    <cellStyle name="Tabelstandaard Totaal Negatief 2 2 2 3 2 3" xfId="2958"/>
    <cellStyle name="Tabelstandaard Totaal Negatief 2 2 2 3 2 3 2" xfId="15790"/>
    <cellStyle name="Tabelstandaard Totaal Negatief 2 2 2 3 2 3 3" xfId="27842"/>
    <cellStyle name="Tabelstandaard Totaal Negatief 2 2 2 3 2 3 4" xfId="39200"/>
    <cellStyle name="Tabelstandaard Totaal Negatief 2 2 2 3 2 3 5" xfId="49090"/>
    <cellStyle name="Tabelstandaard Totaal Negatief 2 2 2 3 2 4" xfId="7347"/>
    <cellStyle name="Tabelstandaard Totaal Negatief 2 2 2 3 2 4 2" xfId="19645"/>
    <cellStyle name="Tabelstandaard Totaal Negatief 2 2 2 3 2 4 3" xfId="41448"/>
    <cellStyle name="Tabelstandaard Totaal Negatief 2 2 2 3 2 4 4" xfId="36832"/>
    <cellStyle name="Tabelstandaard Totaal Negatief 2 2 2 3 2 4 5" xfId="52317"/>
    <cellStyle name="Tabelstandaard Totaal Negatief 2 2 2 3 2 5" xfId="15788"/>
    <cellStyle name="Tabelstandaard Totaal Negatief 2 2 2 3 3" xfId="1301"/>
    <cellStyle name="Tabelstandaard Totaal Negatief 2 2 2 3 3 2" xfId="3312"/>
    <cellStyle name="Tabelstandaard Totaal Negatief 2 2 2 3 3 2 2" xfId="10013"/>
    <cellStyle name="Tabelstandaard Totaal Negatief 2 2 2 3 3 2 2 2" xfId="22311"/>
    <cellStyle name="Tabelstandaard Totaal Negatief 2 2 2 3 3 2 2 3" xfId="34363"/>
    <cellStyle name="Tabelstandaard Totaal Negatief 2 2 2 3 3 2 2 4" xfId="28434"/>
    <cellStyle name="Tabelstandaard Totaal Negatief 2 2 2 3 3 2 2 5" xfId="54978"/>
    <cellStyle name="Tabelstandaard Totaal Negatief 2 2 2 3 3 2 3" xfId="15792"/>
    <cellStyle name="Tabelstandaard Totaal Negatief 2 2 2 3 3 2 4" xfId="27844"/>
    <cellStyle name="Tabelstandaard Totaal Negatief 2 2 2 3 3 2 5" xfId="39199"/>
    <cellStyle name="Tabelstandaard Totaal Negatief 2 2 2 3 3 2 6" xfId="49091"/>
    <cellStyle name="Tabelstandaard Totaal Negatief 2 2 2 3 3 3" xfId="5523"/>
    <cellStyle name="Tabelstandaard Totaal Negatief 2 2 2 3 3 3 2" xfId="15793"/>
    <cellStyle name="Tabelstandaard Totaal Negatief 2 2 2 3 3 3 3" xfId="27845"/>
    <cellStyle name="Tabelstandaard Totaal Negatief 2 2 2 3 3 3 4" xfId="45148"/>
    <cellStyle name="Tabelstandaard Totaal Negatief 2 2 2 3 3 3 5" xfId="49092"/>
    <cellStyle name="Tabelstandaard Totaal Negatief 2 2 2 3 3 4" xfId="7076"/>
    <cellStyle name="Tabelstandaard Totaal Negatief 2 2 2 3 3 4 2" xfId="19374"/>
    <cellStyle name="Tabelstandaard Totaal Negatief 2 2 2 3 3 4 3" xfId="41177"/>
    <cellStyle name="Tabelstandaard Totaal Negatief 2 2 2 3 3 4 4" xfId="43660"/>
    <cellStyle name="Tabelstandaard Totaal Negatief 2 2 2 3 3 4 5" xfId="52047"/>
    <cellStyle name="Tabelstandaard Totaal Negatief 2 2 2 3 3 5" xfId="15791"/>
    <cellStyle name="Tabelstandaard Totaal Negatief 2 2 2 3 4" xfId="2303"/>
    <cellStyle name="Tabelstandaard Totaal Negatief 2 2 2 3 4 2" xfId="10014"/>
    <cellStyle name="Tabelstandaard Totaal Negatief 2 2 2 3 4 2 2" xfId="22312"/>
    <cellStyle name="Tabelstandaard Totaal Negatief 2 2 2 3 4 2 3" xfId="34364"/>
    <cellStyle name="Tabelstandaard Totaal Negatief 2 2 2 3 4 2 4" xfId="42452"/>
    <cellStyle name="Tabelstandaard Totaal Negatief 2 2 2 3 4 2 5" xfId="54979"/>
    <cellStyle name="Tabelstandaard Totaal Negatief 2 2 2 3 4 3" xfId="15794"/>
    <cellStyle name="Tabelstandaard Totaal Negatief 2 2 2 3 4 4" xfId="27846"/>
    <cellStyle name="Tabelstandaard Totaal Negatief 2 2 2 3 4 5" xfId="39198"/>
    <cellStyle name="Tabelstandaard Totaal Negatief 2 2 2 3 4 6" xfId="49093"/>
    <cellStyle name="Tabelstandaard Totaal Negatief 2 2 2 3 5" xfId="5524"/>
    <cellStyle name="Tabelstandaard Totaal Negatief 2 2 2 3 5 2" xfId="15795"/>
    <cellStyle name="Tabelstandaard Totaal Negatief 2 2 2 3 5 3" xfId="27847"/>
    <cellStyle name="Tabelstandaard Totaal Negatief 2 2 2 3 5 4" xfId="39197"/>
    <cellStyle name="Tabelstandaard Totaal Negatief 2 2 2 3 5 5" xfId="49094"/>
    <cellStyle name="Tabelstandaard Totaal Negatief 2 2 2 3 6" xfId="7730"/>
    <cellStyle name="Tabelstandaard Totaal Negatief 2 2 2 3 6 2" xfId="20028"/>
    <cellStyle name="Tabelstandaard Totaal Negatief 2 2 2 3 6 3" xfId="41831"/>
    <cellStyle name="Tabelstandaard Totaal Negatief 2 2 2 3 6 4" xfId="43387"/>
    <cellStyle name="Tabelstandaard Totaal Negatief 2 2 2 3 6 5" xfId="52700"/>
    <cellStyle name="Tabelstandaard Totaal Negatief 2 2 2 3 7" xfId="15787"/>
    <cellStyle name="Tabelstandaard Totaal Negatief 2 2 2 4" xfId="349"/>
    <cellStyle name="Tabelstandaard Totaal Negatief 2 2 2 4 2" xfId="627"/>
    <cellStyle name="Tabelstandaard Totaal Negatief 2 2 2 4 2 2" xfId="1664"/>
    <cellStyle name="Tabelstandaard Totaal Negatief 2 2 2 4 2 2 2" xfId="10017"/>
    <cellStyle name="Tabelstandaard Totaal Negatief 2 2 2 4 2 2 2 2" xfId="22315"/>
    <cellStyle name="Tabelstandaard Totaal Negatief 2 2 2 4 2 2 2 3" xfId="34367"/>
    <cellStyle name="Tabelstandaard Totaal Negatief 2 2 2 4 2 2 2 4" xfId="28441"/>
    <cellStyle name="Tabelstandaard Totaal Negatief 2 2 2 4 2 2 2 5" xfId="54982"/>
    <cellStyle name="Tabelstandaard Totaal Negatief 2 2 2 4 2 2 3" xfId="15798"/>
    <cellStyle name="Tabelstandaard Totaal Negatief 2 2 2 4 2 2 4" xfId="27850"/>
    <cellStyle name="Tabelstandaard Totaal Negatief 2 2 2 4 2 2 5" xfId="39196"/>
    <cellStyle name="Tabelstandaard Totaal Negatief 2 2 2 4 2 2 6" xfId="49095"/>
    <cellStyle name="Tabelstandaard Totaal Negatief 2 2 2 4 2 3" xfId="5525"/>
    <cellStyle name="Tabelstandaard Totaal Negatief 2 2 2 4 2 3 2" xfId="15799"/>
    <cellStyle name="Tabelstandaard Totaal Negatief 2 2 2 4 2 3 3" xfId="27851"/>
    <cellStyle name="Tabelstandaard Totaal Negatief 2 2 2 4 2 3 4" xfId="45146"/>
    <cellStyle name="Tabelstandaard Totaal Negatief 2 2 2 4 2 3 5" xfId="49096"/>
    <cellStyle name="Tabelstandaard Totaal Negatief 2 2 2 4 2 4" xfId="7564"/>
    <cellStyle name="Tabelstandaard Totaal Negatief 2 2 2 4 2 4 2" xfId="19862"/>
    <cellStyle name="Tabelstandaard Totaal Negatief 2 2 2 4 2 4 3" xfId="41665"/>
    <cellStyle name="Tabelstandaard Totaal Negatief 2 2 2 4 2 4 4" xfId="43456"/>
    <cellStyle name="Tabelstandaard Totaal Negatief 2 2 2 4 2 4 5" xfId="52534"/>
    <cellStyle name="Tabelstandaard Totaal Negatief 2 2 2 4 2 5" xfId="15797"/>
    <cellStyle name="Tabelstandaard Totaal Negatief 2 2 2 4 3" xfId="1295"/>
    <cellStyle name="Tabelstandaard Totaal Negatief 2 2 2 4 3 2" xfId="2183"/>
    <cellStyle name="Tabelstandaard Totaal Negatief 2 2 2 4 3 2 2" xfId="10019"/>
    <cellStyle name="Tabelstandaard Totaal Negatief 2 2 2 4 3 2 2 2" xfId="22317"/>
    <cellStyle name="Tabelstandaard Totaal Negatief 2 2 2 4 3 2 2 3" xfId="34369"/>
    <cellStyle name="Tabelstandaard Totaal Negatief 2 2 2 4 3 2 2 4" xfId="31668"/>
    <cellStyle name="Tabelstandaard Totaal Negatief 2 2 2 4 3 2 2 5" xfId="54984"/>
    <cellStyle name="Tabelstandaard Totaal Negatief 2 2 2 4 3 2 3" xfId="15801"/>
    <cellStyle name="Tabelstandaard Totaal Negatief 2 2 2 4 3 2 4" xfId="27853"/>
    <cellStyle name="Tabelstandaard Totaal Negatief 2 2 2 4 3 2 5" xfId="45145"/>
    <cellStyle name="Tabelstandaard Totaal Negatief 2 2 2 4 3 2 6" xfId="49097"/>
    <cellStyle name="Tabelstandaard Totaal Negatief 2 2 2 4 3 2 7" xfId="5526"/>
    <cellStyle name="Tabelstandaard Totaal Negatief 2 2 2 4 3 3" xfId="3306"/>
    <cellStyle name="Tabelstandaard Totaal Negatief 2 2 2 4 3 3 2" xfId="15802"/>
    <cellStyle name="Tabelstandaard Totaal Negatief 2 2 2 4 3 3 3" xfId="27854"/>
    <cellStyle name="Tabelstandaard Totaal Negatief 2 2 2 4 3 3 4" xfId="39194"/>
    <cellStyle name="Tabelstandaard Totaal Negatief 2 2 2 4 3 3 5" xfId="49098"/>
    <cellStyle name="Tabelstandaard Totaal Negatief 2 2 2 4 3 4" xfId="7081"/>
    <cellStyle name="Tabelstandaard Totaal Negatief 2 2 2 4 3 4 2" xfId="19379"/>
    <cellStyle name="Tabelstandaard Totaal Negatief 2 2 2 4 3 4 3" xfId="41182"/>
    <cellStyle name="Tabelstandaard Totaal Negatief 2 2 2 4 3 4 4" xfId="36987"/>
    <cellStyle name="Tabelstandaard Totaal Negatief 2 2 2 4 3 4 5" xfId="52052"/>
    <cellStyle name="Tabelstandaard Totaal Negatief 2 2 2 4 3 5" xfId="15800"/>
    <cellStyle name="Tabelstandaard Totaal Negatief 2 2 2 4 4" xfId="5527"/>
    <cellStyle name="Tabelstandaard Totaal Negatief 2 2 2 4 4 2" xfId="10020"/>
    <cellStyle name="Tabelstandaard Totaal Negatief 2 2 2 4 4 2 2" xfId="22318"/>
    <cellStyle name="Tabelstandaard Totaal Negatief 2 2 2 4 4 2 3" xfId="34370"/>
    <cellStyle name="Tabelstandaard Totaal Negatief 2 2 2 4 4 2 4" xfId="42449"/>
    <cellStyle name="Tabelstandaard Totaal Negatief 2 2 2 4 4 2 5" xfId="54985"/>
    <cellStyle name="Tabelstandaard Totaal Negatief 2 2 2 4 4 3" xfId="15803"/>
    <cellStyle name="Tabelstandaard Totaal Negatief 2 2 2 4 4 4" xfId="27855"/>
    <cellStyle name="Tabelstandaard Totaal Negatief 2 2 2 4 4 5" xfId="45144"/>
    <cellStyle name="Tabelstandaard Totaal Negatief 2 2 2 4 4 6" xfId="49099"/>
    <cellStyle name="Tabelstandaard Totaal Negatief 2 2 2 4 5" xfId="5528"/>
    <cellStyle name="Tabelstandaard Totaal Negatief 2 2 2 4 5 2" xfId="15804"/>
    <cellStyle name="Tabelstandaard Totaal Negatief 2 2 2 4 5 3" xfId="27856"/>
    <cellStyle name="Tabelstandaard Totaal Negatief 2 2 2 4 5 4" xfId="39193"/>
    <cellStyle name="Tabelstandaard Totaal Negatief 2 2 2 4 5 5" xfId="49100"/>
    <cellStyle name="Tabelstandaard Totaal Negatief 2 2 2 4 6" xfId="10441"/>
    <cellStyle name="Tabelstandaard Totaal Negatief 2 2 2 4 6 2" xfId="22739"/>
    <cellStyle name="Tabelstandaard Totaal Negatief 2 2 2 4 6 3" xfId="44498"/>
    <cellStyle name="Tabelstandaard Totaal Negatief 2 2 2 4 6 4" xfId="31378"/>
    <cellStyle name="Tabelstandaard Totaal Negatief 2 2 2 4 6 5" xfId="55406"/>
    <cellStyle name="Tabelstandaard Totaal Negatief 2 2 2 4 7" xfId="15796"/>
    <cellStyle name="Tabelstandaard Totaal Negatief 2 2 2 5" xfId="437"/>
    <cellStyle name="Tabelstandaard Totaal Negatief 2 2 2 5 2" xfId="1780"/>
    <cellStyle name="Tabelstandaard Totaal Negatief 2 2 2 5 2 2" xfId="10022"/>
    <cellStyle name="Tabelstandaard Totaal Negatief 2 2 2 5 2 2 2" xfId="22320"/>
    <cellStyle name="Tabelstandaard Totaal Negatief 2 2 2 5 2 2 3" xfId="34372"/>
    <cellStyle name="Tabelstandaard Totaal Negatief 2 2 2 5 2 2 4" xfId="42448"/>
    <cellStyle name="Tabelstandaard Totaal Negatief 2 2 2 5 2 2 5" xfId="54987"/>
    <cellStyle name="Tabelstandaard Totaal Negatief 2 2 2 5 2 3" xfId="15806"/>
    <cellStyle name="Tabelstandaard Totaal Negatief 2 2 2 5 2 4" xfId="27858"/>
    <cellStyle name="Tabelstandaard Totaal Negatief 2 2 2 5 2 5" xfId="39192"/>
    <cellStyle name="Tabelstandaard Totaal Negatief 2 2 2 5 2 6" xfId="49101"/>
    <cellStyle name="Tabelstandaard Totaal Negatief 2 2 2 5 2 7" xfId="5529"/>
    <cellStyle name="Tabelstandaard Totaal Negatief 2 2 2 5 3" xfId="2508"/>
    <cellStyle name="Tabelstandaard Totaal Negatief 2 2 2 5 3 2" xfId="15807"/>
    <cellStyle name="Tabelstandaard Totaal Negatief 2 2 2 5 3 3" xfId="27859"/>
    <cellStyle name="Tabelstandaard Totaal Negatief 2 2 2 5 3 4" xfId="39191"/>
    <cellStyle name="Tabelstandaard Totaal Negatief 2 2 2 5 3 5" xfId="49102"/>
    <cellStyle name="Tabelstandaard Totaal Negatief 2 2 2 5 4" xfId="7692"/>
    <cellStyle name="Tabelstandaard Totaal Negatief 2 2 2 5 4 2" xfId="19990"/>
    <cellStyle name="Tabelstandaard Totaal Negatief 2 2 2 5 4 3" xfId="41793"/>
    <cellStyle name="Tabelstandaard Totaal Negatief 2 2 2 5 4 4" xfId="43403"/>
    <cellStyle name="Tabelstandaard Totaal Negatief 2 2 2 5 4 5" xfId="52662"/>
    <cellStyle name="Tabelstandaard Totaal Negatief 2 2 2 5 5" xfId="15805"/>
    <cellStyle name="Tabelstandaard Totaal Negatief 2 2 2 6" xfId="1702"/>
    <cellStyle name="Tabelstandaard Totaal Negatief 2 2 2 6 2" xfId="10023"/>
    <cellStyle name="Tabelstandaard Totaal Negatief 2 2 2 6 2 2" xfId="22321"/>
    <cellStyle name="Tabelstandaard Totaal Negatief 2 2 2 6 2 3" xfId="34373"/>
    <cellStyle name="Tabelstandaard Totaal Negatief 2 2 2 6 2 4" xfId="31557"/>
    <cellStyle name="Tabelstandaard Totaal Negatief 2 2 2 6 2 5" xfId="54988"/>
    <cellStyle name="Tabelstandaard Totaal Negatief 2 2 2 6 3" xfId="15808"/>
    <cellStyle name="Tabelstandaard Totaal Negatief 2 2 2 6 4" xfId="27860"/>
    <cellStyle name="Tabelstandaard Totaal Negatief 2 2 2 6 5" xfId="39190"/>
    <cellStyle name="Tabelstandaard Totaal Negatief 2 2 2 6 6" xfId="49103"/>
    <cellStyle name="Tabelstandaard Totaal Negatief 2 2 2 7" xfId="5530"/>
    <cellStyle name="Tabelstandaard Totaal Negatief 2 2 2 7 2" xfId="15809"/>
    <cellStyle name="Tabelstandaard Totaal Negatief 2 2 2 7 3" xfId="27861"/>
    <cellStyle name="Tabelstandaard Totaal Negatief 2 2 2 7 4" xfId="45142"/>
    <cellStyle name="Tabelstandaard Totaal Negatief 2 2 2 7 5" xfId="49104"/>
    <cellStyle name="Tabelstandaard Totaal Negatief 2 2 2 8" xfId="7770"/>
    <cellStyle name="Tabelstandaard Totaal Negatief 2 2 2 8 2" xfId="20068"/>
    <cellStyle name="Tabelstandaard Totaal Negatief 2 2 2 8 3" xfId="41871"/>
    <cellStyle name="Tabelstandaard Totaal Negatief 2 2 2 8 4" xfId="43371"/>
    <cellStyle name="Tabelstandaard Totaal Negatief 2 2 2 8 5" xfId="52740"/>
    <cellStyle name="Tabelstandaard Totaal Negatief 2 2 2 9" xfId="15777"/>
    <cellStyle name="Tabelstandaard Totaal Negatief 2 2 3" xfId="356"/>
    <cellStyle name="Tabelstandaard Totaal Negatief 2 2 3 2" xfId="398"/>
    <cellStyle name="Tabelstandaard Totaal Negatief 2 2 3 2 2" xfId="466"/>
    <cellStyle name="Tabelstandaard Totaal Negatief 2 2 3 2 2 2" xfId="1980"/>
    <cellStyle name="Tabelstandaard Totaal Negatief 2 2 3 2 2 2 2" xfId="10027"/>
    <cellStyle name="Tabelstandaard Totaal Negatief 2 2 3 2 2 2 2 2" xfId="22325"/>
    <cellStyle name="Tabelstandaard Totaal Negatief 2 2 3 2 2 2 2 3" xfId="34377"/>
    <cellStyle name="Tabelstandaard Totaal Negatief 2 2 3 2 2 2 2 4" xfId="28462"/>
    <cellStyle name="Tabelstandaard Totaal Negatief 2 2 3 2 2 2 2 5" xfId="54992"/>
    <cellStyle name="Tabelstandaard Totaal Negatief 2 2 3 2 2 2 3" xfId="15813"/>
    <cellStyle name="Tabelstandaard Totaal Negatief 2 2 3 2 2 2 4" xfId="27865"/>
    <cellStyle name="Tabelstandaard Totaal Negatief 2 2 3 2 2 2 5" xfId="45140"/>
    <cellStyle name="Tabelstandaard Totaal Negatief 2 2 3 2 2 2 6" xfId="49105"/>
    <cellStyle name="Tabelstandaard Totaal Negatief 2 2 3 2 2 2 7" xfId="5531"/>
    <cellStyle name="Tabelstandaard Totaal Negatief 2 2 3 2 2 3" xfId="2537"/>
    <cellStyle name="Tabelstandaard Totaal Negatief 2 2 3 2 2 3 2" xfId="15814"/>
    <cellStyle name="Tabelstandaard Totaal Negatief 2 2 3 2 2 3 3" xfId="27866"/>
    <cellStyle name="Tabelstandaard Totaal Negatief 2 2 3 2 2 3 4" xfId="39187"/>
    <cellStyle name="Tabelstandaard Totaal Negatief 2 2 3 2 2 3 5" xfId="49106"/>
    <cellStyle name="Tabelstandaard Totaal Negatief 2 2 3 2 2 4" xfId="10360"/>
    <cellStyle name="Tabelstandaard Totaal Negatief 2 2 3 2 2 4 2" xfId="22658"/>
    <cellStyle name="Tabelstandaard Totaal Negatief 2 2 3 2 2 4 3" xfId="44418"/>
    <cellStyle name="Tabelstandaard Totaal Negatief 2 2 3 2 2 4 4" xfId="42307"/>
    <cellStyle name="Tabelstandaard Totaal Negatief 2 2 3 2 2 4 5" xfId="55325"/>
    <cellStyle name="Tabelstandaard Totaal Negatief 2 2 3 2 2 5" xfId="15812"/>
    <cellStyle name="Tabelstandaard Totaal Negatief 2 2 3 2 3" xfId="1337"/>
    <cellStyle name="Tabelstandaard Totaal Negatief 2 2 3 2 3 2" xfId="3348"/>
    <cellStyle name="Tabelstandaard Totaal Negatief 2 2 3 2 3 2 2" xfId="10029"/>
    <cellStyle name="Tabelstandaard Totaal Negatief 2 2 3 2 3 2 2 2" xfId="22327"/>
    <cellStyle name="Tabelstandaard Totaal Negatief 2 2 3 2 3 2 2 3" xfId="34379"/>
    <cellStyle name="Tabelstandaard Totaal Negatief 2 2 3 2 3 2 2 4" xfId="34580"/>
    <cellStyle name="Tabelstandaard Totaal Negatief 2 2 3 2 3 2 2 5" xfId="54994"/>
    <cellStyle name="Tabelstandaard Totaal Negatief 2 2 3 2 3 2 3" xfId="15816"/>
    <cellStyle name="Tabelstandaard Totaal Negatief 2 2 3 2 3 2 4" xfId="27868"/>
    <cellStyle name="Tabelstandaard Totaal Negatief 2 2 3 2 3 2 5" xfId="39186"/>
    <cellStyle name="Tabelstandaard Totaal Negatief 2 2 3 2 3 2 6" xfId="49107"/>
    <cellStyle name="Tabelstandaard Totaal Negatief 2 2 3 2 3 3" xfId="5532"/>
    <cellStyle name="Tabelstandaard Totaal Negatief 2 2 3 2 3 3 2" xfId="15817"/>
    <cellStyle name="Tabelstandaard Totaal Negatief 2 2 3 2 3 3 3" xfId="27869"/>
    <cellStyle name="Tabelstandaard Totaal Negatief 2 2 3 2 3 3 4" xfId="45139"/>
    <cellStyle name="Tabelstandaard Totaal Negatief 2 2 3 2 3 3 5" xfId="49108"/>
    <cellStyle name="Tabelstandaard Totaal Negatief 2 2 3 2 3 4" xfId="7044"/>
    <cellStyle name="Tabelstandaard Totaal Negatief 2 2 3 2 3 4 2" xfId="19342"/>
    <cellStyle name="Tabelstandaard Totaal Negatief 2 2 3 2 3 4 3" xfId="41145"/>
    <cellStyle name="Tabelstandaard Totaal Negatief 2 2 3 2 3 4 4" xfId="37008"/>
    <cellStyle name="Tabelstandaard Totaal Negatief 2 2 3 2 3 4 5" xfId="52015"/>
    <cellStyle name="Tabelstandaard Totaal Negatief 2 2 3 2 3 5" xfId="15815"/>
    <cellStyle name="Tabelstandaard Totaal Negatief 2 2 3 2 4" xfId="2046"/>
    <cellStyle name="Tabelstandaard Totaal Negatief 2 2 3 2 4 2" xfId="10030"/>
    <cellStyle name="Tabelstandaard Totaal Negatief 2 2 3 2 4 2 2" xfId="22328"/>
    <cellStyle name="Tabelstandaard Totaal Negatief 2 2 3 2 4 2 3" xfId="34380"/>
    <cellStyle name="Tabelstandaard Totaal Negatief 2 2 3 2 4 2 4" xfId="42445"/>
    <cellStyle name="Tabelstandaard Totaal Negatief 2 2 3 2 4 2 5" xfId="54995"/>
    <cellStyle name="Tabelstandaard Totaal Negatief 2 2 3 2 4 3" xfId="15818"/>
    <cellStyle name="Tabelstandaard Totaal Negatief 2 2 3 2 4 4" xfId="27870"/>
    <cellStyle name="Tabelstandaard Totaal Negatief 2 2 3 2 4 5" xfId="39185"/>
    <cellStyle name="Tabelstandaard Totaal Negatief 2 2 3 2 4 6" xfId="49109"/>
    <cellStyle name="Tabelstandaard Totaal Negatief 2 2 3 2 5" xfId="5533"/>
    <cellStyle name="Tabelstandaard Totaal Negatief 2 2 3 2 5 2" xfId="15819"/>
    <cellStyle name="Tabelstandaard Totaal Negatief 2 2 3 2 5 3" xfId="27871"/>
    <cellStyle name="Tabelstandaard Totaal Negatief 2 2 3 2 5 4" xfId="39184"/>
    <cellStyle name="Tabelstandaard Totaal Negatief 2 2 3 2 5 5" xfId="49110"/>
    <cellStyle name="Tabelstandaard Totaal Negatief 2 2 3 2 6" xfId="10404"/>
    <cellStyle name="Tabelstandaard Totaal Negatief 2 2 3 2 6 2" xfId="22702"/>
    <cellStyle name="Tabelstandaard Totaal Negatief 2 2 3 2 6 3" xfId="44462"/>
    <cellStyle name="Tabelstandaard Totaal Negatief 2 2 3 2 6 4" xfId="42289"/>
    <cellStyle name="Tabelstandaard Totaal Negatief 2 2 3 2 6 5" xfId="55369"/>
    <cellStyle name="Tabelstandaard Totaal Negatief 2 2 3 2 7" xfId="15811"/>
    <cellStyle name="Tabelstandaard Totaal Negatief 2 2 3 3" xfId="5534"/>
    <cellStyle name="Tabelstandaard Totaal Negatief 2 2 3 3 2" xfId="10031"/>
    <cellStyle name="Tabelstandaard Totaal Negatief 2 2 3 3 2 2" xfId="22329"/>
    <cellStyle name="Tabelstandaard Totaal Negatief 2 2 3 3 2 3" xfId="34381"/>
    <cellStyle name="Tabelstandaard Totaal Negatief 2 2 3 3 2 4" xfId="28472"/>
    <cellStyle name="Tabelstandaard Totaal Negatief 2 2 3 3 2 5" xfId="54996"/>
    <cellStyle name="Tabelstandaard Totaal Negatief 2 2 3 3 3" xfId="15820"/>
    <cellStyle name="Tabelstandaard Totaal Negatief 2 2 3 3 4" xfId="27872"/>
    <cellStyle name="Tabelstandaard Totaal Negatief 2 2 3 3 5" xfId="39183"/>
    <cellStyle name="Tabelstandaard Totaal Negatief 2 2 3 3 6" xfId="49111"/>
    <cellStyle name="Tabelstandaard Totaal Negatief 2 2 3 4" xfId="5535"/>
    <cellStyle name="Tabelstandaard Totaal Negatief 2 2 3 4 2" xfId="15821"/>
    <cellStyle name="Tabelstandaard Totaal Negatief 2 2 3 4 3" xfId="27873"/>
    <cellStyle name="Tabelstandaard Totaal Negatief 2 2 3 4 4" xfId="45138"/>
    <cellStyle name="Tabelstandaard Totaal Negatief 2 2 3 4 5" xfId="49112"/>
    <cellStyle name="Tabelstandaard Totaal Negatief 2 2 3 5" xfId="10438"/>
    <cellStyle name="Tabelstandaard Totaal Negatief 2 2 3 5 2" xfId="22736"/>
    <cellStyle name="Tabelstandaard Totaal Negatief 2 2 3 5 3" xfId="44495"/>
    <cellStyle name="Tabelstandaard Totaal Negatief 2 2 3 5 4" xfId="42275"/>
    <cellStyle name="Tabelstandaard Totaal Negatief 2 2 3 5 5" xfId="55403"/>
    <cellStyle name="Tabelstandaard Totaal Negatief 2 2 3 6" xfId="15810"/>
    <cellStyle name="Tabelstandaard Totaal Negatief 2 2 4" xfId="706"/>
    <cellStyle name="Tabelstandaard Totaal Negatief 2 2 4 2" xfId="927"/>
    <cellStyle name="Tabelstandaard Totaal Negatief 2 2 4 2 2" xfId="1871"/>
    <cellStyle name="Tabelstandaard Totaal Negatief 2 2 4 2 2 2" xfId="10034"/>
    <cellStyle name="Tabelstandaard Totaal Negatief 2 2 4 2 2 2 2" xfId="22332"/>
    <cellStyle name="Tabelstandaard Totaal Negatief 2 2 4 2 2 2 3" xfId="34384"/>
    <cellStyle name="Tabelstandaard Totaal Negatief 2 2 4 2 2 2 4" xfId="42443"/>
    <cellStyle name="Tabelstandaard Totaal Negatief 2 2 4 2 2 2 5" xfId="54999"/>
    <cellStyle name="Tabelstandaard Totaal Negatief 2 2 4 2 2 3" xfId="15824"/>
    <cellStyle name="Tabelstandaard Totaal Negatief 2 2 4 2 2 4" xfId="27876"/>
    <cellStyle name="Tabelstandaard Totaal Negatief 2 2 4 2 2 5" xfId="39181"/>
    <cellStyle name="Tabelstandaard Totaal Negatief 2 2 4 2 2 6" xfId="49113"/>
    <cellStyle name="Tabelstandaard Totaal Negatief 2 2 4 2 2 7" xfId="5536"/>
    <cellStyle name="Tabelstandaard Totaal Negatief 2 2 4 2 3" xfId="2938"/>
    <cellStyle name="Tabelstandaard Totaal Negatief 2 2 4 2 3 2" xfId="15825"/>
    <cellStyle name="Tabelstandaard Totaal Negatief 2 2 4 2 3 3" xfId="27877"/>
    <cellStyle name="Tabelstandaard Totaal Negatief 2 2 4 2 3 4" xfId="39180"/>
    <cellStyle name="Tabelstandaard Totaal Negatief 2 2 4 2 3 5" xfId="49114"/>
    <cellStyle name="Tabelstandaard Totaal Negatief 2 2 4 2 4" xfId="7360"/>
    <cellStyle name="Tabelstandaard Totaal Negatief 2 2 4 2 4 2" xfId="19658"/>
    <cellStyle name="Tabelstandaard Totaal Negatief 2 2 4 2 4 3" xfId="41461"/>
    <cellStyle name="Tabelstandaard Totaal Negatief 2 2 4 2 4 4" xfId="19274"/>
    <cellStyle name="Tabelstandaard Totaal Negatief 2 2 4 2 4 5" xfId="52330"/>
    <cellStyle name="Tabelstandaard Totaal Negatief 2 2 4 2 5" xfId="15823"/>
    <cellStyle name="Tabelstandaard Totaal Negatief 2 2 4 3" xfId="1654"/>
    <cellStyle name="Tabelstandaard Totaal Negatief 2 2 4 3 2" xfId="10035"/>
    <cellStyle name="Tabelstandaard Totaal Negatief 2 2 4 3 2 2" xfId="22333"/>
    <cellStyle name="Tabelstandaard Totaal Negatief 2 2 4 3 2 3" xfId="34385"/>
    <cellStyle name="Tabelstandaard Totaal Negatief 2 2 4 3 2 4" xfId="28476"/>
    <cellStyle name="Tabelstandaard Totaal Negatief 2 2 4 3 2 5" xfId="55000"/>
    <cellStyle name="Tabelstandaard Totaal Negatief 2 2 4 3 3" xfId="15826"/>
    <cellStyle name="Tabelstandaard Totaal Negatief 2 2 4 3 4" xfId="27878"/>
    <cellStyle name="Tabelstandaard Totaal Negatief 2 2 4 3 5" xfId="39179"/>
    <cellStyle name="Tabelstandaard Totaal Negatief 2 2 4 3 6" xfId="49115"/>
    <cellStyle name="Tabelstandaard Totaal Negatief 2 2 4 4" xfId="5537"/>
    <cellStyle name="Tabelstandaard Totaal Negatief 2 2 4 4 2" xfId="15827"/>
    <cellStyle name="Tabelstandaard Totaal Negatief 2 2 4 4 3" xfId="27879"/>
    <cellStyle name="Tabelstandaard Totaal Negatief 2 2 4 4 4" xfId="45136"/>
    <cellStyle name="Tabelstandaard Totaal Negatief 2 2 4 4 5" xfId="49116"/>
    <cellStyle name="Tabelstandaard Totaal Negatief 2 2 4 5" xfId="10200"/>
    <cellStyle name="Tabelstandaard Totaal Negatief 2 2 4 5 2" xfId="22498"/>
    <cellStyle name="Tabelstandaard Totaal Negatief 2 2 4 5 3" xfId="44261"/>
    <cellStyle name="Tabelstandaard Totaal Negatief 2 2 4 5 4" xfId="42374"/>
    <cellStyle name="Tabelstandaard Totaal Negatief 2 2 4 5 5" xfId="55165"/>
    <cellStyle name="Tabelstandaard Totaal Negatief 2 2 4 6" xfId="15822"/>
    <cellStyle name="Tabelstandaard Totaal Negatief 2 2 5" xfId="737"/>
    <cellStyle name="Tabelstandaard Totaal Negatief 2 2 5 2" xfId="432"/>
    <cellStyle name="Tabelstandaard Totaal Negatief 2 2 5 2 2" xfId="2207"/>
    <cellStyle name="Tabelstandaard Totaal Negatief 2 2 5 2 2 2" xfId="10038"/>
    <cellStyle name="Tabelstandaard Totaal Negatief 2 2 5 2 2 2 2" xfId="22336"/>
    <cellStyle name="Tabelstandaard Totaal Negatief 2 2 5 2 2 2 3" xfId="34388"/>
    <cellStyle name="Tabelstandaard Totaal Negatief 2 2 5 2 2 2 4" xfId="42442"/>
    <cellStyle name="Tabelstandaard Totaal Negatief 2 2 5 2 2 2 5" xfId="55003"/>
    <cellStyle name="Tabelstandaard Totaal Negatief 2 2 5 2 2 3" xfId="15830"/>
    <cellStyle name="Tabelstandaard Totaal Negatief 2 2 5 2 2 4" xfId="27882"/>
    <cellStyle name="Tabelstandaard Totaal Negatief 2 2 5 2 2 5" xfId="39177"/>
    <cellStyle name="Tabelstandaard Totaal Negatief 2 2 5 2 2 6" xfId="49117"/>
    <cellStyle name="Tabelstandaard Totaal Negatief 2 2 5 2 2 7" xfId="5538"/>
    <cellStyle name="Tabelstandaard Totaal Negatief 2 2 5 2 3" xfId="2503"/>
    <cellStyle name="Tabelstandaard Totaal Negatief 2 2 5 2 3 2" xfId="15831"/>
    <cellStyle name="Tabelstandaard Totaal Negatief 2 2 5 2 3 3" xfId="27883"/>
    <cellStyle name="Tabelstandaard Totaal Negatief 2 2 5 2 3 4" xfId="45135"/>
    <cellStyle name="Tabelstandaard Totaal Negatief 2 2 5 2 3 5" xfId="49118"/>
    <cellStyle name="Tabelstandaard Totaal Negatief 2 2 5 2 4" xfId="7695"/>
    <cellStyle name="Tabelstandaard Totaal Negatief 2 2 5 2 4 2" xfId="19993"/>
    <cellStyle name="Tabelstandaard Totaal Negatief 2 2 5 2 4 3" xfId="41796"/>
    <cellStyle name="Tabelstandaard Totaal Negatief 2 2 5 2 4 4" xfId="31363"/>
    <cellStyle name="Tabelstandaard Totaal Negatief 2 2 5 2 4 5" xfId="52665"/>
    <cellStyle name="Tabelstandaard Totaal Negatief 2 2 5 2 5" xfId="15829"/>
    <cellStyle name="Tabelstandaard Totaal Negatief 2 2 5 3" xfId="1622"/>
    <cellStyle name="Tabelstandaard Totaal Negatief 2 2 5 3 2" xfId="10039"/>
    <cellStyle name="Tabelstandaard Totaal Negatief 2 2 5 3 2 2" xfId="22337"/>
    <cellStyle name="Tabelstandaard Totaal Negatief 2 2 5 3 2 3" xfId="34389"/>
    <cellStyle name="Tabelstandaard Totaal Negatief 2 2 5 3 2 4" xfId="31671"/>
    <cellStyle name="Tabelstandaard Totaal Negatief 2 2 5 3 2 5" xfId="55004"/>
    <cellStyle name="Tabelstandaard Totaal Negatief 2 2 5 3 3" xfId="15832"/>
    <cellStyle name="Tabelstandaard Totaal Negatief 2 2 5 3 4" xfId="27884"/>
    <cellStyle name="Tabelstandaard Totaal Negatief 2 2 5 3 5" xfId="39176"/>
    <cellStyle name="Tabelstandaard Totaal Negatief 2 2 5 3 6" xfId="49119"/>
    <cellStyle name="Tabelstandaard Totaal Negatief 2 2 5 4" xfId="5539"/>
    <cellStyle name="Tabelstandaard Totaal Negatief 2 2 5 4 2" xfId="15833"/>
    <cellStyle name="Tabelstandaard Totaal Negatief 2 2 5 4 3" xfId="27885"/>
    <cellStyle name="Tabelstandaard Totaal Negatief 2 2 5 4 4" xfId="45134"/>
    <cellStyle name="Tabelstandaard Totaal Negatief 2 2 5 4 5" xfId="49120"/>
    <cellStyle name="Tabelstandaard Totaal Negatief 2 2 5 5" xfId="7489"/>
    <cellStyle name="Tabelstandaard Totaal Negatief 2 2 5 5 2" xfId="19787"/>
    <cellStyle name="Tabelstandaard Totaal Negatief 2 2 5 5 3" xfId="41590"/>
    <cellStyle name="Tabelstandaard Totaal Negatief 2 2 5 5 4" xfId="34230"/>
    <cellStyle name="Tabelstandaard Totaal Negatief 2 2 5 5 5" xfId="52459"/>
    <cellStyle name="Tabelstandaard Totaal Negatief 2 2 5 6" xfId="15828"/>
    <cellStyle name="Tabelstandaard Totaal Negatief 2 2 6" xfId="793"/>
    <cellStyle name="Tabelstandaard Totaal Negatief 2 2 6 2" xfId="420"/>
    <cellStyle name="Tabelstandaard Totaal Negatief 2 2 6 2 2" xfId="2283"/>
    <cellStyle name="Tabelstandaard Totaal Negatief 2 2 6 2 2 2" xfId="10042"/>
    <cellStyle name="Tabelstandaard Totaal Negatief 2 2 6 2 2 2 2" xfId="22340"/>
    <cellStyle name="Tabelstandaard Totaal Negatief 2 2 6 2 2 2 3" xfId="34392"/>
    <cellStyle name="Tabelstandaard Totaal Negatief 2 2 6 2 2 2 4" xfId="42440"/>
    <cellStyle name="Tabelstandaard Totaal Negatief 2 2 6 2 2 2 5" xfId="55007"/>
    <cellStyle name="Tabelstandaard Totaal Negatief 2 2 6 2 2 3" xfId="15836"/>
    <cellStyle name="Tabelstandaard Totaal Negatief 2 2 6 2 2 4" xfId="27888"/>
    <cellStyle name="Tabelstandaard Totaal Negatief 2 2 6 2 2 5" xfId="39174"/>
    <cellStyle name="Tabelstandaard Totaal Negatief 2 2 6 2 2 6" xfId="49121"/>
    <cellStyle name="Tabelstandaard Totaal Negatief 2 2 6 2 2 7" xfId="5540"/>
    <cellStyle name="Tabelstandaard Totaal Negatief 2 2 6 2 3" xfId="2491"/>
    <cellStyle name="Tabelstandaard Totaal Negatief 2 2 6 2 3 2" xfId="15837"/>
    <cellStyle name="Tabelstandaard Totaal Negatief 2 2 6 2 3 3" xfId="27889"/>
    <cellStyle name="Tabelstandaard Totaal Negatief 2 2 6 2 3 4" xfId="39173"/>
    <cellStyle name="Tabelstandaard Totaal Negatief 2 2 6 2 3 5" xfId="49122"/>
    <cellStyle name="Tabelstandaard Totaal Negatief 2 2 6 2 4" xfId="10393"/>
    <cellStyle name="Tabelstandaard Totaal Negatief 2 2 6 2 4 2" xfId="22691"/>
    <cellStyle name="Tabelstandaard Totaal Negatief 2 2 6 2 4 3" xfId="44451"/>
    <cellStyle name="Tabelstandaard Totaal Negatief 2 2 6 2 4 4" xfId="34579"/>
    <cellStyle name="Tabelstandaard Totaal Negatief 2 2 6 2 4 5" xfId="55358"/>
    <cellStyle name="Tabelstandaard Totaal Negatief 2 2 6 2 5" xfId="15835"/>
    <cellStyle name="Tabelstandaard Totaal Negatief 2 2 6 3" xfId="1467"/>
    <cellStyle name="Tabelstandaard Totaal Negatief 2 2 6 3 2" xfId="10043"/>
    <cellStyle name="Tabelstandaard Totaal Negatief 2 2 6 3 2 2" xfId="22341"/>
    <cellStyle name="Tabelstandaard Totaal Negatief 2 2 6 3 2 3" xfId="34393"/>
    <cellStyle name="Tabelstandaard Totaal Negatief 2 2 6 3 2 4" xfId="34283"/>
    <cellStyle name="Tabelstandaard Totaal Negatief 2 2 6 3 2 5" xfId="55008"/>
    <cellStyle name="Tabelstandaard Totaal Negatief 2 2 6 3 3" xfId="15838"/>
    <cellStyle name="Tabelstandaard Totaal Negatief 2 2 6 3 4" xfId="27890"/>
    <cellStyle name="Tabelstandaard Totaal Negatief 2 2 6 3 5" xfId="45132"/>
    <cellStyle name="Tabelstandaard Totaal Negatief 2 2 6 3 6" xfId="49123"/>
    <cellStyle name="Tabelstandaard Totaal Negatief 2 2 6 4" xfId="5541"/>
    <cellStyle name="Tabelstandaard Totaal Negatief 2 2 6 4 2" xfId="15839"/>
    <cellStyle name="Tabelstandaard Totaal Negatief 2 2 6 4 3" xfId="27891"/>
    <cellStyle name="Tabelstandaard Totaal Negatief 2 2 6 4 4" xfId="39172"/>
    <cellStyle name="Tabelstandaard Totaal Negatief 2 2 6 4 5" xfId="49124"/>
    <cellStyle name="Tabelstandaard Totaal Negatief 2 2 6 5" xfId="7451"/>
    <cellStyle name="Tabelstandaard Totaal Negatief 2 2 6 5 2" xfId="19749"/>
    <cellStyle name="Tabelstandaard Totaal Negatief 2 2 6 5 3" xfId="41552"/>
    <cellStyle name="Tabelstandaard Totaal Negatief 2 2 6 5 4" xfId="19292"/>
    <cellStyle name="Tabelstandaard Totaal Negatief 2 2 6 5 5" xfId="52421"/>
    <cellStyle name="Tabelstandaard Totaal Negatief 2 2 6 6" xfId="15834"/>
    <cellStyle name="Tabelstandaard Totaal Negatief 2 2 7" xfId="804"/>
    <cellStyle name="Tabelstandaard Totaal Negatief 2 2 7 2" xfId="1143"/>
    <cellStyle name="Tabelstandaard Totaal Negatief 2 2 7 2 2" xfId="1852"/>
    <cellStyle name="Tabelstandaard Totaal Negatief 2 2 7 2 2 2" xfId="10046"/>
    <cellStyle name="Tabelstandaard Totaal Negatief 2 2 7 2 2 2 2" xfId="22344"/>
    <cellStyle name="Tabelstandaard Totaal Negatief 2 2 7 2 2 2 3" xfId="34396"/>
    <cellStyle name="Tabelstandaard Totaal Negatief 2 2 7 2 2 2 4" xfId="42438"/>
    <cellStyle name="Tabelstandaard Totaal Negatief 2 2 7 2 2 2 5" xfId="55011"/>
    <cellStyle name="Tabelstandaard Totaal Negatief 2 2 7 2 2 3" xfId="15842"/>
    <cellStyle name="Tabelstandaard Totaal Negatief 2 2 7 2 2 4" xfId="27894"/>
    <cellStyle name="Tabelstandaard Totaal Negatief 2 2 7 2 2 5" xfId="45130"/>
    <cellStyle name="Tabelstandaard Totaal Negatief 2 2 7 2 2 6" xfId="49125"/>
    <cellStyle name="Tabelstandaard Totaal Negatief 2 2 7 2 2 7" xfId="5542"/>
    <cellStyle name="Tabelstandaard Totaal Negatief 2 2 7 2 3" xfId="3154"/>
    <cellStyle name="Tabelstandaard Totaal Negatief 2 2 7 2 3 2" xfId="15843"/>
    <cellStyle name="Tabelstandaard Totaal Negatief 2 2 7 2 3 3" xfId="27895"/>
    <cellStyle name="Tabelstandaard Totaal Negatief 2 2 7 2 3 4" xfId="39170"/>
    <cellStyle name="Tabelstandaard Totaal Negatief 2 2 7 2 3 5" xfId="49126"/>
    <cellStyle name="Tabelstandaard Totaal Negatief 2 2 7 2 4" xfId="7214"/>
    <cellStyle name="Tabelstandaard Totaal Negatief 2 2 7 2 4 2" xfId="19512"/>
    <cellStyle name="Tabelstandaard Totaal Negatief 2 2 7 2 4 3" xfId="41315"/>
    <cellStyle name="Tabelstandaard Totaal Negatief 2 2 7 2 4 4" xfId="43602"/>
    <cellStyle name="Tabelstandaard Totaal Negatief 2 2 7 2 4 5" xfId="52184"/>
    <cellStyle name="Tabelstandaard Totaal Negatief 2 2 7 2 5" xfId="15841"/>
    <cellStyle name="Tabelstandaard Totaal Negatief 2 2 7 3" xfId="1519"/>
    <cellStyle name="Tabelstandaard Totaal Negatief 2 2 7 3 2" xfId="10047"/>
    <cellStyle name="Tabelstandaard Totaal Negatief 2 2 7 3 2 2" xfId="22345"/>
    <cellStyle name="Tabelstandaard Totaal Negatief 2 2 7 3 2 3" xfId="34397"/>
    <cellStyle name="Tabelstandaard Totaal Negatief 2 2 7 3 2 4" xfId="31552"/>
    <cellStyle name="Tabelstandaard Totaal Negatief 2 2 7 3 2 5" xfId="55012"/>
    <cellStyle name="Tabelstandaard Totaal Negatief 2 2 7 3 3" xfId="15844"/>
    <cellStyle name="Tabelstandaard Totaal Negatief 2 2 7 3 4" xfId="27896"/>
    <cellStyle name="Tabelstandaard Totaal Negatief 2 2 7 3 5" xfId="45129"/>
    <cellStyle name="Tabelstandaard Totaal Negatief 2 2 7 3 6" xfId="49127"/>
    <cellStyle name="Tabelstandaard Totaal Negatief 2 2 7 4" xfId="5543"/>
    <cellStyle name="Tabelstandaard Totaal Negatief 2 2 7 4 2" xfId="15845"/>
    <cellStyle name="Tabelstandaard Totaal Negatief 2 2 7 4 3" xfId="27897"/>
    <cellStyle name="Tabelstandaard Totaal Negatief 2 2 7 4 4" xfId="39169"/>
    <cellStyle name="Tabelstandaard Totaal Negatief 2 2 7 4 5" xfId="49128"/>
    <cellStyle name="Tabelstandaard Totaal Negatief 2 2 7 5" xfId="10135"/>
    <cellStyle name="Tabelstandaard Totaal Negatief 2 2 7 5 2" xfId="22433"/>
    <cellStyle name="Tabelstandaard Totaal Negatief 2 2 7 5 3" xfId="44197"/>
    <cellStyle name="Tabelstandaard Totaal Negatief 2 2 7 5 4" xfId="28682"/>
    <cellStyle name="Tabelstandaard Totaal Negatief 2 2 7 5 5" xfId="55100"/>
    <cellStyle name="Tabelstandaard Totaal Negatief 2 2 7 6" xfId="15840"/>
    <cellStyle name="Tabelstandaard Totaal Negatief 2 2 8" xfId="739"/>
    <cellStyle name="Tabelstandaard Totaal Negatief 2 2 8 2" xfId="504"/>
    <cellStyle name="Tabelstandaard Totaal Negatief 2 2 8 2 2" xfId="2287"/>
    <cellStyle name="Tabelstandaard Totaal Negatief 2 2 8 2 2 2" xfId="10050"/>
    <cellStyle name="Tabelstandaard Totaal Negatief 2 2 8 2 2 2 2" xfId="22348"/>
    <cellStyle name="Tabelstandaard Totaal Negatief 2 2 8 2 2 2 3" xfId="34400"/>
    <cellStyle name="Tabelstandaard Totaal Negatief 2 2 8 2 2 2 4" xfId="31989"/>
    <cellStyle name="Tabelstandaard Totaal Negatief 2 2 8 2 2 2 5" xfId="55015"/>
    <cellStyle name="Tabelstandaard Totaal Negatief 2 2 8 2 2 3" xfId="15848"/>
    <cellStyle name="Tabelstandaard Totaal Negatief 2 2 8 2 2 4" xfId="27900"/>
    <cellStyle name="Tabelstandaard Totaal Negatief 2 2 8 2 2 5" xfId="39167"/>
    <cellStyle name="Tabelstandaard Totaal Negatief 2 2 8 2 2 6" xfId="49129"/>
    <cellStyle name="Tabelstandaard Totaal Negatief 2 2 8 2 2 7" xfId="5544"/>
    <cellStyle name="Tabelstandaard Totaal Negatief 2 2 8 2 3" xfId="2575"/>
    <cellStyle name="Tabelstandaard Totaal Negatief 2 2 8 2 3 2" xfId="15849"/>
    <cellStyle name="Tabelstandaard Totaal Negatief 2 2 8 2 3 3" xfId="27901"/>
    <cellStyle name="Tabelstandaard Totaal Negatief 2 2 8 2 3 4" xfId="39166"/>
    <cellStyle name="Tabelstandaard Totaal Negatief 2 2 8 2 3 5" xfId="49130"/>
    <cellStyle name="Tabelstandaard Totaal Negatief 2 2 8 2 4" xfId="10337"/>
    <cellStyle name="Tabelstandaard Totaal Negatief 2 2 8 2 4 2" xfId="22635"/>
    <cellStyle name="Tabelstandaard Totaal Negatief 2 2 8 2 4 3" xfId="44395"/>
    <cellStyle name="Tabelstandaard Totaal Negatief 2 2 8 2 4 4" xfId="42317"/>
    <cellStyle name="Tabelstandaard Totaal Negatief 2 2 8 2 4 5" xfId="55302"/>
    <cellStyle name="Tabelstandaard Totaal Negatief 2 2 8 2 5" xfId="15847"/>
    <cellStyle name="Tabelstandaard Totaal Negatief 2 2 8 3" xfId="2392"/>
    <cellStyle name="Tabelstandaard Totaal Negatief 2 2 8 3 2" xfId="10051"/>
    <cellStyle name="Tabelstandaard Totaal Negatief 2 2 8 3 2 2" xfId="22349"/>
    <cellStyle name="Tabelstandaard Totaal Negatief 2 2 8 3 2 3" xfId="34401"/>
    <cellStyle name="Tabelstandaard Totaal Negatief 2 2 8 3 2 4" xfId="42436"/>
    <cellStyle name="Tabelstandaard Totaal Negatief 2 2 8 3 2 5" xfId="55016"/>
    <cellStyle name="Tabelstandaard Totaal Negatief 2 2 8 3 3" xfId="15850"/>
    <cellStyle name="Tabelstandaard Totaal Negatief 2 2 8 3 4" xfId="27902"/>
    <cellStyle name="Tabelstandaard Totaal Negatief 2 2 8 3 5" xfId="45127"/>
    <cellStyle name="Tabelstandaard Totaal Negatief 2 2 8 3 6" xfId="49131"/>
    <cellStyle name="Tabelstandaard Totaal Negatief 2 2 8 4" xfId="5545"/>
    <cellStyle name="Tabelstandaard Totaal Negatief 2 2 8 4 2" xfId="15851"/>
    <cellStyle name="Tabelstandaard Totaal Negatief 2 2 8 4 3" xfId="27903"/>
    <cellStyle name="Tabelstandaard Totaal Negatief 2 2 8 4 4" xfId="39165"/>
    <cellStyle name="Tabelstandaard Totaal Negatief 2 2 8 4 5" xfId="49132"/>
    <cellStyle name="Tabelstandaard Totaal Negatief 2 2 8 5" xfId="10172"/>
    <cellStyle name="Tabelstandaard Totaal Negatief 2 2 8 5 2" xfId="22470"/>
    <cellStyle name="Tabelstandaard Totaal Negatief 2 2 8 5 3" xfId="44234"/>
    <cellStyle name="Tabelstandaard Totaal Negatief 2 2 8 5 4" xfId="42385"/>
    <cellStyle name="Tabelstandaard Totaal Negatief 2 2 8 5 5" xfId="55137"/>
    <cellStyle name="Tabelstandaard Totaal Negatief 2 2 8 6" xfId="15846"/>
    <cellStyle name="Tabelstandaard Totaal Negatief 2 2 9" xfId="696"/>
    <cellStyle name="Tabelstandaard Totaal Negatief 2 2 9 2" xfId="1266"/>
    <cellStyle name="Tabelstandaard Totaal Negatief 2 2 9 2 2" xfId="1707"/>
    <cellStyle name="Tabelstandaard Totaal Negatief 2 2 9 2 2 2" xfId="10054"/>
    <cellStyle name="Tabelstandaard Totaal Negatief 2 2 9 2 2 2 2" xfId="22352"/>
    <cellStyle name="Tabelstandaard Totaal Negatief 2 2 9 2 2 2 3" xfId="34404"/>
    <cellStyle name="Tabelstandaard Totaal Negatief 2 2 9 2 2 2 4" xfId="34501"/>
    <cellStyle name="Tabelstandaard Totaal Negatief 2 2 9 2 2 2 5" xfId="55019"/>
    <cellStyle name="Tabelstandaard Totaal Negatief 2 2 9 2 2 3" xfId="15854"/>
    <cellStyle name="Tabelstandaard Totaal Negatief 2 2 9 2 2 4" xfId="27906"/>
    <cellStyle name="Tabelstandaard Totaal Negatief 2 2 9 2 2 5" xfId="45126"/>
    <cellStyle name="Tabelstandaard Totaal Negatief 2 2 9 2 2 6" xfId="49133"/>
    <cellStyle name="Tabelstandaard Totaal Negatief 2 2 9 2 2 7" xfId="5546"/>
    <cellStyle name="Tabelstandaard Totaal Negatief 2 2 9 2 3" xfId="3277"/>
    <cellStyle name="Tabelstandaard Totaal Negatief 2 2 9 2 3 2" xfId="15855"/>
    <cellStyle name="Tabelstandaard Totaal Negatief 2 2 9 2 3 3" xfId="27907"/>
    <cellStyle name="Tabelstandaard Totaal Negatief 2 2 9 2 3 4" xfId="39163"/>
    <cellStyle name="Tabelstandaard Totaal Negatief 2 2 9 2 3 5" xfId="49134"/>
    <cellStyle name="Tabelstandaard Totaal Negatief 2 2 9 2 4" xfId="7110"/>
    <cellStyle name="Tabelstandaard Totaal Negatief 2 2 9 2 4 2" xfId="19408"/>
    <cellStyle name="Tabelstandaard Totaal Negatief 2 2 9 2 4 3" xfId="41211"/>
    <cellStyle name="Tabelstandaard Totaal Negatief 2 2 9 2 4 4" xfId="43646"/>
    <cellStyle name="Tabelstandaard Totaal Negatief 2 2 9 2 4 5" xfId="52081"/>
    <cellStyle name="Tabelstandaard Totaal Negatief 2 2 9 2 5" xfId="15853"/>
    <cellStyle name="Tabelstandaard Totaal Negatief 2 2 9 3" xfId="1618"/>
    <cellStyle name="Tabelstandaard Totaal Negatief 2 2 9 3 2" xfId="10055"/>
    <cellStyle name="Tabelstandaard Totaal Negatief 2 2 9 3 2 2" xfId="22353"/>
    <cellStyle name="Tabelstandaard Totaal Negatief 2 2 9 3 2 3" xfId="34405"/>
    <cellStyle name="Tabelstandaard Totaal Negatief 2 2 9 3 2 4" xfId="28518"/>
    <cellStyle name="Tabelstandaard Totaal Negatief 2 2 9 3 2 5" xfId="55020"/>
    <cellStyle name="Tabelstandaard Totaal Negatief 2 2 9 3 3" xfId="15856"/>
    <cellStyle name="Tabelstandaard Totaal Negatief 2 2 9 3 4" xfId="27908"/>
    <cellStyle name="Tabelstandaard Totaal Negatief 2 2 9 3 5" xfId="45125"/>
    <cellStyle name="Tabelstandaard Totaal Negatief 2 2 9 3 6" xfId="49135"/>
    <cellStyle name="Tabelstandaard Totaal Negatief 2 2 9 4" xfId="5547"/>
    <cellStyle name="Tabelstandaard Totaal Negatief 2 2 9 4 2" xfId="15857"/>
    <cellStyle name="Tabelstandaard Totaal Negatief 2 2 9 4 3" xfId="27909"/>
    <cellStyle name="Tabelstandaard Totaal Negatief 2 2 9 4 4" xfId="39162"/>
    <cellStyle name="Tabelstandaard Totaal Negatief 2 2 9 4 5" xfId="49136"/>
    <cellStyle name="Tabelstandaard Totaal Negatief 2 2 9 5" xfId="7516"/>
    <cellStyle name="Tabelstandaard Totaal Negatief 2 2 9 5 2" xfId="19814"/>
    <cellStyle name="Tabelstandaard Totaal Negatief 2 2 9 5 3" xfId="41617"/>
    <cellStyle name="Tabelstandaard Totaal Negatief 2 2 9 5 4" xfId="31863"/>
    <cellStyle name="Tabelstandaard Totaal Negatief 2 2 9 5 5" xfId="52486"/>
    <cellStyle name="Tabelstandaard Totaal Negatief 2 2 9 6" xfId="15852"/>
    <cellStyle name="Tabelstandaard Totaal Negatief 2 3" xfId="245"/>
    <cellStyle name="Tabelstandaard Totaal Negatief 2 3 2" xfId="363"/>
    <cellStyle name="Tabelstandaard Totaal Negatief 2 3 2 2" xfId="404"/>
    <cellStyle name="Tabelstandaard Totaal Negatief 2 3 2 2 2" xfId="943"/>
    <cellStyle name="Tabelstandaard Totaal Negatief 2 3 2 2 2 2" xfId="1889"/>
    <cellStyle name="Tabelstandaard Totaal Negatief 2 3 2 2 2 2 2" xfId="10060"/>
    <cellStyle name="Tabelstandaard Totaal Negatief 2 3 2 2 2 2 2 2" xfId="22358"/>
    <cellStyle name="Tabelstandaard Totaal Negatief 2 3 2 2 2 2 2 3" xfId="34410"/>
    <cellStyle name="Tabelstandaard Totaal Negatief 2 3 2 2 2 2 2 4" xfId="42432"/>
    <cellStyle name="Tabelstandaard Totaal Negatief 2 3 2 2 2 2 2 5" xfId="55025"/>
    <cellStyle name="Tabelstandaard Totaal Negatief 2 3 2 2 2 2 3" xfId="15862"/>
    <cellStyle name="Tabelstandaard Totaal Negatief 2 3 2 2 2 2 4" xfId="27914"/>
    <cellStyle name="Tabelstandaard Totaal Negatief 2 3 2 2 2 2 5" xfId="45123"/>
    <cellStyle name="Tabelstandaard Totaal Negatief 2 3 2 2 2 2 6" xfId="49137"/>
    <cellStyle name="Tabelstandaard Totaal Negatief 2 3 2 2 2 2 7" xfId="5548"/>
    <cellStyle name="Tabelstandaard Totaal Negatief 2 3 2 2 2 3" xfId="2954"/>
    <cellStyle name="Tabelstandaard Totaal Negatief 2 3 2 2 2 3 2" xfId="15863"/>
    <cellStyle name="Tabelstandaard Totaal Negatief 2 3 2 2 2 3 3" xfId="27915"/>
    <cellStyle name="Tabelstandaard Totaal Negatief 2 3 2 2 2 3 4" xfId="39158"/>
    <cellStyle name="Tabelstandaard Totaal Negatief 2 3 2 2 2 3 5" xfId="49138"/>
    <cellStyle name="Tabelstandaard Totaal Negatief 2 3 2 2 2 4" xfId="7350"/>
    <cellStyle name="Tabelstandaard Totaal Negatief 2 3 2 2 2 4 2" xfId="19648"/>
    <cellStyle name="Tabelstandaard Totaal Negatief 2 3 2 2 2 4 3" xfId="41451"/>
    <cellStyle name="Tabelstandaard Totaal Negatief 2 3 2 2 2 4 4" xfId="43546"/>
    <cellStyle name="Tabelstandaard Totaal Negatief 2 3 2 2 2 4 5" xfId="52320"/>
    <cellStyle name="Tabelstandaard Totaal Negatief 2 3 2 2 2 5" xfId="15861"/>
    <cellStyle name="Tabelstandaard Totaal Negatief 2 3 2 2 3" xfId="1343"/>
    <cellStyle name="Tabelstandaard Totaal Negatief 2 3 2 2 3 2" xfId="3354"/>
    <cellStyle name="Tabelstandaard Totaal Negatief 2 3 2 2 3 2 2" xfId="10062"/>
    <cellStyle name="Tabelstandaard Totaal Negatief 2 3 2 2 3 2 2 2" xfId="22360"/>
    <cellStyle name="Tabelstandaard Totaal Negatief 2 3 2 2 3 2 2 3" xfId="34412"/>
    <cellStyle name="Tabelstandaard Totaal Negatief 2 3 2 2 3 2 2 4" xfId="42431"/>
    <cellStyle name="Tabelstandaard Totaal Negatief 2 3 2 2 3 2 2 5" xfId="55027"/>
    <cellStyle name="Tabelstandaard Totaal Negatief 2 3 2 2 3 2 3" xfId="15865"/>
    <cellStyle name="Tabelstandaard Totaal Negatief 2 3 2 2 3 2 4" xfId="27917"/>
    <cellStyle name="Tabelstandaard Totaal Negatief 2 3 2 2 3 2 5" xfId="39157"/>
    <cellStyle name="Tabelstandaard Totaal Negatief 2 3 2 2 3 2 6" xfId="49139"/>
    <cellStyle name="Tabelstandaard Totaal Negatief 2 3 2 2 3 3" xfId="5549"/>
    <cellStyle name="Tabelstandaard Totaal Negatief 2 3 2 2 3 3 2" xfId="15866"/>
    <cellStyle name="Tabelstandaard Totaal Negatief 2 3 2 2 3 3 3" xfId="27918"/>
    <cellStyle name="Tabelstandaard Totaal Negatief 2 3 2 2 3 3 4" xfId="45121"/>
    <cellStyle name="Tabelstandaard Totaal Negatief 2 3 2 2 3 3 5" xfId="49140"/>
    <cellStyle name="Tabelstandaard Totaal Negatief 2 3 2 2 3 4" xfId="9843"/>
    <cellStyle name="Tabelstandaard Totaal Negatief 2 3 2 2 3 4 2" xfId="22141"/>
    <cellStyle name="Tabelstandaard Totaal Negatief 2 3 2 2 3 4 3" xfId="43908"/>
    <cellStyle name="Tabelstandaard Totaal Negatief 2 3 2 2 3 4 4" xfId="34328"/>
    <cellStyle name="Tabelstandaard Totaal Negatief 2 3 2 2 3 4 5" xfId="54808"/>
    <cellStyle name="Tabelstandaard Totaal Negatief 2 3 2 2 3 5" xfId="15864"/>
    <cellStyle name="Tabelstandaard Totaal Negatief 2 3 2 2 4" xfId="2134"/>
    <cellStyle name="Tabelstandaard Totaal Negatief 2 3 2 2 4 2" xfId="10063"/>
    <cellStyle name="Tabelstandaard Totaal Negatief 2 3 2 2 4 2 2" xfId="22361"/>
    <cellStyle name="Tabelstandaard Totaal Negatief 2 3 2 2 4 2 3" xfId="34413"/>
    <cellStyle name="Tabelstandaard Totaal Negatief 2 3 2 2 4 2 4" xfId="28532"/>
    <cellStyle name="Tabelstandaard Totaal Negatief 2 3 2 2 4 2 5" xfId="55028"/>
    <cellStyle name="Tabelstandaard Totaal Negatief 2 3 2 2 4 3" xfId="15867"/>
    <cellStyle name="Tabelstandaard Totaal Negatief 2 3 2 2 4 4" xfId="27919"/>
    <cellStyle name="Tabelstandaard Totaal Negatief 2 3 2 2 4 5" xfId="39156"/>
    <cellStyle name="Tabelstandaard Totaal Negatief 2 3 2 2 4 6" xfId="49141"/>
    <cellStyle name="Tabelstandaard Totaal Negatief 2 3 2 2 5" xfId="5550"/>
    <cellStyle name="Tabelstandaard Totaal Negatief 2 3 2 2 5 2" xfId="15868"/>
    <cellStyle name="Tabelstandaard Totaal Negatief 2 3 2 2 5 3" xfId="27920"/>
    <cellStyle name="Tabelstandaard Totaal Negatief 2 3 2 2 5 4" xfId="45120"/>
    <cellStyle name="Tabelstandaard Totaal Negatief 2 3 2 2 5 5" xfId="49142"/>
    <cellStyle name="Tabelstandaard Totaal Negatief 2 3 2 2 6" xfId="7713"/>
    <cellStyle name="Tabelstandaard Totaal Negatief 2 3 2 2 6 2" xfId="20011"/>
    <cellStyle name="Tabelstandaard Totaal Negatief 2 3 2 2 6 3" xfId="41814"/>
    <cellStyle name="Tabelstandaard Totaal Negatief 2 3 2 2 6 4" xfId="31893"/>
    <cellStyle name="Tabelstandaard Totaal Negatief 2 3 2 2 6 5" xfId="52683"/>
    <cellStyle name="Tabelstandaard Totaal Negatief 2 3 2 2 7" xfId="15860"/>
    <cellStyle name="Tabelstandaard Totaal Negatief 2 3 2 3" xfId="5551"/>
    <cellStyle name="Tabelstandaard Totaal Negatief 2 3 2 3 2" xfId="10064"/>
    <cellStyle name="Tabelstandaard Totaal Negatief 2 3 2 3 2 2" xfId="22362"/>
    <cellStyle name="Tabelstandaard Totaal Negatief 2 3 2 3 2 3" xfId="34414"/>
    <cellStyle name="Tabelstandaard Totaal Negatief 2 3 2 3 2 4" xfId="42430"/>
    <cellStyle name="Tabelstandaard Totaal Negatief 2 3 2 3 2 5" xfId="55029"/>
    <cellStyle name="Tabelstandaard Totaal Negatief 2 3 2 3 3" xfId="15869"/>
    <cellStyle name="Tabelstandaard Totaal Negatief 2 3 2 3 4" xfId="27921"/>
    <cellStyle name="Tabelstandaard Totaal Negatief 2 3 2 3 5" xfId="39155"/>
    <cellStyle name="Tabelstandaard Totaal Negatief 2 3 2 3 6" xfId="49143"/>
    <cellStyle name="Tabelstandaard Totaal Negatief 2 3 2 4" xfId="5552"/>
    <cellStyle name="Tabelstandaard Totaal Negatief 2 3 2 4 2" xfId="15870"/>
    <cellStyle name="Tabelstandaard Totaal Negatief 2 3 2 4 3" xfId="27922"/>
    <cellStyle name="Tabelstandaard Totaal Negatief 2 3 2 4 4" xfId="45119"/>
    <cellStyle name="Tabelstandaard Totaal Negatief 2 3 2 4 5" xfId="49144"/>
    <cellStyle name="Tabelstandaard Totaal Negatief 2 3 2 5" xfId="10429"/>
    <cellStyle name="Tabelstandaard Totaal Negatief 2 3 2 5 2" xfId="22727"/>
    <cellStyle name="Tabelstandaard Totaal Negatief 2 3 2 5 3" xfId="44486"/>
    <cellStyle name="Tabelstandaard Totaal Negatief 2 3 2 5 4" xfId="29284"/>
    <cellStyle name="Tabelstandaard Totaal Negatief 2 3 2 5 5" xfId="55394"/>
    <cellStyle name="Tabelstandaard Totaal Negatief 2 3 2 6" xfId="15859"/>
    <cellStyle name="Tabelstandaard Totaal Negatief 2 3 3" xfId="368"/>
    <cellStyle name="Tabelstandaard Totaal Negatief 2 3 3 2" xfId="409"/>
    <cellStyle name="Tabelstandaard Totaal Negatief 2 3 3 2 2" xfId="1261"/>
    <cellStyle name="Tabelstandaard Totaal Negatief 2 3 3 2 2 2" xfId="1754"/>
    <cellStyle name="Tabelstandaard Totaal Negatief 2 3 3 2 2 2 2" xfId="10068"/>
    <cellStyle name="Tabelstandaard Totaal Negatief 2 3 3 2 2 2 2 2" xfId="22366"/>
    <cellStyle name="Tabelstandaard Totaal Negatief 2 3 3 2 2 2 2 3" xfId="34418"/>
    <cellStyle name="Tabelstandaard Totaal Negatief 2 3 3 2 2 2 2 4" xfId="42429"/>
    <cellStyle name="Tabelstandaard Totaal Negatief 2 3 3 2 2 2 2 5" xfId="55033"/>
    <cellStyle name="Tabelstandaard Totaal Negatief 2 3 3 2 2 2 3" xfId="15874"/>
    <cellStyle name="Tabelstandaard Totaal Negatief 2 3 3 2 2 2 4" xfId="27926"/>
    <cellStyle name="Tabelstandaard Totaal Negatief 2 3 3 2 2 2 5" xfId="45118"/>
    <cellStyle name="Tabelstandaard Totaal Negatief 2 3 3 2 2 2 6" xfId="49145"/>
    <cellStyle name="Tabelstandaard Totaal Negatief 2 3 3 2 2 2 7" xfId="5553"/>
    <cellStyle name="Tabelstandaard Totaal Negatief 2 3 3 2 2 3" xfId="3272"/>
    <cellStyle name="Tabelstandaard Totaal Negatief 2 3 3 2 2 3 2" xfId="15875"/>
    <cellStyle name="Tabelstandaard Totaal Negatief 2 3 3 2 2 3 3" xfId="27927"/>
    <cellStyle name="Tabelstandaard Totaal Negatief 2 3 3 2 2 3 4" xfId="39152"/>
    <cellStyle name="Tabelstandaard Totaal Negatief 2 3 3 2 2 3 5" xfId="49146"/>
    <cellStyle name="Tabelstandaard Totaal Negatief 2 3 3 2 2 4" xfId="7114"/>
    <cellStyle name="Tabelstandaard Totaal Negatief 2 3 3 2 2 4 2" xfId="19412"/>
    <cellStyle name="Tabelstandaard Totaal Negatief 2 3 3 2 2 4 3" xfId="41215"/>
    <cellStyle name="Tabelstandaard Totaal Negatief 2 3 3 2 2 4 4" xfId="43644"/>
    <cellStyle name="Tabelstandaard Totaal Negatief 2 3 3 2 2 4 5" xfId="52085"/>
    <cellStyle name="Tabelstandaard Totaal Negatief 2 3 3 2 2 5" xfId="15873"/>
    <cellStyle name="Tabelstandaard Totaal Negatief 2 3 3 2 3" xfId="1348"/>
    <cellStyle name="Tabelstandaard Totaal Negatief 2 3 3 2 3 2" xfId="3359"/>
    <cellStyle name="Tabelstandaard Totaal Negatief 2 3 3 2 3 2 2" xfId="10070"/>
    <cellStyle name="Tabelstandaard Totaal Negatief 2 3 3 2 3 2 2 2" xfId="22368"/>
    <cellStyle name="Tabelstandaard Totaal Negatief 2 3 3 2 3 2 2 3" xfId="34420"/>
    <cellStyle name="Tabelstandaard Totaal Negatief 2 3 3 2 3 2 2 4" xfId="42428"/>
    <cellStyle name="Tabelstandaard Totaal Negatief 2 3 3 2 3 2 2 5" xfId="55035"/>
    <cellStyle name="Tabelstandaard Totaal Negatief 2 3 3 2 3 2 3" xfId="15877"/>
    <cellStyle name="Tabelstandaard Totaal Negatief 2 3 3 2 3 2 4" xfId="27929"/>
    <cellStyle name="Tabelstandaard Totaal Negatief 2 3 3 2 3 2 5" xfId="39151"/>
    <cellStyle name="Tabelstandaard Totaal Negatief 2 3 3 2 3 2 6" xfId="49147"/>
    <cellStyle name="Tabelstandaard Totaal Negatief 2 3 3 2 3 3" xfId="5554"/>
    <cellStyle name="Tabelstandaard Totaal Negatief 2 3 3 2 3 3 2" xfId="15878"/>
    <cellStyle name="Tabelstandaard Totaal Negatief 2 3 3 2 3 3 3" xfId="27930"/>
    <cellStyle name="Tabelstandaard Totaal Negatief 2 3 3 2 3 3 4" xfId="45116"/>
    <cellStyle name="Tabelstandaard Totaal Negatief 2 3 3 2 3 3 5" xfId="49148"/>
    <cellStyle name="Tabelstandaard Totaal Negatief 2 3 3 2 3 4" xfId="7034"/>
    <cellStyle name="Tabelstandaard Totaal Negatief 2 3 3 2 3 4 2" xfId="19332"/>
    <cellStyle name="Tabelstandaard Totaal Negatief 2 3 3 2 3 4 3" xfId="41135"/>
    <cellStyle name="Tabelstandaard Totaal Negatief 2 3 3 2 3 4 4" xfId="37014"/>
    <cellStyle name="Tabelstandaard Totaal Negatief 2 3 3 2 3 4 5" xfId="52005"/>
    <cellStyle name="Tabelstandaard Totaal Negatief 2 3 3 2 3 5" xfId="15876"/>
    <cellStyle name="Tabelstandaard Totaal Negatief 2 3 3 2 4" xfId="2052"/>
    <cellStyle name="Tabelstandaard Totaal Negatief 2 3 3 2 4 2" xfId="10071"/>
    <cellStyle name="Tabelstandaard Totaal Negatief 2 3 3 2 4 2 2" xfId="22369"/>
    <cellStyle name="Tabelstandaard Totaal Negatief 2 3 3 2 4 2 3" xfId="34421"/>
    <cellStyle name="Tabelstandaard Totaal Negatief 2 3 3 2 4 2 4" xfId="31935"/>
    <cellStyle name="Tabelstandaard Totaal Negatief 2 3 3 2 4 2 5" xfId="55036"/>
    <cellStyle name="Tabelstandaard Totaal Negatief 2 3 3 2 4 3" xfId="15879"/>
    <cellStyle name="Tabelstandaard Totaal Negatief 2 3 3 2 4 4" xfId="27931"/>
    <cellStyle name="Tabelstandaard Totaal Negatief 2 3 3 2 4 5" xfId="39150"/>
    <cellStyle name="Tabelstandaard Totaal Negatief 2 3 3 2 4 6" xfId="49149"/>
    <cellStyle name="Tabelstandaard Totaal Negatief 2 3 3 2 5" xfId="5555"/>
    <cellStyle name="Tabelstandaard Totaal Negatief 2 3 3 2 5 2" xfId="15880"/>
    <cellStyle name="Tabelstandaard Totaal Negatief 2 3 3 2 5 3" xfId="27932"/>
    <cellStyle name="Tabelstandaard Totaal Negatief 2 3 3 2 5 4" xfId="45115"/>
    <cellStyle name="Tabelstandaard Totaal Negatief 2 3 3 2 5 5" xfId="49150"/>
    <cellStyle name="Tabelstandaard Totaal Negatief 2 3 3 2 6" xfId="7710"/>
    <cellStyle name="Tabelstandaard Totaal Negatief 2 3 3 2 6 2" xfId="20008"/>
    <cellStyle name="Tabelstandaard Totaal Negatief 2 3 3 2 6 3" xfId="41811"/>
    <cellStyle name="Tabelstandaard Totaal Negatief 2 3 3 2 6 4" xfId="43395"/>
    <cellStyle name="Tabelstandaard Totaal Negatief 2 3 3 2 6 5" xfId="52680"/>
    <cellStyle name="Tabelstandaard Totaal Negatief 2 3 3 2 7" xfId="15872"/>
    <cellStyle name="Tabelstandaard Totaal Negatief 2 3 3 3" xfId="5556"/>
    <cellStyle name="Tabelstandaard Totaal Negatief 2 3 3 3 2" xfId="10072"/>
    <cellStyle name="Tabelstandaard Totaal Negatief 2 3 3 3 2 2" xfId="22370"/>
    <cellStyle name="Tabelstandaard Totaal Negatief 2 3 3 3 2 3" xfId="34422"/>
    <cellStyle name="Tabelstandaard Totaal Negatief 2 3 3 3 2 4" xfId="42427"/>
    <cellStyle name="Tabelstandaard Totaal Negatief 2 3 3 3 2 5" xfId="55037"/>
    <cellStyle name="Tabelstandaard Totaal Negatief 2 3 3 3 3" xfId="15881"/>
    <cellStyle name="Tabelstandaard Totaal Negatief 2 3 3 3 4" xfId="27933"/>
    <cellStyle name="Tabelstandaard Totaal Negatief 2 3 3 3 5" xfId="39149"/>
    <cellStyle name="Tabelstandaard Totaal Negatief 2 3 3 3 6" xfId="49151"/>
    <cellStyle name="Tabelstandaard Totaal Negatief 2 3 3 4" xfId="5557"/>
    <cellStyle name="Tabelstandaard Totaal Negatief 2 3 3 4 2" xfId="15882"/>
    <cellStyle name="Tabelstandaard Totaal Negatief 2 3 3 4 3" xfId="27934"/>
    <cellStyle name="Tabelstandaard Totaal Negatief 2 3 3 4 4" xfId="45114"/>
    <cellStyle name="Tabelstandaard Totaal Negatief 2 3 3 4 5" xfId="49152"/>
    <cellStyle name="Tabelstandaard Totaal Negatief 2 3 3 5" xfId="7734"/>
    <cellStyle name="Tabelstandaard Totaal Negatief 2 3 3 5 2" xfId="20032"/>
    <cellStyle name="Tabelstandaard Totaal Negatief 2 3 3 5 3" xfId="41835"/>
    <cellStyle name="Tabelstandaard Totaal Negatief 2 3 3 5 4" xfId="43386"/>
    <cellStyle name="Tabelstandaard Totaal Negatief 2 3 3 5 5" xfId="52704"/>
    <cellStyle name="Tabelstandaard Totaal Negatief 2 3 3 6" xfId="15871"/>
    <cellStyle name="Tabelstandaard Totaal Negatief 2 3 4" xfId="1055"/>
    <cellStyle name="Tabelstandaard Totaal Negatief 2 3 4 2" xfId="2301"/>
    <cellStyle name="Tabelstandaard Totaal Negatief 2 3 4 2 2" xfId="10074"/>
    <cellStyle name="Tabelstandaard Totaal Negatief 2 3 4 2 2 2" xfId="22372"/>
    <cellStyle name="Tabelstandaard Totaal Negatief 2 3 4 2 2 3" xfId="34424"/>
    <cellStyle name="Tabelstandaard Totaal Negatief 2 3 4 2 2 4" xfId="42426"/>
    <cellStyle name="Tabelstandaard Totaal Negatief 2 3 4 2 2 5" xfId="55039"/>
    <cellStyle name="Tabelstandaard Totaal Negatief 2 3 4 2 3" xfId="15884"/>
    <cellStyle name="Tabelstandaard Totaal Negatief 2 3 4 2 4" xfId="27936"/>
    <cellStyle name="Tabelstandaard Totaal Negatief 2 3 4 2 5" xfId="39147"/>
    <cellStyle name="Tabelstandaard Totaal Negatief 2 3 4 2 6" xfId="49153"/>
    <cellStyle name="Tabelstandaard Totaal Negatief 2 3 4 2 7" xfId="5558"/>
    <cellStyle name="Tabelstandaard Totaal Negatief 2 3 4 3" xfId="3066"/>
    <cellStyle name="Tabelstandaard Totaal Negatief 2 3 4 3 2" xfId="15885"/>
    <cellStyle name="Tabelstandaard Totaal Negatief 2 3 4 3 3" xfId="27937"/>
    <cellStyle name="Tabelstandaard Totaal Negatief 2 3 4 3 4" xfId="39146"/>
    <cellStyle name="Tabelstandaard Totaal Negatief 2 3 4 3 5" xfId="49154"/>
    <cellStyle name="Tabelstandaard Totaal Negatief 2 3 4 4" xfId="7272"/>
    <cellStyle name="Tabelstandaard Totaal Negatief 2 3 4 4 2" xfId="19570"/>
    <cellStyle name="Tabelstandaard Totaal Negatief 2 3 4 4 3" xfId="41373"/>
    <cellStyle name="Tabelstandaard Totaal Negatief 2 3 4 4 4" xfId="43578"/>
    <cellStyle name="Tabelstandaard Totaal Negatief 2 3 4 4 5" xfId="52242"/>
    <cellStyle name="Tabelstandaard Totaal Negatief 2 3 4 5" xfId="15883"/>
    <cellStyle name="Tabelstandaard Totaal Negatief 2 3 5" xfId="1793"/>
    <cellStyle name="Tabelstandaard Totaal Negatief 2 3 5 2" xfId="10075"/>
    <cellStyle name="Tabelstandaard Totaal Negatief 2 3 5 2 2" xfId="22373"/>
    <cellStyle name="Tabelstandaard Totaal Negatief 2 3 5 2 3" xfId="34425"/>
    <cellStyle name="Tabelstandaard Totaal Negatief 2 3 5 2 4" xfId="31809"/>
    <cellStyle name="Tabelstandaard Totaal Negatief 2 3 5 2 5" xfId="55040"/>
    <cellStyle name="Tabelstandaard Totaal Negatief 2 3 5 3" xfId="15886"/>
    <cellStyle name="Tabelstandaard Totaal Negatief 2 3 5 4" xfId="27938"/>
    <cellStyle name="Tabelstandaard Totaal Negatief 2 3 5 5" xfId="45113"/>
    <cellStyle name="Tabelstandaard Totaal Negatief 2 3 5 6" xfId="49155"/>
    <cellStyle name="Tabelstandaard Totaal Negatief 2 3 6" xfId="5559"/>
    <cellStyle name="Tabelstandaard Totaal Negatief 2 3 6 2" xfId="15887"/>
    <cellStyle name="Tabelstandaard Totaal Negatief 2 3 6 3" xfId="27939"/>
    <cellStyle name="Tabelstandaard Totaal Negatief 2 3 6 4" xfId="39145"/>
    <cellStyle name="Tabelstandaard Totaal Negatief 2 3 6 5" xfId="49156"/>
    <cellStyle name="Tabelstandaard Totaal Negatief 2 3 7" xfId="7776"/>
    <cellStyle name="Tabelstandaard Totaal Negatief 2 3 7 2" xfId="20074"/>
    <cellStyle name="Tabelstandaard Totaal Negatief 2 3 7 3" xfId="41877"/>
    <cellStyle name="Tabelstandaard Totaal Negatief 2 3 7 4" xfId="43368"/>
    <cellStyle name="Tabelstandaard Totaal Negatief 2 3 7 5" xfId="52746"/>
    <cellStyle name="Tabelstandaard Totaal Negatief 2 3 8" xfId="15858"/>
    <cellStyle name="Tabelstandaard Totaal Negatief 2 4" xfId="761"/>
    <cellStyle name="Tabelstandaard Totaal Negatief 2 4 2" xfId="1265"/>
    <cellStyle name="Tabelstandaard Totaal Negatief 2 4 2 2" xfId="2223"/>
    <cellStyle name="Tabelstandaard Totaal Negatief 2 4 2 2 2" xfId="10078"/>
    <cellStyle name="Tabelstandaard Totaal Negatief 2 4 2 2 2 2" xfId="22376"/>
    <cellStyle name="Tabelstandaard Totaal Negatief 2 4 2 2 2 3" xfId="34428"/>
    <cellStyle name="Tabelstandaard Totaal Negatief 2 4 2 2 2 4" xfId="31699"/>
    <cellStyle name="Tabelstandaard Totaal Negatief 2 4 2 2 2 5" xfId="55043"/>
    <cellStyle name="Tabelstandaard Totaal Negatief 2 4 2 2 3" xfId="15890"/>
    <cellStyle name="Tabelstandaard Totaal Negatief 2 4 2 2 4" xfId="27942"/>
    <cellStyle name="Tabelstandaard Totaal Negatief 2 4 2 2 5" xfId="45111"/>
    <cellStyle name="Tabelstandaard Totaal Negatief 2 4 2 2 6" xfId="49157"/>
    <cellStyle name="Tabelstandaard Totaal Negatief 2 4 2 2 7" xfId="5560"/>
    <cellStyle name="Tabelstandaard Totaal Negatief 2 4 2 3" xfId="3276"/>
    <cellStyle name="Tabelstandaard Totaal Negatief 2 4 2 3 2" xfId="15891"/>
    <cellStyle name="Tabelstandaard Totaal Negatief 2 4 2 3 3" xfId="27943"/>
    <cellStyle name="Tabelstandaard Totaal Negatief 2 4 2 3 4" xfId="39143"/>
    <cellStyle name="Tabelstandaard Totaal Negatief 2 4 2 3 5" xfId="49158"/>
    <cellStyle name="Tabelstandaard Totaal Negatief 2 4 2 4" xfId="6992"/>
    <cellStyle name="Tabelstandaard Totaal Negatief 2 4 2 4 2" xfId="19290"/>
    <cellStyle name="Tabelstandaard Totaal Negatief 2 4 2 4 3" xfId="41093"/>
    <cellStyle name="Tabelstandaard Totaal Negatief 2 4 2 4 4" xfId="37038"/>
    <cellStyle name="Tabelstandaard Totaal Negatief 2 4 2 4 5" xfId="51964"/>
    <cellStyle name="Tabelstandaard Totaal Negatief 2 4 2 5" xfId="15889"/>
    <cellStyle name="Tabelstandaard Totaal Negatief 2 4 3" xfId="1636"/>
    <cellStyle name="Tabelstandaard Totaal Negatief 2 4 3 2" xfId="10079"/>
    <cellStyle name="Tabelstandaard Totaal Negatief 2 4 3 2 2" xfId="22377"/>
    <cellStyle name="Tabelstandaard Totaal Negatief 2 4 3 2 3" xfId="34429"/>
    <cellStyle name="Tabelstandaard Totaal Negatief 2 4 3 2 4" xfId="28567"/>
    <cellStyle name="Tabelstandaard Totaal Negatief 2 4 3 2 5" xfId="55044"/>
    <cellStyle name="Tabelstandaard Totaal Negatief 2 4 3 3" xfId="15892"/>
    <cellStyle name="Tabelstandaard Totaal Negatief 2 4 3 4" xfId="27944"/>
    <cellStyle name="Tabelstandaard Totaal Negatief 2 4 3 5" xfId="45110"/>
    <cellStyle name="Tabelstandaard Totaal Negatief 2 4 3 6" xfId="49159"/>
    <cellStyle name="Tabelstandaard Totaal Negatief 2 4 4" xfId="5561"/>
    <cellStyle name="Tabelstandaard Totaal Negatief 2 4 4 2" xfId="15893"/>
    <cellStyle name="Tabelstandaard Totaal Negatief 2 4 4 3" xfId="27945"/>
    <cellStyle name="Tabelstandaard Totaal Negatief 2 4 4 4" xfId="39142"/>
    <cellStyle name="Tabelstandaard Totaal Negatief 2 4 4 5" xfId="49160"/>
    <cellStyle name="Tabelstandaard Totaal Negatief 2 4 5" xfId="7473"/>
    <cellStyle name="Tabelstandaard Totaal Negatief 2 4 5 2" xfId="19771"/>
    <cellStyle name="Tabelstandaard Totaal Negatief 2 4 5 3" xfId="41574"/>
    <cellStyle name="Tabelstandaard Totaal Negatief 2 4 5 4" xfId="31455"/>
    <cellStyle name="Tabelstandaard Totaal Negatief 2 4 5 5" xfId="52443"/>
    <cellStyle name="Tabelstandaard Totaal Negatief 2 4 6" xfId="15888"/>
    <cellStyle name="Tabelstandaard Totaal Negatief 2 5" xfId="715"/>
    <cellStyle name="Tabelstandaard Totaal Negatief 2 5 2" xfId="633"/>
    <cellStyle name="Tabelstandaard Totaal Negatief 2 5 2 2" xfId="1943"/>
    <cellStyle name="Tabelstandaard Totaal Negatief 2 5 2 2 2" xfId="10082"/>
    <cellStyle name="Tabelstandaard Totaal Negatief 2 5 2 2 2 2" xfId="22380"/>
    <cellStyle name="Tabelstandaard Totaal Negatief 2 5 2 2 2 3" xfId="34432"/>
    <cellStyle name="Tabelstandaard Totaal Negatief 2 5 2 2 2 4" xfId="42423"/>
    <cellStyle name="Tabelstandaard Totaal Negatief 2 5 2 2 2 5" xfId="55047"/>
    <cellStyle name="Tabelstandaard Totaal Negatief 2 5 2 2 3" xfId="15896"/>
    <cellStyle name="Tabelstandaard Totaal Negatief 2 5 2 2 4" xfId="27948"/>
    <cellStyle name="Tabelstandaard Totaal Negatief 2 5 2 2 5" xfId="39140"/>
    <cellStyle name="Tabelstandaard Totaal Negatief 2 5 2 2 6" xfId="49161"/>
    <cellStyle name="Tabelstandaard Totaal Negatief 2 5 2 2 7" xfId="5562"/>
    <cellStyle name="Tabelstandaard Totaal Negatief 2 5 2 3" xfId="2699"/>
    <cellStyle name="Tabelstandaard Totaal Negatief 2 5 2 3 2" xfId="15897"/>
    <cellStyle name="Tabelstandaard Totaal Negatief 2 5 2 3 3" xfId="27949"/>
    <cellStyle name="Tabelstandaard Totaal Negatief 2 5 2 3 4" xfId="39139"/>
    <cellStyle name="Tabelstandaard Totaal Negatief 2 5 2 3 5" xfId="49162"/>
    <cellStyle name="Tabelstandaard Totaal Negatief 2 5 2 4" xfId="7560"/>
    <cellStyle name="Tabelstandaard Totaal Negatief 2 5 2 4 2" xfId="19858"/>
    <cellStyle name="Tabelstandaard Totaal Negatief 2 5 2 4 3" xfId="41661"/>
    <cellStyle name="Tabelstandaard Totaal Negatief 2 5 2 4 4" xfId="43458"/>
    <cellStyle name="Tabelstandaard Totaal Negatief 2 5 2 4 5" xfId="52530"/>
    <cellStyle name="Tabelstandaard Totaal Negatief 2 5 2 5" xfId="15895"/>
    <cellStyle name="Tabelstandaard Totaal Negatief 2 5 3" xfId="1952"/>
    <cellStyle name="Tabelstandaard Totaal Negatief 2 5 3 2" xfId="10083"/>
    <cellStyle name="Tabelstandaard Totaal Negatief 2 5 3 2 2" xfId="22381"/>
    <cellStyle name="Tabelstandaard Totaal Negatief 2 5 3 2 3" xfId="34433"/>
    <cellStyle name="Tabelstandaard Totaal Negatief 2 5 3 2 4" xfId="28574"/>
    <cellStyle name="Tabelstandaard Totaal Negatief 2 5 3 2 5" xfId="55048"/>
    <cellStyle name="Tabelstandaard Totaal Negatief 2 5 3 3" xfId="15898"/>
    <cellStyle name="Tabelstandaard Totaal Negatief 2 5 3 4" xfId="27950"/>
    <cellStyle name="Tabelstandaard Totaal Negatief 2 5 3 5" xfId="45109"/>
    <cellStyle name="Tabelstandaard Totaal Negatief 2 5 3 6" xfId="49163"/>
    <cellStyle name="Tabelstandaard Totaal Negatief 2 5 4" xfId="5563"/>
    <cellStyle name="Tabelstandaard Totaal Negatief 2 5 4 2" xfId="15899"/>
    <cellStyle name="Tabelstandaard Totaal Negatief 2 5 4 3" xfId="27951"/>
    <cellStyle name="Tabelstandaard Totaal Negatief 2 5 4 4" xfId="39138"/>
    <cellStyle name="Tabelstandaard Totaal Negatief 2 5 4 5" xfId="49164"/>
    <cellStyle name="Tabelstandaard Totaal Negatief 2 5 5" xfId="7503"/>
    <cellStyle name="Tabelstandaard Totaal Negatief 2 5 5 2" xfId="19801"/>
    <cellStyle name="Tabelstandaard Totaal Negatief 2 5 5 3" xfId="41604"/>
    <cellStyle name="Tabelstandaard Totaal Negatief 2 5 5 4" xfId="34327"/>
    <cellStyle name="Tabelstandaard Totaal Negatief 2 5 5 5" xfId="52473"/>
    <cellStyle name="Tabelstandaard Totaal Negatief 2 5 6" xfId="15894"/>
    <cellStyle name="Tabelstandaard Totaal Negatief 2 6" xfId="731"/>
    <cellStyle name="Tabelstandaard Totaal Negatief 2 6 2" xfId="1016"/>
    <cellStyle name="Tabelstandaard Totaal Negatief 2 6 2 2" xfId="2453"/>
    <cellStyle name="Tabelstandaard Totaal Negatief 2 6 2 2 2" xfId="10086"/>
    <cellStyle name="Tabelstandaard Totaal Negatief 2 6 2 2 2 2" xfId="22384"/>
    <cellStyle name="Tabelstandaard Totaal Negatief 2 6 2 2 2 3" xfId="34436"/>
    <cellStyle name="Tabelstandaard Totaal Negatief 2 6 2 2 2 4" xfId="42421"/>
    <cellStyle name="Tabelstandaard Totaal Negatief 2 6 2 2 2 5" xfId="55051"/>
    <cellStyle name="Tabelstandaard Totaal Negatief 2 6 2 2 3" xfId="15902"/>
    <cellStyle name="Tabelstandaard Totaal Negatief 2 6 2 2 4" xfId="27954"/>
    <cellStyle name="Tabelstandaard Totaal Negatief 2 6 2 2 5" xfId="39136"/>
    <cellStyle name="Tabelstandaard Totaal Negatief 2 6 2 2 6" xfId="49165"/>
    <cellStyle name="Tabelstandaard Totaal Negatief 2 6 2 2 7" xfId="5564"/>
    <cellStyle name="Tabelstandaard Totaal Negatief 2 6 2 3" xfId="3027"/>
    <cellStyle name="Tabelstandaard Totaal Negatief 2 6 2 3 2" xfId="15903"/>
    <cellStyle name="Tabelstandaard Totaal Negatief 2 6 2 3 3" xfId="27955"/>
    <cellStyle name="Tabelstandaard Totaal Negatief 2 6 2 3 4" xfId="45107"/>
    <cellStyle name="Tabelstandaard Totaal Negatief 2 6 2 3 5" xfId="49166"/>
    <cellStyle name="Tabelstandaard Totaal Negatief 2 6 2 4" xfId="7299"/>
    <cellStyle name="Tabelstandaard Totaal Negatief 2 6 2 4 2" xfId="19597"/>
    <cellStyle name="Tabelstandaard Totaal Negatief 2 6 2 4 3" xfId="41400"/>
    <cellStyle name="Tabelstandaard Totaal Negatief 2 6 2 4 4" xfId="36860"/>
    <cellStyle name="Tabelstandaard Totaal Negatief 2 6 2 4 5" xfId="52269"/>
    <cellStyle name="Tabelstandaard Totaal Negatief 2 6 2 5" xfId="15901"/>
    <cellStyle name="Tabelstandaard Totaal Negatief 2 6 3" xfId="2357"/>
    <cellStyle name="Tabelstandaard Totaal Negatief 2 6 3 2" xfId="10087"/>
    <cellStyle name="Tabelstandaard Totaal Negatief 2 6 3 2 2" xfId="22385"/>
    <cellStyle name="Tabelstandaard Totaal Negatief 2 6 3 2 3" xfId="34437"/>
    <cellStyle name="Tabelstandaard Totaal Negatief 2 6 3 2 4" xfId="28581"/>
    <cellStyle name="Tabelstandaard Totaal Negatief 2 6 3 2 5" xfId="55052"/>
    <cellStyle name="Tabelstandaard Totaal Negatief 2 6 3 3" xfId="15904"/>
    <cellStyle name="Tabelstandaard Totaal Negatief 2 6 3 4" xfId="27956"/>
    <cellStyle name="Tabelstandaard Totaal Negatief 2 6 3 5" xfId="39135"/>
    <cellStyle name="Tabelstandaard Totaal Negatief 2 6 3 6" xfId="49167"/>
    <cellStyle name="Tabelstandaard Totaal Negatief 2 6 4" xfId="5565"/>
    <cellStyle name="Tabelstandaard Totaal Negatief 2 6 4 2" xfId="15905"/>
    <cellStyle name="Tabelstandaard Totaal Negatief 2 6 4 3" xfId="27957"/>
    <cellStyle name="Tabelstandaard Totaal Negatief 2 6 4 4" xfId="45106"/>
    <cellStyle name="Tabelstandaard Totaal Negatief 2 6 4 5" xfId="49168"/>
    <cellStyle name="Tabelstandaard Totaal Negatief 2 6 5" xfId="7493"/>
    <cellStyle name="Tabelstandaard Totaal Negatief 2 6 5 2" xfId="19791"/>
    <cellStyle name="Tabelstandaard Totaal Negatief 2 6 5 3" xfId="41594"/>
    <cellStyle name="Tabelstandaard Totaal Negatief 2 6 5 4" xfId="31599"/>
    <cellStyle name="Tabelstandaard Totaal Negatief 2 6 5 5" xfId="52463"/>
    <cellStyle name="Tabelstandaard Totaal Negatief 2 6 6" xfId="15900"/>
    <cellStyle name="Tabelstandaard Totaal Negatief 2 7" xfId="766"/>
    <cellStyle name="Tabelstandaard Totaal Negatief 2 7 2" xfId="1147"/>
    <cellStyle name="Tabelstandaard Totaal Negatief 2 7 2 2" xfId="2334"/>
    <cellStyle name="Tabelstandaard Totaal Negatief 2 7 2 2 2" xfId="10090"/>
    <cellStyle name="Tabelstandaard Totaal Negatief 2 7 2 2 2 2" xfId="22388"/>
    <cellStyle name="Tabelstandaard Totaal Negatief 2 7 2 2 2 3" xfId="34440"/>
    <cellStyle name="Tabelstandaard Totaal Negatief 2 7 2 2 2 4" xfId="28588"/>
    <cellStyle name="Tabelstandaard Totaal Negatief 2 7 2 2 2 5" xfId="55055"/>
    <cellStyle name="Tabelstandaard Totaal Negatief 2 7 2 2 3" xfId="15908"/>
    <cellStyle name="Tabelstandaard Totaal Negatief 2 7 2 2 4" xfId="27960"/>
    <cellStyle name="Tabelstandaard Totaal Negatief 2 7 2 2 5" xfId="39133"/>
    <cellStyle name="Tabelstandaard Totaal Negatief 2 7 2 2 6" xfId="49169"/>
    <cellStyle name="Tabelstandaard Totaal Negatief 2 7 2 2 7" xfId="5566"/>
    <cellStyle name="Tabelstandaard Totaal Negatief 2 7 2 3" xfId="3158"/>
    <cellStyle name="Tabelstandaard Totaal Negatief 2 7 2 3 2" xfId="15909"/>
    <cellStyle name="Tabelstandaard Totaal Negatief 2 7 2 3 3" xfId="27961"/>
    <cellStyle name="Tabelstandaard Totaal Negatief 2 7 2 3 4" xfId="45104"/>
    <cellStyle name="Tabelstandaard Totaal Negatief 2 7 2 3 5" xfId="49170"/>
    <cellStyle name="Tabelstandaard Totaal Negatief 2 7 2 4" xfId="9902"/>
    <cellStyle name="Tabelstandaard Totaal Negatief 2 7 2 4 2" xfId="22200"/>
    <cellStyle name="Tabelstandaard Totaal Negatief 2 7 2 4 3" xfId="43967"/>
    <cellStyle name="Tabelstandaard Totaal Negatief 2 7 2 4 4" xfId="42498"/>
    <cellStyle name="Tabelstandaard Totaal Negatief 2 7 2 4 5" xfId="54867"/>
    <cellStyle name="Tabelstandaard Totaal Negatief 2 7 2 5" xfId="15907"/>
    <cellStyle name="Tabelstandaard Totaal Negatief 2 7 3" xfId="1490"/>
    <cellStyle name="Tabelstandaard Totaal Negatief 2 7 3 2" xfId="10091"/>
    <cellStyle name="Tabelstandaard Totaal Negatief 2 7 3 2 2" xfId="22389"/>
    <cellStyle name="Tabelstandaard Totaal Negatief 2 7 3 2 3" xfId="34441"/>
    <cellStyle name="Tabelstandaard Totaal Negatief 2 7 3 2 4" xfId="31503"/>
    <cellStyle name="Tabelstandaard Totaal Negatief 2 7 3 2 5" xfId="55056"/>
    <cellStyle name="Tabelstandaard Totaal Negatief 2 7 3 3" xfId="15910"/>
    <cellStyle name="Tabelstandaard Totaal Negatief 2 7 3 4" xfId="27962"/>
    <cellStyle name="Tabelstandaard Totaal Negatief 2 7 3 5" xfId="39132"/>
    <cellStyle name="Tabelstandaard Totaal Negatief 2 7 3 6" xfId="49171"/>
    <cellStyle name="Tabelstandaard Totaal Negatief 2 7 4" xfId="5567"/>
    <cellStyle name="Tabelstandaard Totaal Negatief 2 7 4 2" xfId="15911"/>
    <cellStyle name="Tabelstandaard Totaal Negatief 2 7 4 3" xfId="27963"/>
    <cellStyle name="Tabelstandaard Totaal Negatief 2 7 4 4" xfId="39131"/>
    <cellStyle name="Tabelstandaard Totaal Negatief 2 7 4 5" xfId="49172"/>
    <cellStyle name="Tabelstandaard Totaal Negatief 2 7 5" xfId="10160"/>
    <cellStyle name="Tabelstandaard Totaal Negatief 2 7 5 2" xfId="22458"/>
    <cellStyle name="Tabelstandaard Totaal Negatief 2 7 5 3" xfId="44222"/>
    <cellStyle name="Tabelstandaard Totaal Negatief 2 7 5 4" xfId="42390"/>
    <cellStyle name="Tabelstandaard Totaal Negatief 2 7 5 5" xfId="55125"/>
    <cellStyle name="Tabelstandaard Totaal Negatief 2 7 6" xfId="15906"/>
    <cellStyle name="Tabelstandaard Totaal Negatief 2 8" xfId="719"/>
    <cellStyle name="Tabelstandaard Totaal Negatief 2 8 2" xfId="1239"/>
    <cellStyle name="Tabelstandaard Totaal Negatief 2 8 2 2" xfId="2326"/>
    <cellStyle name="Tabelstandaard Totaal Negatief 2 8 2 2 2" xfId="10094"/>
    <cellStyle name="Tabelstandaard Totaal Negatief 2 8 2 2 2 2" xfId="22392"/>
    <cellStyle name="Tabelstandaard Totaal Negatief 2 8 2 2 2 3" xfId="34444"/>
    <cellStyle name="Tabelstandaard Totaal Negatief 2 8 2 2 2 4" xfId="42418"/>
    <cellStyle name="Tabelstandaard Totaal Negatief 2 8 2 2 2 5" xfId="55059"/>
    <cellStyle name="Tabelstandaard Totaal Negatief 2 8 2 2 3" xfId="15914"/>
    <cellStyle name="Tabelstandaard Totaal Negatief 2 8 2 2 4" xfId="27966"/>
    <cellStyle name="Tabelstandaard Totaal Negatief 2 8 2 2 5" xfId="45102"/>
    <cellStyle name="Tabelstandaard Totaal Negatief 2 8 2 2 6" xfId="49173"/>
    <cellStyle name="Tabelstandaard Totaal Negatief 2 8 2 2 7" xfId="5568"/>
    <cellStyle name="Tabelstandaard Totaal Negatief 2 8 2 3" xfId="3250"/>
    <cellStyle name="Tabelstandaard Totaal Negatief 2 8 2 3 2" xfId="15915"/>
    <cellStyle name="Tabelstandaard Totaal Negatief 2 8 2 3 3" xfId="27967"/>
    <cellStyle name="Tabelstandaard Totaal Negatief 2 8 2 3 4" xfId="39130"/>
    <cellStyle name="Tabelstandaard Totaal Negatief 2 8 2 3 5" xfId="49174"/>
    <cellStyle name="Tabelstandaard Totaal Negatief 2 8 2 4" xfId="7135"/>
    <cellStyle name="Tabelstandaard Totaal Negatief 2 8 2 4 2" xfId="19433"/>
    <cellStyle name="Tabelstandaard Totaal Negatief 2 8 2 4 3" xfId="41236"/>
    <cellStyle name="Tabelstandaard Totaal Negatief 2 8 2 4 4" xfId="36955"/>
    <cellStyle name="Tabelstandaard Totaal Negatief 2 8 2 4 5" xfId="52105"/>
    <cellStyle name="Tabelstandaard Totaal Negatief 2 8 2 5" xfId="15913"/>
    <cellStyle name="Tabelstandaard Totaal Negatief 2 8 3" xfId="2084"/>
    <cellStyle name="Tabelstandaard Totaal Negatief 2 8 3 2" xfId="10095"/>
    <cellStyle name="Tabelstandaard Totaal Negatief 2 8 3 2 2" xfId="22393"/>
    <cellStyle name="Tabelstandaard Totaal Negatief 2 8 3 2 3" xfId="34445"/>
    <cellStyle name="Tabelstandaard Totaal Negatief 2 8 3 2 4" xfId="31824"/>
    <cellStyle name="Tabelstandaard Totaal Negatief 2 8 3 2 5" xfId="55060"/>
    <cellStyle name="Tabelstandaard Totaal Negatief 2 8 3 3" xfId="15916"/>
    <cellStyle name="Tabelstandaard Totaal Negatief 2 8 3 4" xfId="27968"/>
    <cellStyle name="Tabelstandaard Totaal Negatief 2 8 3 5" xfId="45101"/>
    <cellStyle name="Tabelstandaard Totaal Negatief 2 8 3 6" xfId="49175"/>
    <cellStyle name="Tabelstandaard Totaal Negatief 2 8 4" xfId="5569"/>
    <cellStyle name="Tabelstandaard Totaal Negatief 2 8 4 2" xfId="15917"/>
    <cellStyle name="Tabelstandaard Totaal Negatief 2 8 4 3" xfId="27969"/>
    <cellStyle name="Tabelstandaard Totaal Negatief 2 8 4 4" xfId="39129"/>
    <cellStyle name="Tabelstandaard Totaal Negatief 2 8 4 5" xfId="49176"/>
    <cellStyle name="Tabelstandaard Totaal Negatief 2 8 5" xfId="7501"/>
    <cellStyle name="Tabelstandaard Totaal Negatief 2 8 5 2" xfId="19799"/>
    <cellStyle name="Tabelstandaard Totaal Negatief 2 8 5 3" xfId="41602"/>
    <cellStyle name="Tabelstandaard Totaal Negatief 2 8 5 4" xfId="14107"/>
    <cellStyle name="Tabelstandaard Totaal Negatief 2 8 5 5" xfId="52471"/>
    <cellStyle name="Tabelstandaard Totaal Negatief 2 8 6" xfId="15912"/>
    <cellStyle name="Tabelstandaard Totaal Negatief 2 9" xfId="754"/>
    <cellStyle name="Tabelstandaard Totaal Negatief 2 9 2" xfId="1281"/>
    <cellStyle name="Tabelstandaard Totaal Negatief 2 9 2 2" xfId="2335"/>
    <cellStyle name="Tabelstandaard Totaal Negatief 2 9 2 2 2" xfId="10098"/>
    <cellStyle name="Tabelstandaard Totaal Negatief 2 9 2 2 2 2" xfId="22396"/>
    <cellStyle name="Tabelstandaard Totaal Negatief 2 9 2 2 2 3" xfId="34448"/>
    <cellStyle name="Tabelstandaard Totaal Negatief 2 9 2 2 2 4" xfId="42416"/>
    <cellStyle name="Tabelstandaard Totaal Negatief 2 9 2 2 2 5" xfId="55063"/>
    <cellStyle name="Tabelstandaard Totaal Negatief 2 9 2 2 3" xfId="15920"/>
    <cellStyle name="Tabelstandaard Totaal Negatief 2 9 2 2 4" xfId="27972"/>
    <cellStyle name="Tabelstandaard Totaal Negatief 2 9 2 2 5" xfId="45099"/>
    <cellStyle name="Tabelstandaard Totaal Negatief 2 9 2 2 6" xfId="49177"/>
    <cellStyle name="Tabelstandaard Totaal Negatief 2 9 2 2 7" xfId="5570"/>
    <cellStyle name="Tabelstandaard Totaal Negatief 2 9 2 3" xfId="3292"/>
    <cellStyle name="Tabelstandaard Totaal Negatief 2 9 2 3 2" xfId="15921"/>
    <cellStyle name="Tabelstandaard Totaal Negatief 2 9 2 3 3" xfId="27973"/>
    <cellStyle name="Tabelstandaard Totaal Negatief 2 9 2 3 4" xfId="39127"/>
    <cellStyle name="Tabelstandaard Totaal Negatief 2 9 2 3 5" xfId="49178"/>
    <cellStyle name="Tabelstandaard Totaal Negatief 2 9 2 4" xfId="7095"/>
    <cellStyle name="Tabelstandaard Totaal Negatief 2 9 2 4 2" xfId="19393"/>
    <cellStyle name="Tabelstandaard Totaal Negatief 2 9 2 4 3" xfId="41196"/>
    <cellStyle name="Tabelstandaard Totaal Negatief 2 9 2 4 4" xfId="36978"/>
    <cellStyle name="Tabelstandaard Totaal Negatief 2 9 2 4 5" xfId="52066"/>
    <cellStyle name="Tabelstandaard Totaal Negatief 2 9 2 5" xfId="15919"/>
    <cellStyle name="Tabelstandaard Totaal Negatief 2 9 3" xfId="1617"/>
    <cellStyle name="Tabelstandaard Totaal Negatief 2 9 3 2" xfId="10099"/>
    <cellStyle name="Tabelstandaard Totaal Negatief 2 9 3 2 2" xfId="22397"/>
    <cellStyle name="Tabelstandaard Totaal Negatief 2 9 3 2 3" xfId="34449"/>
    <cellStyle name="Tabelstandaard Totaal Negatief 2 9 3 2 4" xfId="31711"/>
    <cellStyle name="Tabelstandaard Totaal Negatief 2 9 3 2 5" xfId="55064"/>
    <cellStyle name="Tabelstandaard Totaal Negatief 2 9 3 3" xfId="15922"/>
    <cellStyle name="Tabelstandaard Totaal Negatief 2 9 3 4" xfId="27974"/>
    <cellStyle name="Tabelstandaard Totaal Negatief 2 9 3 5" xfId="39126"/>
    <cellStyle name="Tabelstandaard Totaal Negatief 2 9 3 6" xfId="49179"/>
    <cellStyle name="Tabelstandaard Totaal Negatief 2 9 4" xfId="5571"/>
    <cellStyle name="Tabelstandaard Totaal Negatief 2 9 4 2" xfId="15923"/>
    <cellStyle name="Tabelstandaard Totaal Negatief 2 9 4 3" xfId="27975"/>
    <cellStyle name="Tabelstandaard Totaal Negatief 2 9 4 4" xfId="39125"/>
    <cellStyle name="Tabelstandaard Totaal Negatief 2 9 4 5" xfId="49180"/>
    <cellStyle name="Tabelstandaard Totaal Negatief 2 9 5" xfId="7478"/>
    <cellStyle name="Tabelstandaard Totaal Negatief 2 9 5 2" xfId="19776"/>
    <cellStyle name="Tabelstandaard Totaal Negatief 2 9 5 3" xfId="41579"/>
    <cellStyle name="Tabelstandaard Totaal Negatief 2 9 5 4" xfId="43492"/>
    <cellStyle name="Tabelstandaard Totaal Negatief 2 9 5 5" xfId="52448"/>
    <cellStyle name="Tabelstandaard Totaal Negatief 2 9 6" xfId="15918"/>
    <cellStyle name="Tabelstandaard Totaal Negatief 3" xfId="118"/>
    <cellStyle name="Tabelstandaard Totaal Negatief 3 10" xfId="5572"/>
    <cellStyle name="Tabelstandaard Totaal Negatief 3 10 2" xfId="10101"/>
    <cellStyle name="Tabelstandaard Totaal Negatief 3 10 2 2" xfId="22399"/>
    <cellStyle name="Tabelstandaard Totaal Negatief 3 10 2 3" xfId="34451"/>
    <cellStyle name="Tabelstandaard Totaal Negatief 3 10 2 4" xfId="28609"/>
    <cellStyle name="Tabelstandaard Totaal Negatief 3 10 2 5" xfId="55066"/>
    <cellStyle name="Tabelstandaard Totaal Negatief 3 10 3" xfId="15925"/>
    <cellStyle name="Tabelstandaard Totaal Negatief 3 10 4" xfId="27977"/>
    <cellStyle name="Tabelstandaard Totaal Negatief 3 10 5" xfId="39124"/>
    <cellStyle name="Tabelstandaard Totaal Negatief 3 10 6" xfId="49181"/>
    <cellStyle name="Tabelstandaard Totaal Negatief 3 11" xfId="5573"/>
    <cellStyle name="Tabelstandaard Totaal Negatief 3 11 2" xfId="10102"/>
    <cellStyle name="Tabelstandaard Totaal Negatief 3 11 2 2" xfId="22400"/>
    <cellStyle name="Tabelstandaard Totaal Negatief 3 11 2 3" xfId="34452"/>
    <cellStyle name="Tabelstandaard Totaal Negatief 3 11 2 4" xfId="31643"/>
    <cellStyle name="Tabelstandaard Totaal Negatief 3 11 2 5" xfId="55067"/>
    <cellStyle name="Tabelstandaard Totaal Negatief 3 11 3" xfId="15926"/>
    <cellStyle name="Tabelstandaard Totaal Negatief 3 11 4" xfId="27978"/>
    <cellStyle name="Tabelstandaard Totaal Negatief 3 11 5" xfId="45097"/>
    <cellStyle name="Tabelstandaard Totaal Negatief 3 11 6" xfId="49182"/>
    <cellStyle name="Tabelstandaard Totaal Negatief 3 12" xfId="5574"/>
    <cellStyle name="Tabelstandaard Totaal Negatief 3 12 2" xfId="10103"/>
    <cellStyle name="Tabelstandaard Totaal Negatief 3 12 2 2" xfId="22401"/>
    <cellStyle name="Tabelstandaard Totaal Negatief 3 12 2 3" xfId="34453"/>
    <cellStyle name="Tabelstandaard Totaal Negatief 3 12 2 4" xfId="28616"/>
    <cellStyle name="Tabelstandaard Totaal Negatief 3 12 2 5" xfId="55068"/>
    <cellStyle name="Tabelstandaard Totaal Negatief 3 12 3" xfId="15927"/>
    <cellStyle name="Tabelstandaard Totaal Negatief 3 12 4" xfId="27979"/>
    <cellStyle name="Tabelstandaard Totaal Negatief 3 12 5" xfId="39123"/>
    <cellStyle name="Tabelstandaard Totaal Negatief 3 12 6" xfId="49183"/>
    <cellStyle name="Tabelstandaard Totaal Negatief 3 13" xfId="5575"/>
    <cellStyle name="Tabelstandaard Totaal Negatief 3 13 2" xfId="10104"/>
    <cellStyle name="Tabelstandaard Totaal Negatief 3 13 2 2" xfId="22402"/>
    <cellStyle name="Tabelstandaard Totaal Negatief 3 13 2 3" xfId="34454"/>
    <cellStyle name="Tabelstandaard Totaal Negatief 3 13 2 4" xfId="42414"/>
    <cellStyle name="Tabelstandaard Totaal Negatief 3 13 2 5" xfId="55069"/>
    <cellStyle name="Tabelstandaard Totaal Negatief 3 13 3" xfId="15928"/>
    <cellStyle name="Tabelstandaard Totaal Negatief 3 13 4" xfId="27980"/>
    <cellStyle name="Tabelstandaard Totaal Negatief 3 13 5" xfId="45096"/>
    <cellStyle name="Tabelstandaard Totaal Negatief 3 13 6" xfId="49184"/>
    <cellStyle name="Tabelstandaard Totaal Negatief 3 14" xfId="5576"/>
    <cellStyle name="Tabelstandaard Totaal Negatief 3 14 2" xfId="15929"/>
    <cellStyle name="Tabelstandaard Totaal Negatief 3 14 3" xfId="27981"/>
    <cellStyle name="Tabelstandaard Totaal Negatief 3 14 4" xfId="39122"/>
    <cellStyle name="Tabelstandaard Totaal Negatief 3 14 5" xfId="49185"/>
    <cellStyle name="Tabelstandaard Totaal Negatief 3 15" xfId="7791"/>
    <cellStyle name="Tabelstandaard Totaal Negatief 3 15 2" xfId="31611"/>
    <cellStyle name="Tabelstandaard Totaal Negatief 3 16" xfId="15924"/>
    <cellStyle name="Tabelstandaard Totaal Negatief 3 2" xfId="136"/>
    <cellStyle name="Tabelstandaard Totaal Negatief 3 2 10" xfId="5577"/>
    <cellStyle name="Tabelstandaard Totaal Negatief 3 2 10 2" xfId="10106"/>
    <cellStyle name="Tabelstandaard Totaal Negatief 3 2 10 2 2" xfId="22404"/>
    <cellStyle name="Tabelstandaard Totaal Negatief 3 2 10 2 3" xfId="34456"/>
    <cellStyle name="Tabelstandaard Totaal Negatief 3 2 10 2 4" xfId="42413"/>
    <cellStyle name="Tabelstandaard Totaal Negatief 3 2 10 2 5" xfId="55071"/>
    <cellStyle name="Tabelstandaard Totaal Negatief 3 2 10 3" xfId="15931"/>
    <cellStyle name="Tabelstandaard Totaal Negatief 3 2 10 4" xfId="27983"/>
    <cellStyle name="Tabelstandaard Totaal Negatief 3 2 10 5" xfId="39121"/>
    <cellStyle name="Tabelstandaard Totaal Negatief 3 2 10 6" xfId="49186"/>
    <cellStyle name="Tabelstandaard Totaal Negatief 3 2 11" xfId="5578"/>
    <cellStyle name="Tabelstandaard Totaal Negatief 3 2 11 2" xfId="10107"/>
    <cellStyle name="Tabelstandaard Totaal Negatief 3 2 11 2 2" xfId="22405"/>
    <cellStyle name="Tabelstandaard Totaal Negatief 3 2 11 2 3" xfId="34457"/>
    <cellStyle name="Tabelstandaard Totaal Negatief 3 2 11 2 4" xfId="28623"/>
    <cellStyle name="Tabelstandaard Totaal Negatief 3 2 11 2 5" xfId="55072"/>
    <cellStyle name="Tabelstandaard Totaal Negatief 3 2 11 3" xfId="15932"/>
    <cellStyle name="Tabelstandaard Totaal Negatief 3 2 11 4" xfId="27984"/>
    <cellStyle name="Tabelstandaard Totaal Negatief 3 2 11 5" xfId="45094"/>
    <cellStyle name="Tabelstandaard Totaal Negatief 3 2 11 6" xfId="49187"/>
    <cellStyle name="Tabelstandaard Totaal Negatief 3 2 12" xfId="5579"/>
    <cellStyle name="Tabelstandaard Totaal Negatief 3 2 12 2" xfId="10108"/>
    <cellStyle name="Tabelstandaard Totaal Negatief 3 2 12 2 2" xfId="22406"/>
    <cellStyle name="Tabelstandaard Totaal Negatief 3 2 12 2 3" xfId="34458"/>
    <cellStyle name="Tabelstandaard Totaal Negatief 3 2 12 2 4" xfId="42412"/>
    <cellStyle name="Tabelstandaard Totaal Negatief 3 2 12 2 5" xfId="55073"/>
    <cellStyle name="Tabelstandaard Totaal Negatief 3 2 12 3" xfId="15933"/>
    <cellStyle name="Tabelstandaard Totaal Negatief 3 2 12 4" xfId="27985"/>
    <cellStyle name="Tabelstandaard Totaal Negatief 3 2 12 5" xfId="39120"/>
    <cellStyle name="Tabelstandaard Totaal Negatief 3 2 12 6" xfId="49188"/>
    <cellStyle name="Tabelstandaard Totaal Negatief 3 2 13" xfId="5580"/>
    <cellStyle name="Tabelstandaard Totaal Negatief 3 2 13 2" xfId="15934"/>
    <cellStyle name="Tabelstandaard Totaal Negatief 3 2 13 3" xfId="27986"/>
    <cellStyle name="Tabelstandaard Totaal Negatief 3 2 13 4" xfId="39119"/>
    <cellStyle name="Tabelstandaard Totaal Negatief 3 2 13 5" xfId="49189"/>
    <cellStyle name="Tabelstandaard Totaal Negatief 3 2 14" xfId="7783"/>
    <cellStyle name="Tabelstandaard Totaal Negatief 3 2 14 2" xfId="20081"/>
    <cellStyle name="Tabelstandaard Totaal Negatief 3 2 14 3" xfId="41884"/>
    <cellStyle name="Tabelstandaard Totaal Negatief 3 2 14 4" xfId="31785"/>
    <cellStyle name="Tabelstandaard Totaal Negatief 3 2 14 5" xfId="52753"/>
    <cellStyle name="Tabelstandaard Totaal Negatief 3 2 15" xfId="15930"/>
    <cellStyle name="Tabelstandaard Totaal Negatief 3 2 16" xfId="214"/>
    <cellStyle name="Tabelstandaard Totaal Negatief 3 2 2" xfId="145"/>
    <cellStyle name="Tabelstandaard Totaal Negatief 3 2 2 10" xfId="251"/>
    <cellStyle name="Tabelstandaard Totaal Negatief 3 2 2 2" xfId="394"/>
    <cellStyle name="Tabelstandaard Totaal Negatief 3 2 2 2 2" xfId="1148"/>
    <cellStyle name="Tabelstandaard Totaal Negatief 3 2 2 2 2 2" xfId="2020"/>
    <cellStyle name="Tabelstandaard Totaal Negatief 3 2 2 2 2 2 2" xfId="10112"/>
    <cellStyle name="Tabelstandaard Totaal Negatief 3 2 2 2 2 2 2 2" xfId="22410"/>
    <cellStyle name="Tabelstandaard Totaal Negatief 3 2 2 2 2 2 2 3" xfId="34462"/>
    <cellStyle name="Tabelstandaard Totaal Negatief 3 2 2 2 2 2 2 4" xfId="42410"/>
    <cellStyle name="Tabelstandaard Totaal Negatief 3 2 2 2 2 2 2 5" xfId="55077"/>
    <cellStyle name="Tabelstandaard Totaal Negatief 3 2 2 2 2 2 3" xfId="15938"/>
    <cellStyle name="Tabelstandaard Totaal Negatief 3 2 2 2 2 2 4" xfId="27990"/>
    <cellStyle name="Tabelstandaard Totaal Negatief 3 2 2 2 2 2 5" xfId="45092"/>
    <cellStyle name="Tabelstandaard Totaal Negatief 3 2 2 2 2 2 6" xfId="49190"/>
    <cellStyle name="Tabelstandaard Totaal Negatief 3 2 2 2 2 2 7" xfId="5581"/>
    <cellStyle name="Tabelstandaard Totaal Negatief 3 2 2 2 2 3" xfId="3159"/>
    <cellStyle name="Tabelstandaard Totaal Negatief 3 2 2 2 2 3 2" xfId="15939"/>
    <cellStyle name="Tabelstandaard Totaal Negatief 3 2 2 2 2 3 3" xfId="27991"/>
    <cellStyle name="Tabelstandaard Totaal Negatief 3 2 2 2 2 3 4" xfId="39117"/>
    <cellStyle name="Tabelstandaard Totaal Negatief 3 2 2 2 2 3 5" xfId="49191"/>
    <cellStyle name="Tabelstandaard Totaal Negatief 3 2 2 2 2 4" xfId="7211"/>
    <cellStyle name="Tabelstandaard Totaal Negatief 3 2 2 2 2 4 2" xfId="19509"/>
    <cellStyle name="Tabelstandaard Totaal Negatief 3 2 2 2 2 4 3" xfId="41312"/>
    <cellStyle name="Tabelstandaard Totaal Negatief 3 2 2 2 2 4 4" xfId="36911"/>
    <cellStyle name="Tabelstandaard Totaal Negatief 3 2 2 2 2 4 5" xfId="52181"/>
    <cellStyle name="Tabelstandaard Totaal Negatief 3 2 2 2 2 5" xfId="15937"/>
    <cellStyle name="Tabelstandaard Totaal Negatief 3 2 2 2 3" xfId="1333"/>
    <cellStyle name="Tabelstandaard Totaal Negatief 3 2 2 2 3 2" xfId="3344"/>
    <cellStyle name="Tabelstandaard Totaal Negatief 3 2 2 2 3 2 2" xfId="10114"/>
    <cellStyle name="Tabelstandaard Totaal Negatief 3 2 2 2 3 2 2 2" xfId="22412"/>
    <cellStyle name="Tabelstandaard Totaal Negatief 3 2 2 2 3 2 2 3" xfId="34464"/>
    <cellStyle name="Tabelstandaard Totaal Negatief 3 2 2 2 3 2 2 4" xfId="28640"/>
    <cellStyle name="Tabelstandaard Totaal Negatief 3 2 2 2 3 2 2 5" xfId="55079"/>
    <cellStyle name="Tabelstandaard Totaal Negatief 3 2 2 2 3 2 3" xfId="15941"/>
    <cellStyle name="Tabelstandaard Totaal Negatief 3 2 2 2 3 2 4" xfId="27993"/>
    <cellStyle name="Tabelstandaard Totaal Negatief 3 2 2 2 3 2 5" xfId="39116"/>
    <cellStyle name="Tabelstandaard Totaal Negatief 3 2 2 2 3 2 6" xfId="49192"/>
    <cellStyle name="Tabelstandaard Totaal Negatief 3 2 2 2 3 3" xfId="5582"/>
    <cellStyle name="Tabelstandaard Totaal Negatief 3 2 2 2 3 3 2" xfId="15942"/>
    <cellStyle name="Tabelstandaard Totaal Negatief 3 2 2 2 3 3 3" xfId="27994"/>
    <cellStyle name="Tabelstandaard Totaal Negatief 3 2 2 2 3 3 4" xfId="45090"/>
    <cellStyle name="Tabelstandaard Totaal Negatief 3 2 2 2 3 3 5" xfId="49193"/>
    <cellStyle name="Tabelstandaard Totaal Negatief 3 2 2 2 3 4" xfId="7047"/>
    <cellStyle name="Tabelstandaard Totaal Negatief 3 2 2 2 3 4 2" xfId="19345"/>
    <cellStyle name="Tabelstandaard Totaal Negatief 3 2 2 2 3 4 3" xfId="41148"/>
    <cellStyle name="Tabelstandaard Totaal Negatief 3 2 2 2 3 4 4" xfId="37006"/>
    <cellStyle name="Tabelstandaard Totaal Negatief 3 2 2 2 3 4 5" xfId="52018"/>
    <cellStyle name="Tabelstandaard Totaal Negatief 3 2 2 2 3 5" xfId="15940"/>
    <cellStyle name="Tabelstandaard Totaal Negatief 3 2 2 2 4" xfId="1832"/>
    <cellStyle name="Tabelstandaard Totaal Negatief 3 2 2 2 4 2" xfId="10115"/>
    <cellStyle name="Tabelstandaard Totaal Negatief 3 2 2 2 4 2 2" xfId="22413"/>
    <cellStyle name="Tabelstandaard Totaal Negatief 3 2 2 2 4 2 3" xfId="34465"/>
    <cellStyle name="Tabelstandaard Totaal Negatief 3 2 2 2 4 2 4" xfId="31808"/>
    <cellStyle name="Tabelstandaard Totaal Negatief 3 2 2 2 4 2 5" xfId="55080"/>
    <cellStyle name="Tabelstandaard Totaal Negatief 3 2 2 2 4 3" xfId="15943"/>
    <cellStyle name="Tabelstandaard Totaal Negatief 3 2 2 2 4 4" xfId="27995"/>
    <cellStyle name="Tabelstandaard Totaal Negatief 3 2 2 2 4 5" xfId="39115"/>
    <cellStyle name="Tabelstandaard Totaal Negatief 3 2 2 2 4 6" xfId="49194"/>
    <cellStyle name="Tabelstandaard Totaal Negatief 3 2 2 2 5" xfId="5583"/>
    <cellStyle name="Tabelstandaard Totaal Negatief 3 2 2 2 5 2" xfId="15944"/>
    <cellStyle name="Tabelstandaard Totaal Negatief 3 2 2 2 5 3" xfId="27996"/>
    <cellStyle name="Tabelstandaard Totaal Negatief 3 2 2 2 5 4" xfId="45089"/>
    <cellStyle name="Tabelstandaard Totaal Negatief 3 2 2 2 5 5" xfId="49195"/>
    <cellStyle name="Tabelstandaard Totaal Negatief 3 2 2 2 6" xfId="7722"/>
    <cellStyle name="Tabelstandaard Totaal Negatief 3 2 2 2 6 2" xfId="20020"/>
    <cellStyle name="Tabelstandaard Totaal Negatief 3 2 2 2 6 3" xfId="41823"/>
    <cellStyle name="Tabelstandaard Totaal Negatief 3 2 2 2 6 4" xfId="43390"/>
    <cellStyle name="Tabelstandaard Totaal Negatief 3 2 2 2 6 5" xfId="52692"/>
    <cellStyle name="Tabelstandaard Totaal Negatief 3 2 2 2 7" xfId="15936"/>
    <cellStyle name="Tabelstandaard Totaal Negatief 3 2 2 3" xfId="377"/>
    <cellStyle name="Tabelstandaard Totaal Negatief 3 2 2 3 2" xfId="545"/>
    <cellStyle name="Tabelstandaard Totaal Negatief 3 2 2 3 2 2" xfId="2165"/>
    <cellStyle name="Tabelstandaard Totaal Negatief 3 2 2 3 2 2 2" xfId="10118"/>
    <cellStyle name="Tabelstandaard Totaal Negatief 3 2 2 3 2 2 2 2" xfId="22416"/>
    <cellStyle name="Tabelstandaard Totaal Negatief 3 2 2 3 2 2 2 3" xfId="34468"/>
    <cellStyle name="Tabelstandaard Totaal Negatief 3 2 2 3 2 2 2 4" xfId="42408"/>
    <cellStyle name="Tabelstandaard Totaal Negatief 3 2 2 3 2 2 2 5" xfId="55083"/>
    <cellStyle name="Tabelstandaard Totaal Negatief 3 2 2 3 2 2 3" xfId="15947"/>
    <cellStyle name="Tabelstandaard Totaal Negatief 3 2 2 3 2 2 4" xfId="27999"/>
    <cellStyle name="Tabelstandaard Totaal Negatief 3 2 2 3 2 2 5" xfId="39112"/>
    <cellStyle name="Tabelstandaard Totaal Negatief 3 2 2 3 2 2 6" xfId="49196"/>
    <cellStyle name="Tabelstandaard Totaal Negatief 3 2 2 3 2 2 7" xfId="5584"/>
    <cellStyle name="Tabelstandaard Totaal Negatief 3 2 2 3 2 3" xfId="2616"/>
    <cellStyle name="Tabelstandaard Totaal Negatief 3 2 2 3 2 3 2" xfId="15948"/>
    <cellStyle name="Tabelstandaard Totaal Negatief 3 2 2 3 2 3 3" xfId="28000"/>
    <cellStyle name="Tabelstandaard Totaal Negatief 3 2 2 3 2 3 4" xfId="45088"/>
    <cellStyle name="Tabelstandaard Totaal Negatief 3 2 2 3 2 3 5" xfId="49197"/>
    <cellStyle name="Tabelstandaard Totaal Negatief 3 2 2 3 2 4" xfId="7618"/>
    <cellStyle name="Tabelstandaard Totaal Negatief 3 2 2 3 2 4 2" xfId="19916"/>
    <cellStyle name="Tabelstandaard Totaal Negatief 3 2 2 3 2 4 3" xfId="41719"/>
    <cellStyle name="Tabelstandaard Totaal Negatief 3 2 2 3 2 4 4" xfId="24929"/>
    <cellStyle name="Tabelstandaard Totaal Negatief 3 2 2 3 2 4 5" xfId="52588"/>
    <cellStyle name="Tabelstandaard Totaal Negatief 3 2 2 3 2 5" xfId="15946"/>
    <cellStyle name="Tabelstandaard Totaal Negatief 3 2 2 3 3" xfId="1300"/>
    <cellStyle name="Tabelstandaard Totaal Negatief 3 2 2 3 3 2" xfId="3311"/>
    <cellStyle name="Tabelstandaard Totaal Negatief 3 2 2 3 3 2 2" xfId="10120"/>
    <cellStyle name="Tabelstandaard Totaal Negatief 3 2 2 3 3 2 2 2" xfId="22418"/>
    <cellStyle name="Tabelstandaard Totaal Negatief 3 2 2 3 3 2 2 3" xfId="34470"/>
    <cellStyle name="Tabelstandaard Totaal Negatief 3 2 2 3 3 2 2 4" xfId="28651"/>
    <cellStyle name="Tabelstandaard Totaal Negatief 3 2 2 3 3 2 2 5" xfId="55085"/>
    <cellStyle name="Tabelstandaard Totaal Negatief 3 2 2 3 3 2 3" xfId="15950"/>
    <cellStyle name="Tabelstandaard Totaal Negatief 3 2 2 3 3 2 4" xfId="28002"/>
    <cellStyle name="Tabelstandaard Totaal Negatief 3 2 2 3 3 2 5" xfId="45087"/>
    <cellStyle name="Tabelstandaard Totaal Negatief 3 2 2 3 3 2 6" xfId="49198"/>
    <cellStyle name="Tabelstandaard Totaal Negatief 3 2 2 3 3 3" xfId="5585"/>
    <cellStyle name="Tabelstandaard Totaal Negatief 3 2 2 3 3 3 2" xfId="15951"/>
    <cellStyle name="Tabelstandaard Totaal Negatief 3 2 2 3 3 3 3" xfId="28003"/>
    <cellStyle name="Tabelstandaard Totaal Negatief 3 2 2 3 3 3 4" xfId="39110"/>
    <cellStyle name="Tabelstandaard Totaal Negatief 3 2 2 3 3 3 5" xfId="49199"/>
    <cellStyle name="Tabelstandaard Totaal Negatief 3 2 2 3 3 4" xfId="7077"/>
    <cellStyle name="Tabelstandaard Totaal Negatief 3 2 2 3 3 4 2" xfId="19375"/>
    <cellStyle name="Tabelstandaard Totaal Negatief 3 2 2 3 3 4 3" xfId="41178"/>
    <cellStyle name="Tabelstandaard Totaal Negatief 3 2 2 3 3 4 4" xfId="36989"/>
    <cellStyle name="Tabelstandaard Totaal Negatief 3 2 2 3 3 4 5" xfId="52048"/>
    <cellStyle name="Tabelstandaard Totaal Negatief 3 2 2 3 3 5" xfId="15949"/>
    <cellStyle name="Tabelstandaard Totaal Negatief 3 2 2 3 4" xfId="2236"/>
    <cellStyle name="Tabelstandaard Totaal Negatief 3 2 2 3 4 2" xfId="10121"/>
    <cellStyle name="Tabelstandaard Totaal Negatief 3 2 2 3 4 2 2" xfId="22419"/>
    <cellStyle name="Tabelstandaard Totaal Negatief 3 2 2 3 4 2 3" xfId="34471"/>
    <cellStyle name="Tabelstandaard Totaal Negatief 3 2 2 3 4 2 4" xfId="42407"/>
    <cellStyle name="Tabelstandaard Totaal Negatief 3 2 2 3 4 2 5" xfId="55086"/>
    <cellStyle name="Tabelstandaard Totaal Negatief 3 2 2 3 4 3" xfId="15952"/>
    <cellStyle name="Tabelstandaard Totaal Negatief 3 2 2 3 4 4" xfId="28004"/>
    <cellStyle name="Tabelstandaard Totaal Negatief 3 2 2 3 4 5" xfId="45086"/>
    <cellStyle name="Tabelstandaard Totaal Negatief 3 2 2 3 4 6" xfId="49200"/>
    <cellStyle name="Tabelstandaard Totaal Negatief 3 2 2 3 5" xfId="5586"/>
    <cellStyle name="Tabelstandaard Totaal Negatief 3 2 2 3 5 2" xfId="15953"/>
    <cellStyle name="Tabelstandaard Totaal Negatief 3 2 2 3 5 3" xfId="28005"/>
    <cellStyle name="Tabelstandaard Totaal Negatief 3 2 2 3 5 4" xfId="39109"/>
    <cellStyle name="Tabelstandaard Totaal Negatief 3 2 2 3 5 5" xfId="49201"/>
    <cellStyle name="Tabelstandaard Totaal Negatief 3 2 2 3 6" xfId="10417"/>
    <cellStyle name="Tabelstandaard Totaal Negatief 3 2 2 3 6 2" xfId="22715"/>
    <cellStyle name="Tabelstandaard Totaal Negatief 3 2 2 3 6 3" xfId="44475"/>
    <cellStyle name="Tabelstandaard Totaal Negatief 3 2 2 3 6 4" xfId="31588"/>
    <cellStyle name="Tabelstandaard Totaal Negatief 3 2 2 3 6 5" xfId="55382"/>
    <cellStyle name="Tabelstandaard Totaal Negatief 3 2 2 3 7" xfId="15945"/>
    <cellStyle name="Tabelstandaard Totaal Negatief 3 2 2 4" xfId="348"/>
    <cellStyle name="Tabelstandaard Totaal Negatief 3 2 2 4 2" xfId="626"/>
    <cellStyle name="Tabelstandaard Totaal Negatief 3 2 2 4 2 2" xfId="1805"/>
    <cellStyle name="Tabelstandaard Totaal Negatief 3 2 2 4 2 2 2" xfId="10124"/>
    <cellStyle name="Tabelstandaard Totaal Negatief 3 2 2 4 2 2 2 2" xfId="22422"/>
    <cellStyle name="Tabelstandaard Totaal Negatief 3 2 2 4 2 2 2 3" xfId="34474"/>
    <cellStyle name="Tabelstandaard Totaal Negatief 3 2 2 4 2 2 2 4" xfId="28658"/>
    <cellStyle name="Tabelstandaard Totaal Negatief 3 2 2 4 2 2 2 5" xfId="55089"/>
    <cellStyle name="Tabelstandaard Totaal Negatief 3 2 2 4 2 2 3" xfId="15956"/>
    <cellStyle name="Tabelstandaard Totaal Negatief 3 2 2 4 2 2 4" xfId="28008"/>
    <cellStyle name="Tabelstandaard Totaal Negatief 3 2 2 4 2 2 5" xfId="45084"/>
    <cellStyle name="Tabelstandaard Totaal Negatief 3 2 2 4 2 2 6" xfId="49202"/>
    <cellStyle name="Tabelstandaard Totaal Negatief 3 2 2 4 2 3" xfId="5587"/>
    <cellStyle name="Tabelstandaard Totaal Negatief 3 2 2 4 2 3 2" xfId="15957"/>
    <cellStyle name="Tabelstandaard Totaal Negatief 3 2 2 4 2 3 3" xfId="28009"/>
    <cellStyle name="Tabelstandaard Totaal Negatief 3 2 2 4 2 3 4" xfId="39107"/>
    <cellStyle name="Tabelstandaard Totaal Negatief 3 2 2 4 2 3 5" xfId="49203"/>
    <cellStyle name="Tabelstandaard Totaal Negatief 3 2 2 4 2 4" xfId="10255"/>
    <cellStyle name="Tabelstandaard Totaal Negatief 3 2 2 4 2 4 2" xfId="22553"/>
    <cellStyle name="Tabelstandaard Totaal Negatief 3 2 2 4 2 4 3" xfId="44314"/>
    <cellStyle name="Tabelstandaard Totaal Negatief 3 2 2 4 2 4 4" xfId="28927"/>
    <cellStyle name="Tabelstandaard Totaal Negatief 3 2 2 4 2 4 5" xfId="55220"/>
    <cellStyle name="Tabelstandaard Totaal Negatief 3 2 2 4 2 5" xfId="15955"/>
    <cellStyle name="Tabelstandaard Totaal Negatief 3 2 2 4 3" xfId="1294"/>
    <cellStyle name="Tabelstandaard Totaal Negatief 3 2 2 4 3 2" xfId="2252"/>
    <cellStyle name="Tabelstandaard Totaal Negatief 3 2 2 4 3 2 2" xfId="10126"/>
    <cellStyle name="Tabelstandaard Totaal Negatief 3 2 2 4 3 2 2 2" xfId="22424"/>
    <cellStyle name="Tabelstandaard Totaal Negatief 3 2 2 4 3 2 2 3" xfId="34476"/>
    <cellStyle name="Tabelstandaard Totaal Negatief 3 2 2 4 3 2 2 4" xfId="31583"/>
    <cellStyle name="Tabelstandaard Totaal Negatief 3 2 2 4 3 2 2 5" xfId="55091"/>
    <cellStyle name="Tabelstandaard Totaal Negatief 3 2 2 4 3 2 3" xfId="15959"/>
    <cellStyle name="Tabelstandaard Totaal Negatief 3 2 2 4 3 2 4" xfId="28011"/>
    <cellStyle name="Tabelstandaard Totaal Negatief 3 2 2 4 3 2 5" xfId="39106"/>
    <cellStyle name="Tabelstandaard Totaal Negatief 3 2 2 4 3 2 6" xfId="49204"/>
    <cellStyle name="Tabelstandaard Totaal Negatief 3 2 2 4 3 2 7" xfId="5588"/>
    <cellStyle name="Tabelstandaard Totaal Negatief 3 2 2 4 3 3" xfId="3305"/>
    <cellStyle name="Tabelstandaard Totaal Negatief 3 2 2 4 3 3 2" xfId="15960"/>
    <cellStyle name="Tabelstandaard Totaal Negatief 3 2 2 4 3 3 3" xfId="28012"/>
    <cellStyle name="Tabelstandaard Totaal Negatief 3 2 2 4 3 3 4" xfId="45083"/>
    <cellStyle name="Tabelstandaard Totaal Negatief 3 2 2 4 3 3 5" xfId="49205"/>
    <cellStyle name="Tabelstandaard Totaal Negatief 3 2 2 4 3 4" xfId="7082"/>
    <cellStyle name="Tabelstandaard Totaal Negatief 3 2 2 4 3 4 2" xfId="19380"/>
    <cellStyle name="Tabelstandaard Totaal Negatief 3 2 2 4 3 4 3" xfId="41183"/>
    <cellStyle name="Tabelstandaard Totaal Negatief 3 2 2 4 3 4 4" xfId="36986"/>
    <cellStyle name="Tabelstandaard Totaal Negatief 3 2 2 4 3 4 5" xfId="52053"/>
    <cellStyle name="Tabelstandaard Totaal Negatief 3 2 2 4 3 5" xfId="15958"/>
    <cellStyle name="Tabelstandaard Totaal Negatief 3 2 2 4 4" xfId="5589"/>
    <cellStyle name="Tabelstandaard Totaal Negatief 3 2 2 4 4 2" xfId="10127"/>
    <cellStyle name="Tabelstandaard Totaal Negatief 3 2 2 4 4 2 2" xfId="22425"/>
    <cellStyle name="Tabelstandaard Totaal Negatief 3 2 2 4 4 2 3" xfId="34477"/>
    <cellStyle name="Tabelstandaard Totaal Negatief 3 2 2 4 4 2 4" xfId="28665"/>
    <cellStyle name="Tabelstandaard Totaal Negatief 3 2 2 4 4 2 5" xfId="55092"/>
    <cellStyle name="Tabelstandaard Totaal Negatief 3 2 2 4 4 3" xfId="15961"/>
    <cellStyle name="Tabelstandaard Totaal Negatief 3 2 2 4 4 4" xfId="28013"/>
    <cellStyle name="Tabelstandaard Totaal Negatief 3 2 2 4 4 5" xfId="39105"/>
    <cellStyle name="Tabelstandaard Totaal Negatief 3 2 2 4 4 6" xfId="49206"/>
    <cellStyle name="Tabelstandaard Totaal Negatief 3 2 2 4 5" xfId="5590"/>
    <cellStyle name="Tabelstandaard Totaal Negatief 3 2 2 4 5 2" xfId="15962"/>
    <cellStyle name="Tabelstandaard Totaal Negatief 3 2 2 4 5 3" xfId="28014"/>
    <cellStyle name="Tabelstandaard Totaal Negatief 3 2 2 4 5 4" xfId="45082"/>
    <cellStyle name="Tabelstandaard Totaal Negatief 3 2 2 4 5 5" xfId="49207"/>
    <cellStyle name="Tabelstandaard Totaal Negatief 3 2 2 4 6" xfId="7751"/>
    <cellStyle name="Tabelstandaard Totaal Negatief 3 2 2 4 6 2" xfId="20049"/>
    <cellStyle name="Tabelstandaard Totaal Negatief 3 2 2 4 6 3" xfId="41852"/>
    <cellStyle name="Tabelstandaard Totaal Negatief 3 2 2 4 6 4" xfId="25199"/>
    <cellStyle name="Tabelstandaard Totaal Negatief 3 2 2 4 6 5" xfId="52721"/>
    <cellStyle name="Tabelstandaard Totaal Negatief 3 2 2 4 7" xfId="15954"/>
    <cellStyle name="Tabelstandaard Totaal Negatief 3 2 2 5" xfId="924"/>
    <cellStyle name="Tabelstandaard Totaal Negatief 3 2 2 5 2" xfId="2067"/>
    <cellStyle name="Tabelstandaard Totaal Negatief 3 2 2 5 2 2" xfId="10129"/>
    <cellStyle name="Tabelstandaard Totaal Negatief 3 2 2 5 2 2 2" xfId="22427"/>
    <cellStyle name="Tabelstandaard Totaal Negatief 3 2 2 5 2 2 3" xfId="34479"/>
    <cellStyle name="Tabelstandaard Totaal Negatief 3 2 2 5 2 2 4" xfId="31510"/>
    <cellStyle name="Tabelstandaard Totaal Negatief 3 2 2 5 2 2 5" xfId="55094"/>
    <cellStyle name="Tabelstandaard Totaal Negatief 3 2 2 5 2 3" xfId="15964"/>
    <cellStyle name="Tabelstandaard Totaal Negatief 3 2 2 5 2 4" xfId="28016"/>
    <cellStyle name="Tabelstandaard Totaal Negatief 3 2 2 5 2 5" xfId="45081"/>
    <cellStyle name="Tabelstandaard Totaal Negatief 3 2 2 5 2 6" xfId="49208"/>
    <cellStyle name="Tabelstandaard Totaal Negatief 3 2 2 5 2 7" xfId="5591"/>
    <cellStyle name="Tabelstandaard Totaal Negatief 3 2 2 5 3" xfId="2935"/>
    <cellStyle name="Tabelstandaard Totaal Negatief 3 2 2 5 3 2" xfId="15965"/>
    <cellStyle name="Tabelstandaard Totaal Negatief 3 2 2 5 3 3" xfId="28017"/>
    <cellStyle name="Tabelstandaard Totaal Negatief 3 2 2 5 3 4" xfId="39103"/>
    <cellStyle name="Tabelstandaard Totaal Negatief 3 2 2 5 3 5" xfId="49209"/>
    <cellStyle name="Tabelstandaard Totaal Negatief 3 2 2 5 4" xfId="10053"/>
    <cellStyle name="Tabelstandaard Totaal Negatief 3 2 2 5 4 2" xfId="22351"/>
    <cellStyle name="Tabelstandaard Totaal Negatief 3 2 2 5 4 3" xfId="44115"/>
    <cellStyle name="Tabelstandaard Totaal Negatief 3 2 2 5 4 4" xfId="42435"/>
    <cellStyle name="Tabelstandaard Totaal Negatief 3 2 2 5 4 5" xfId="55018"/>
    <cellStyle name="Tabelstandaard Totaal Negatief 3 2 2 5 5" xfId="15963"/>
    <cellStyle name="Tabelstandaard Totaal Negatief 3 2 2 6" xfId="2011"/>
    <cellStyle name="Tabelstandaard Totaal Negatief 3 2 2 6 2" xfId="10130"/>
    <cellStyle name="Tabelstandaard Totaal Negatief 3 2 2 6 2 2" xfId="22428"/>
    <cellStyle name="Tabelstandaard Totaal Negatief 3 2 2 6 2 3" xfId="34480"/>
    <cellStyle name="Tabelstandaard Totaal Negatief 3 2 2 6 2 4" xfId="42403"/>
    <cellStyle name="Tabelstandaard Totaal Negatief 3 2 2 6 2 5" xfId="55095"/>
    <cellStyle name="Tabelstandaard Totaal Negatief 3 2 2 6 3" xfId="15966"/>
    <cellStyle name="Tabelstandaard Totaal Negatief 3 2 2 6 4" xfId="28018"/>
    <cellStyle name="Tabelstandaard Totaal Negatief 3 2 2 6 5" xfId="45080"/>
    <cellStyle name="Tabelstandaard Totaal Negatief 3 2 2 6 6" xfId="49210"/>
    <cellStyle name="Tabelstandaard Totaal Negatief 3 2 2 7" xfId="5592"/>
    <cellStyle name="Tabelstandaard Totaal Negatief 3 2 2 7 2" xfId="15967"/>
    <cellStyle name="Tabelstandaard Totaal Negatief 3 2 2 7 3" xfId="28019"/>
    <cellStyle name="Tabelstandaard Totaal Negatief 3 2 2 7 4" xfId="39102"/>
    <cellStyle name="Tabelstandaard Totaal Negatief 3 2 2 7 5" xfId="49211"/>
    <cellStyle name="Tabelstandaard Totaal Negatief 3 2 2 8" xfId="7769"/>
    <cellStyle name="Tabelstandaard Totaal Negatief 3 2 2 8 2" xfId="20067"/>
    <cellStyle name="Tabelstandaard Totaal Negatief 3 2 2 8 3" xfId="41870"/>
    <cellStyle name="Tabelstandaard Totaal Negatief 3 2 2 8 4" xfId="31629"/>
    <cellStyle name="Tabelstandaard Totaal Negatief 3 2 2 8 5" xfId="52739"/>
    <cellStyle name="Tabelstandaard Totaal Negatief 3 2 2 9" xfId="15935"/>
    <cellStyle name="Tabelstandaard Totaal Negatief 3 2 3" xfId="357"/>
    <cellStyle name="Tabelstandaard Totaal Negatief 3 2 3 2" xfId="399"/>
    <cellStyle name="Tabelstandaard Totaal Negatief 3 2 3 2 2" xfId="1197"/>
    <cellStyle name="Tabelstandaard Totaal Negatief 3 2 3 2 2 2" xfId="1739"/>
    <cellStyle name="Tabelstandaard Totaal Negatief 3 2 3 2 2 2 2" xfId="10134"/>
    <cellStyle name="Tabelstandaard Totaal Negatief 3 2 3 2 2 2 2 2" xfId="22432"/>
    <cellStyle name="Tabelstandaard Totaal Negatief 3 2 3 2 2 2 2 3" xfId="34484"/>
    <cellStyle name="Tabelstandaard Totaal Negatief 3 2 3 2 2 2 2 4" xfId="42401"/>
    <cellStyle name="Tabelstandaard Totaal Negatief 3 2 3 2 2 2 2 5" xfId="55099"/>
    <cellStyle name="Tabelstandaard Totaal Negatief 3 2 3 2 2 2 3" xfId="15971"/>
    <cellStyle name="Tabelstandaard Totaal Negatief 3 2 3 2 2 2 4" xfId="28023"/>
    <cellStyle name="Tabelstandaard Totaal Negatief 3 2 3 2 2 2 5" xfId="39099"/>
    <cellStyle name="Tabelstandaard Totaal Negatief 3 2 3 2 2 2 6" xfId="49212"/>
    <cellStyle name="Tabelstandaard Totaal Negatief 3 2 3 2 2 2 7" xfId="5593"/>
    <cellStyle name="Tabelstandaard Totaal Negatief 3 2 3 2 2 3" xfId="3208"/>
    <cellStyle name="Tabelstandaard Totaal Negatief 3 2 3 2 2 3 2" xfId="15972"/>
    <cellStyle name="Tabelstandaard Totaal Negatief 3 2 3 2 2 3 3" xfId="28024"/>
    <cellStyle name="Tabelstandaard Totaal Negatief 3 2 3 2 2 3 4" xfId="45078"/>
    <cellStyle name="Tabelstandaard Totaal Negatief 3 2 3 2 2 3 5" xfId="49213"/>
    <cellStyle name="Tabelstandaard Totaal Negatief 3 2 3 2 2 4" xfId="7175"/>
    <cellStyle name="Tabelstandaard Totaal Negatief 3 2 3 2 2 4 2" xfId="19473"/>
    <cellStyle name="Tabelstandaard Totaal Negatief 3 2 3 2 2 4 3" xfId="41276"/>
    <cellStyle name="Tabelstandaard Totaal Negatief 3 2 3 2 2 4 4" xfId="36932"/>
    <cellStyle name="Tabelstandaard Totaal Negatief 3 2 3 2 2 4 5" xfId="52145"/>
    <cellStyle name="Tabelstandaard Totaal Negatief 3 2 3 2 2 5" xfId="15970"/>
    <cellStyle name="Tabelstandaard Totaal Negatief 3 2 3 2 3" xfId="1338"/>
    <cellStyle name="Tabelstandaard Totaal Negatief 3 2 3 2 3 2" xfId="3349"/>
    <cellStyle name="Tabelstandaard Totaal Negatief 3 2 3 2 3 2 2" xfId="10136"/>
    <cellStyle name="Tabelstandaard Totaal Negatief 3 2 3 2 3 2 2 2" xfId="22434"/>
    <cellStyle name="Tabelstandaard Totaal Negatief 3 2 3 2 3 2 2 3" xfId="34486"/>
    <cellStyle name="Tabelstandaard Totaal Negatief 3 2 3 2 3 2 2 4" xfId="42400"/>
    <cellStyle name="Tabelstandaard Totaal Negatief 3 2 3 2 3 2 2 5" xfId="55101"/>
    <cellStyle name="Tabelstandaard Totaal Negatief 3 2 3 2 3 2 3" xfId="15974"/>
    <cellStyle name="Tabelstandaard Totaal Negatief 3 2 3 2 3 2 4" xfId="28026"/>
    <cellStyle name="Tabelstandaard Totaal Negatief 3 2 3 2 3 2 5" xfId="45077"/>
    <cellStyle name="Tabelstandaard Totaal Negatief 3 2 3 2 3 2 6" xfId="49214"/>
    <cellStyle name="Tabelstandaard Totaal Negatief 3 2 3 2 3 3" xfId="5594"/>
    <cellStyle name="Tabelstandaard Totaal Negatief 3 2 3 2 3 3 2" xfId="15975"/>
    <cellStyle name="Tabelstandaard Totaal Negatief 3 2 3 2 3 3 3" xfId="28027"/>
    <cellStyle name="Tabelstandaard Totaal Negatief 3 2 3 2 3 3 4" xfId="39097"/>
    <cellStyle name="Tabelstandaard Totaal Negatief 3 2 3 2 3 3 5" xfId="49215"/>
    <cellStyle name="Tabelstandaard Totaal Negatief 3 2 3 2 3 4" xfId="7043"/>
    <cellStyle name="Tabelstandaard Totaal Negatief 3 2 3 2 3 4 2" xfId="19341"/>
    <cellStyle name="Tabelstandaard Totaal Negatief 3 2 3 2 3 4 3" xfId="41144"/>
    <cellStyle name="Tabelstandaard Totaal Negatief 3 2 3 2 3 4 4" xfId="43674"/>
    <cellStyle name="Tabelstandaard Totaal Negatief 3 2 3 2 3 4 5" xfId="52014"/>
    <cellStyle name="Tabelstandaard Totaal Negatief 3 2 3 2 3 5" xfId="15973"/>
    <cellStyle name="Tabelstandaard Totaal Negatief 3 2 3 2 4" xfId="1809"/>
    <cellStyle name="Tabelstandaard Totaal Negatief 3 2 3 2 4 2" xfId="10137"/>
    <cellStyle name="Tabelstandaard Totaal Negatief 3 2 3 2 4 2 2" xfId="22435"/>
    <cellStyle name="Tabelstandaard Totaal Negatief 3 2 3 2 4 2 3" xfId="34487"/>
    <cellStyle name="Tabelstandaard Totaal Negatief 3 2 3 2 4 2 4" xfId="31862"/>
    <cellStyle name="Tabelstandaard Totaal Negatief 3 2 3 2 4 2 5" xfId="55102"/>
    <cellStyle name="Tabelstandaard Totaal Negatief 3 2 3 2 4 3" xfId="15976"/>
    <cellStyle name="Tabelstandaard Totaal Negatief 3 2 3 2 4 4" xfId="28028"/>
    <cellStyle name="Tabelstandaard Totaal Negatief 3 2 3 2 4 5" xfId="45076"/>
    <cellStyle name="Tabelstandaard Totaal Negatief 3 2 3 2 4 6" xfId="49216"/>
    <cellStyle name="Tabelstandaard Totaal Negatief 3 2 3 2 5" xfId="5595"/>
    <cellStyle name="Tabelstandaard Totaal Negatief 3 2 3 2 5 2" xfId="15977"/>
    <cellStyle name="Tabelstandaard Totaal Negatief 3 2 3 2 5 3" xfId="28029"/>
    <cellStyle name="Tabelstandaard Totaal Negatief 3 2 3 2 5 4" xfId="39096"/>
    <cellStyle name="Tabelstandaard Totaal Negatief 3 2 3 2 5 5" xfId="49217"/>
    <cellStyle name="Tabelstandaard Totaal Negatief 3 2 3 2 6" xfId="7718"/>
    <cellStyle name="Tabelstandaard Totaal Negatief 3 2 3 2 6 2" xfId="20016"/>
    <cellStyle name="Tabelstandaard Totaal Negatief 3 2 3 2 6 3" xfId="41819"/>
    <cellStyle name="Tabelstandaard Totaal Negatief 3 2 3 2 6 4" xfId="43392"/>
    <cellStyle name="Tabelstandaard Totaal Negatief 3 2 3 2 6 5" xfId="52688"/>
    <cellStyle name="Tabelstandaard Totaal Negatief 3 2 3 2 7" xfId="15969"/>
    <cellStyle name="Tabelstandaard Totaal Negatief 3 2 3 3" xfId="5596"/>
    <cellStyle name="Tabelstandaard Totaal Negatief 3 2 3 3 2" xfId="10138"/>
    <cellStyle name="Tabelstandaard Totaal Negatief 3 2 3 3 2 2" xfId="22436"/>
    <cellStyle name="Tabelstandaard Totaal Negatief 3 2 3 3 2 3" xfId="34488"/>
    <cellStyle name="Tabelstandaard Totaal Negatief 3 2 3 3 2 4" xfId="28686"/>
    <cellStyle name="Tabelstandaard Totaal Negatief 3 2 3 3 2 5" xfId="55103"/>
    <cellStyle name="Tabelstandaard Totaal Negatief 3 2 3 3 3" xfId="15978"/>
    <cellStyle name="Tabelstandaard Totaal Negatief 3 2 3 3 4" xfId="28030"/>
    <cellStyle name="Tabelstandaard Totaal Negatief 3 2 3 3 5" xfId="45075"/>
    <cellStyle name="Tabelstandaard Totaal Negatief 3 2 3 3 6" xfId="49218"/>
    <cellStyle name="Tabelstandaard Totaal Negatief 3 2 3 4" xfId="5597"/>
    <cellStyle name="Tabelstandaard Totaal Negatief 3 2 3 4 2" xfId="15979"/>
    <cellStyle name="Tabelstandaard Totaal Negatief 3 2 3 4 3" xfId="28031"/>
    <cellStyle name="Tabelstandaard Totaal Negatief 3 2 3 4 4" xfId="39095"/>
    <cellStyle name="Tabelstandaard Totaal Negatief 3 2 3 4 5" xfId="49219"/>
    <cellStyle name="Tabelstandaard Totaal Negatief 3 2 3 5" xfId="7744"/>
    <cellStyle name="Tabelstandaard Totaal Negatief 3 2 3 5 2" xfId="20042"/>
    <cellStyle name="Tabelstandaard Totaal Negatief 3 2 3 5 3" xfId="41845"/>
    <cellStyle name="Tabelstandaard Totaal Negatief 3 2 3 5 4" xfId="25185"/>
    <cellStyle name="Tabelstandaard Totaal Negatief 3 2 3 5 5" xfId="52714"/>
    <cellStyle name="Tabelstandaard Totaal Negatief 3 2 3 6" xfId="15968"/>
    <cellStyle name="Tabelstandaard Totaal Negatief 3 2 4" xfId="755"/>
    <cellStyle name="Tabelstandaard Totaal Negatief 3 2 4 2" xfId="1278"/>
    <cellStyle name="Tabelstandaard Totaal Negatief 3 2 4 2 2" xfId="2124"/>
    <cellStyle name="Tabelstandaard Totaal Negatief 3 2 4 2 2 2" xfId="10141"/>
    <cellStyle name="Tabelstandaard Totaal Negatief 3 2 4 2 2 2 2" xfId="22439"/>
    <cellStyle name="Tabelstandaard Totaal Negatief 3 2 4 2 2 2 3" xfId="34491"/>
    <cellStyle name="Tabelstandaard Totaal Negatief 3 2 4 2 2 2 4" xfId="28693"/>
    <cellStyle name="Tabelstandaard Totaal Negatief 3 2 4 2 2 2 5" xfId="55106"/>
    <cellStyle name="Tabelstandaard Totaal Negatief 3 2 4 2 2 3" xfId="15982"/>
    <cellStyle name="Tabelstandaard Totaal Negatief 3 2 4 2 2 4" xfId="28034"/>
    <cellStyle name="Tabelstandaard Totaal Negatief 3 2 4 2 2 5" xfId="39094"/>
    <cellStyle name="Tabelstandaard Totaal Negatief 3 2 4 2 2 6" xfId="49220"/>
    <cellStyle name="Tabelstandaard Totaal Negatief 3 2 4 2 2 7" xfId="5598"/>
    <cellStyle name="Tabelstandaard Totaal Negatief 3 2 4 2 3" xfId="3289"/>
    <cellStyle name="Tabelstandaard Totaal Negatief 3 2 4 2 3 2" xfId="15983"/>
    <cellStyle name="Tabelstandaard Totaal Negatief 3 2 4 2 3 3" xfId="28035"/>
    <cellStyle name="Tabelstandaard Totaal Negatief 3 2 4 2 3 4" xfId="39093"/>
    <cellStyle name="Tabelstandaard Totaal Negatief 3 2 4 2 3 5" xfId="49221"/>
    <cellStyle name="Tabelstandaard Totaal Negatief 3 2 4 2 4" xfId="7098"/>
    <cellStyle name="Tabelstandaard Totaal Negatief 3 2 4 2 4 2" xfId="19396"/>
    <cellStyle name="Tabelstandaard Totaal Negatief 3 2 4 2 4 3" xfId="41199"/>
    <cellStyle name="Tabelstandaard Totaal Negatief 3 2 4 2 4 4" xfId="43651"/>
    <cellStyle name="Tabelstandaard Totaal Negatief 3 2 4 2 4 5" xfId="52069"/>
    <cellStyle name="Tabelstandaard Totaal Negatief 3 2 4 2 5" xfId="15981"/>
    <cellStyle name="Tabelstandaard Totaal Negatief 3 2 4 3" xfId="1733"/>
    <cellStyle name="Tabelstandaard Totaal Negatief 3 2 4 3 2" xfId="10142"/>
    <cellStyle name="Tabelstandaard Totaal Negatief 3 2 4 3 2 2" xfId="22440"/>
    <cellStyle name="Tabelstandaard Totaal Negatief 3 2 4 3 2 3" xfId="34492"/>
    <cellStyle name="Tabelstandaard Totaal Negatief 3 2 4 3 2 4" xfId="42398"/>
    <cellStyle name="Tabelstandaard Totaal Negatief 3 2 4 3 2 5" xfId="55107"/>
    <cellStyle name="Tabelstandaard Totaal Negatief 3 2 4 3 3" xfId="15984"/>
    <cellStyle name="Tabelstandaard Totaal Negatief 3 2 4 3 4" xfId="28036"/>
    <cellStyle name="Tabelstandaard Totaal Negatief 3 2 4 3 5" xfId="45073"/>
    <cellStyle name="Tabelstandaard Totaal Negatief 3 2 4 3 6" xfId="49222"/>
    <cellStyle name="Tabelstandaard Totaal Negatief 3 2 4 4" xfId="5599"/>
    <cellStyle name="Tabelstandaard Totaal Negatief 3 2 4 4 2" xfId="15985"/>
    <cellStyle name="Tabelstandaard Totaal Negatief 3 2 4 4 3" xfId="28037"/>
    <cellStyle name="Tabelstandaard Totaal Negatief 3 2 4 4 4" xfId="39092"/>
    <cellStyle name="Tabelstandaard Totaal Negatief 3 2 4 4 5" xfId="49223"/>
    <cellStyle name="Tabelstandaard Totaal Negatief 3 2 4 5" xfId="10168"/>
    <cellStyle name="Tabelstandaard Totaal Negatief 3 2 4 5 2" xfId="22466"/>
    <cellStyle name="Tabelstandaard Totaal Negatief 3 2 4 5 3" xfId="44230"/>
    <cellStyle name="Tabelstandaard Totaal Negatief 3 2 4 5 4" xfId="42387"/>
    <cellStyle name="Tabelstandaard Totaal Negatief 3 2 4 5 5" xfId="55133"/>
    <cellStyle name="Tabelstandaard Totaal Negatief 3 2 4 6" xfId="15980"/>
    <cellStyle name="Tabelstandaard Totaal Negatief 3 2 5" xfId="756"/>
    <cellStyle name="Tabelstandaard Totaal Negatief 3 2 5 2" xfId="1274"/>
    <cellStyle name="Tabelstandaard Totaal Negatief 3 2 5 2 2" xfId="1675"/>
    <cellStyle name="Tabelstandaard Totaal Negatief 3 2 5 2 2 2" xfId="10145"/>
    <cellStyle name="Tabelstandaard Totaal Negatief 3 2 5 2 2 2 2" xfId="22443"/>
    <cellStyle name="Tabelstandaard Totaal Negatief 3 2 5 2 2 2 3" xfId="34495"/>
    <cellStyle name="Tabelstandaard Totaal Negatief 3 2 5 2 2 2 4" xfId="28700"/>
    <cellStyle name="Tabelstandaard Totaal Negatief 3 2 5 2 2 2 5" xfId="55110"/>
    <cellStyle name="Tabelstandaard Totaal Negatief 3 2 5 2 2 3" xfId="15988"/>
    <cellStyle name="Tabelstandaard Totaal Negatief 3 2 5 2 2 4" xfId="28040"/>
    <cellStyle name="Tabelstandaard Totaal Negatief 3 2 5 2 2 5" xfId="45071"/>
    <cellStyle name="Tabelstandaard Totaal Negatief 3 2 5 2 2 6" xfId="49224"/>
    <cellStyle name="Tabelstandaard Totaal Negatief 3 2 5 2 2 7" xfId="5600"/>
    <cellStyle name="Tabelstandaard Totaal Negatief 3 2 5 2 3" xfId="3285"/>
    <cellStyle name="Tabelstandaard Totaal Negatief 3 2 5 2 3 2" xfId="15989"/>
    <cellStyle name="Tabelstandaard Totaal Negatief 3 2 5 2 3 3" xfId="28041"/>
    <cellStyle name="Tabelstandaard Totaal Negatief 3 2 5 2 3 4" xfId="39090"/>
    <cellStyle name="Tabelstandaard Totaal Negatief 3 2 5 2 3 5" xfId="49225"/>
    <cellStyle name="Tabelstandaard Totaal Negatief 3 2 5 2 4" xfId="7102"/>
    <cellStyle name="Tabelstandaard Totaal Negatief 3 2 5 2 4 2" xfId="19400"/>
    <cellStyle name="Tabelstandaard Totaal Negatief 3 2 5 2 4 3" xfId="41203"/>
    <cellStyle name="Tabelstandaard Totaal Negatief 3 2 5 2 4 4" xfId="43649"/>
    <cellStyle name="Tabelstandaard Totaal Negatief 3 2 5 2 4 5" xfId="52073"/>
    <cellStyle name="Tabelstandaard Totaal Negatief 3 2 5 2 5" xfId="15987"/>
    <cellStyle name="Tabelstandaard Totaal Negatief 3 2 5 3" xfId="2398"/>
    <cellStyle name="Tabelstandaard Totaal Negatief 3 2 5 3 2" xfId="10146"/>
    <cellStyle name="Tabelstandaard Totaal Negatief 3 2 5 3 2 2" xfId="22444"/>
    <cellStyle name="Tabelstandaard Totaal Negatief 3 2 5 3 2 3" xfId="34496"/>
    <cellStyle name="Tabelstandaard Totaal Negatief 3 2 5 3 2 4" xfId="42396"/>
    <cellStyle name="Tabelstandaard Totaal Negatief 3 2 5 3 2 5" xfId="55111"/>
    <cellStyle name="Tabelstandaard Totaal Negatief 3 2 5 3 3" xfId="15990"/>
    <cellStyle name="Tabelstandaard Totaal Negatief 3 2 5 3 4" xfId="28042"/>
    <cellStyle name="Tabelstandaard Totaal Negatief 3 2 5 3 5" xfId="45070"/>
    <cellStyle name="Tabelstandaard Totaal Negatief 3 2 5 3 6" xfId="49226"/>
    <cellStyle name="Tabelstandaard Totaal Negatief 3 2 5 4" xfId="5601"/>
    <cellStyle name="Tabelstandaard Totaal Negatief 3 2 5 4 2" xfId="15991"/>
    <cellStyle name="Tabelstandaard Totaal Negatief 3 2 5 4 3" xfId="28043"/>
    <cellStyle name="Tabelstandaard Totaal Negatief 3 2 5 4 4" xfId="39089"/>
    <cellStyle name="Tabelstandaard Totaal Negatief 3 2 5 4 5" xfId="49227"/>
    <cellStyle name="Tabelstandaard Totaal Negatief 3 2 5 5" xfId="7477"/>
    <cellStyle name="Tabelstandaard Totaal Negatief 3 2 5 5 2" xfId="19775"/>
    <cellStyle name="Tabelstandaard Totaal Negatief 3 2 5 5 3" xfId="41578"/>
    <cellStyle name="Tabelstandaard Totaal Negatief 3 2 5 5 4" xfId="15507"/>
    <cellStyle name="Tabelstandaard Totaal Negatief 3 2 5 5 5" xfId="52447"/>
    <cellStyle name="Tabelstandaard Totaal Negatief 3 2 5 6" xfId="15986"/>
    <cellStyle name="Tabelstandaard Totaal Negatief 3 2 6" xfId="794"/>
    <cellStyle name="Tabelstandaard Totaal Negatief 3 2 6 2" xfId="530"/>
    <cellStyle name="Tabelstandaard Totaal Negatief 3 2 6 2 2" xfId="2003"/>
    <cellStyle name="Tabelstandaard Totaal Negatief 3 2 6 2 2 2" xfId="10149"/>
    <cellStyle name="Tabelstandaard Totaal Negatief 3 2 6 2 2 2 2" xfId="22447"/>
    <cellStyle name="Tabelstandaard Totaal Negatief 3 2 6 2 2 2 3" xfId="34499"/>
    <cellStyle name="Tabelstandaard Totaal Negatief 3 2 6 2 2 2 4" xfId="28707"/>
    <cellStyle name="Tabelstandaard Totaal Negatief 3 2 6 2 2 2 5" xfId="55114"/>
    <cellStyle name="Tabelstandaard Totaal Negatief 3 2 6 2 2 3" xfId="15994"/>
    <cellStyle name="Tabelstandaard Totaal Negatief 3 2 6 2 2 4" xfId="28046"/>
    <cellStyle name="Tabelstandaard Totaal Negatief 3 2 6 2 2 5" xfId="39087"/>
    <cellStyle name="Tabelstandaard Totaal Negatief 3 2 6 2 2 6" xfId="49228"/>
    <cellStyle name="Tabelstandaard Totaal Negatief 3 2 6 2 2 7" xfId="5602"/>
    <cellStyle name="Tabelstandaard Totaal Negatief 3 2 6 2 3" xfId="2601"/>
    <cellStyle name="Tabelstandaard Totaal Negatief 3 2 6 2 3 2" xfId="15995"/>
    <cellStyle name="Tabelstandaard Totaal Negatief 3 2 6 2 3 3" xfId="28047"/>
    <cellStyle name="Tabelstandaard Totaal Negatief 3 2 6 2 3 4" xfId="39086"/>
    <cellStyle name="Tabelstandaard Totaal Negatief 3 2 6 2 3 5" xfId="49229"/>
    <cellStyle name="Tabelstandaard Totaal Negatief 3 2 6 2 4" xfId="10320"/>
    <cellStyle name="Tabelstandaard Totaal Negatief 3 2 6 2 4 2" xfId="22618"/>
    <cellStyle name="Tabelstandaard Totaal Negatief 3 2 6 2 4 3" xfId="44379"/>
    <cellStyle name="Tabelstandaard Totaal Negatief 3 2 6 2 4 4" xfId="42324"/>
    <cellStyle name="Tabelstandaard Totaal Negatief 3 2 6 2 4 5" xfId="55285"/>
    <cellStyle name="Tabelstandaard Totaal Negatief 3 2 6 2 5" xfId="15993"/>
    <cellStyle name="Tabelstandaard Totaal Negatief 3 2 6 3" xfId="1466"/>
    <cellStyle name="Tabelstandaard Totaal Negatief 3 2 6 3 2" xfId="10150"/>
    <cellStyle name="Tabelstandaard Totaal Negatief 3 2 6 3 2 2" xfId="22448"/>
    <cellStyle name="Tabelstandaard Totaal Negatief 3 2 6 3 2 3" xfId="34500"/>
    <cellStyle name="Tabelstandaard Totaal Negatief 3 2 6 3 2 4" xfId="31774"/>
    <cellStyle name="Tabelstandaard Totaal Negatief 3 2 6 3 2 5" xfId="55115"/>
    <cellStyle name="Tabelstandaard Totaal Negatief 3 2 6 3 3" xfId="15996"/>
    <cellStyle name="Tabelstandaard Totaal Negatief 3 2 6 3 4" xfId="28048"/>
    <cellStyle name="Tabelstandaard Totaal Negatief 3 2 6 3 5" xfId="45068"/>
    <cellStyle name="Tabelstandaard Totaal Negatief 3 2 6 3 6" xfId="49230"/>
    <cellStyle name="Tabelstandaard Totaal Negatief 3 2 6 4" xfId="5603"/>
    <cellStyle name="Tabelstandaard Totaal Negatief 3 2 6 4 2" xfId="15997"/>
    <cellStyle name="Tabelstandaard Totaal Negatief 3 2 6 4 3" xfId="28049"/>
    <cellStyle name="Tabelstandaard Totaal Negatief 3 2 6 4 4" xfId="39085"/>
    <cellStyle name="Tabelstandaard Totaal Negatief 3 2 6 4 5" xfId="49231"/>
    <cellStyle name="Tabelstandaard Totaal Negatief 3 2 6 5" xfId="10139"/>
    <cellStyle name="Tabelstandaard Totaal Negatief 3 2 6 5 2" xfId="22437"/>
    <cellStyle name="Tabelstandaard Totaal Negatief 3 2 6 5 3" xfId="44201"/>
    <cellStyle name="Tabelstandaard Totaal Negatief 3 2 6 5 4" xfId="31745"/>
    <cellStyle name="Tabelstandaard Totaal Negatief 3 2 6 5 5" xfId="55104"/>
    <cellStyle name="Tabelstandaard Totaal Negatief 3 2 6 6" xfId="15992"/>
    <cellStyle name="Tabelstandaard Totaal Negatief 3 2 7" xfId="805"/>
    <cellStyle name="Tabelstandaard Totaal Negatief 3 2 7 2" xfId="909"/>
    <cellStyle name="Tabelstandaard Totaal Negatief 3 2 7 2 2" xfId="1698"/>
    <cellStyle name="Tabelstandaard Totaal Negatief 3 2 7 2 2 2" xfId="10153"/>
    <cellStyle name="Tabelstandaard Totaal Negatief 3 2 7 2 2 2 2" xfId="22451"/>
    <cellStyle name="Tabelstandaard Totaal Negatief 3 2 7 2 2 2 3" xfId="34503"/>
    <cellStyle name="Tabelstandaard Totaal Negatief 3 2 7 2 2 2 4" xfId="31686"/>
    <cellStyle name="Tabelstandaard Totaal Negatief 3 2 7 2 2 2 5" xfId="55118"/>
    <cellStyle name="Tabelstandaard Totaal Negatief 3 2 7 2 2 3" xfId="16000"/>
    <cellStyle name="Tabelstandaard Totaal Negatief 3 2 7 2 2 4" xfId="28052"/>
    <cellStyle name="Tabelstandaard Totaal Negatief 3 2 7 2 2 5" xfId="45066"/>
    <cellStyle name="Tabelstandaard Totaal Negatief 3 2 7 2 2 6" xfId="49232"/>
    <cellStyle name="Tabelstandaard Totaal Negatief 3 2 7 2 2 7" xfId="5604"/>
    <cellStyle name="Tabelstandaard Totaal Negatief 3 2 7 2 3" xfId="2920"/>
    <cellStyle name="Tabelstandaard Totaal Negatief 3 2 7 2 3 2" xfId="16001"/>
    <cellStyle name="Tabelstandaard Totaal Negatief 3 2 7 2 3 3" xfId="28053"/>
    <cellStyle name="Tabelstandaard Totaal Negatief 3 2 7 2 3 4" xfId="39083"/>
    <cellStyle name="Tabelstandaard Totaal Negatief 3 2 7 2 3 5" xfId="49233"/>
    <cellStyle name="Tabelstandaard Totaal Negatief 3 2 7 2 4" xfId="10057"/>
    <cellStyle name="Tabelstandaard Totaal Negatief 3 2 7 2 4 2" xfId="22355"/>
    <cellStyle name="Tabelstandaard Totaal Negatief 3 2 7 2 4 3" xfId="44119"/>
    <cellStyle name="Tabelstandaard Totaal Negatief 3 2 7 2 4 4" xfId="31702"/>
    <cellStyle name="Tabelstandaard Totaal Negatief 3 2 7 2 4 5" xfId="55022"/>
    <cellStyle name="Tabelstandaard Totaal Negatief 3 2 7 2 5" xfId="15999"/>
    <cellStyle name="Tabelstandaard Totaal Negatief 3 2 7 3" xfId="1582"/>
    <cellStyle name="Tabelstandaard Totaal Negatief 3 2 7 3 2" xfId="10154"/>
    <cellStyle name="Tabelstandaard Totaal Negatief 3 2 7 3 2 2" xfId="22452"/>
    <cellStyle name="Tabelstandaard Totaal Negatief 3 2 7 3 2 3" xfId="34504"/>
    <cellStyle name="Tabelstandaard Totaal Negatief 3 2 7 3 2 4" xfId="42393"/>
    <cellStyle name="Tabelstandaard Totaal Negatief 3 2 7 3 2 5" xfId="55119"/>
    <cellStyle name="Tabelstandaard Totaal Negatief 3 2 7 3 3" xfId="16002"/>
    <cellStyle name="Tabelstandaard Totaal Negatief 3 2 7 3 4" xfId="28054"/>
    <cellStyle name="Tabelstandaard Totaal Negatief 3 2 7 3 5" xfId="45065"/>
    <cellStyle name="Tabelstandaard Totaal Negatief 3 2 7 3 6" xfId="49234"/>
    <cellStyle name="Tabelstandaard Totaal Negatief 3 2 7 4" xfId="5605"/>
    <cellStyle name="Tabelstandaard Totaal Negatief 3 2 7 4 2" xfId="16003"/>
    <cellStyle name="Tabelstandaard Totaal Negatief 3 2 7 4 3" xfId="28055"/>
    <cellStyle name="Tabelstandaard Totaal Negatief 3 2 7 4 4" xfId="39082"/>
    <cellStyle name="Tabelstandaard Totaal Negatief 3 2 7 4 5" xfId="49235"/>
    <cellStyle name="Tabelstandaard Totaal Negatief 3 2 7 5" xfId="7444"/>
    <cellStyle name="Tabelstandaard Totaal Negatief 3 2 7 5 2" xfId="19742"/>
    <cellStyle name="Tabelstandaard Totaal Negatief 3 2 7 5 3" xfId="41545"/>
    <cellStyle name="Tabelstandaard Totaal Negatief 3 2 7 5 4" xfId="15552"/>
    <cellStyle name="Tabelstandaard Totaal Negatief 3 2 7 5 5" xfId="52414"/>
    <cellStyle name="Tabelstandaard Totaal Negatief 3 2 7 6" xfId="15998"/>
    <cellStyle name="Tabelstandaard Totaal Negatief 3 2 8" xfId="753"/>
    <cellStyle name="Tabelstandaard Totaal Negatief 3 2 8 2" xfId="1129"/>
    <cellStyle name="Tabelstandaard Totaal Negatief 3 2 8 2 2" xfId="2371"/>
    <cellStyle name="Tabelstandaard Totaal Negatief 3 2 8 2 2 2" xfId="10157"/>
    <cellStyle name="Tabelstandaard Totaal Negatief 3 2 8 2 2 2 2" xfId="22455"/>
    <cellStyle name="Tabelstandaard Totaal Negatief 3 2 8 2 2 2 3" xfId="34507"/>
    <cellStyle name="Tabelstandaard Totaal Negatief 3 2 8 2 2 2 4" xfId="31800"/>
    <cellStyle name="Tabelstandaard Totaal Negatief 3 2 8 2 2 2 5" xfId="55122"/>
    <cellStyle name="Tabelstandaard Totaal Negatief 3 2 8 2 2 3" xfId="16006"/>
    <cellStyle name="Tabelstandaard Totaal Negatief 3 2 8 2 2 4" xfId="28058"/>
    <cellStyle name="Tabelstandaard Totaal Negatief 3 2 8 2 2 5" xfId="39080"/>
    <cellStyle name="Tabelstandaard Totaal Negatief 3 2 8 2 2 6" xfId="49236"/>
    <cellStyle name="Tabelstandaard Totaal Negatief 3 2 8 2 2 7" xfId="5606"/>
    <cellStyle name="Tabelstandaard Totaal Negatief 3 2 8 2 3" xfId="3140"/>
    <cellStyle name="Tabelstandaard Totaal Negatief 3 2 8 2 3 2" xfId="16007"/>
    <cellStyle name="Tabelstandaard Totaal Negatief 3 2 8 2 3 3" xfId="28059"/>
    <cellStyle name="Tabelstandaard Totaal Negatief 3 2 8 2 3 4" xfId="39079"/>
    <cellStyle name="Tabelstandaard Totaal Negatief 3 2 8 2 3 5" xfId="49237"/>
    <cellStyle name="Tabelstandaard Totaal Negatief 3 2 8 2 4" xfId="7223"/>
    <cellStyle name="Tabelstandaard Totaal Negatief 3 2 8 2 4 2" xfId="19521"/>
    <cellStyle name="Tabelstandaard Totaal Negatief 3 2 8 2 4 3" xfId="41324"/>
    <cellStyle name="Tabelstandaard Totaal Negatief 3 2 8 2 4 4" xfId="36904"/>
    <cellStyle name="Tabelstandaard Totaal Negatief 3 2 8 2 4 5" xfId="52193"/>
    <cellStyle name="Tabelstandaard Totaal Negatief 3 2 8 2 5" xfId="16005"/>
    <cellStyle name="Tabelstandaard Totaal Negatief 3 2 8 3" xfId="1656"/>
    <cellStyle name="Tabelstandaard Totaal Negatief 3 2 8 3 2" xfId="10158"/>
    <cellStyle name="Tabelstandaard Totaal Negatief 3 2 8 3 2 2" xfId="22456"/>
    <cellStyle name="Tabelstandaard Totaal Negatief 3 2 8 3 2 3" xfId="34508"/>
    <cellStyle name="Tabelstandaard Totaal Negatief 3 2 8 3 2 4" xfId="42391"/>
    <cellStyle name="Tabelstandaard Totaal Negatief 3 2 8 3 2 5" xfId="55123"/>
    <cellStyle name="Tabelstandaard Totaal Negatief 3 2 8 3 3" xfId="16008"/>
    <cellStyle name="Tabelstandaard Totaal Negatief 3 2 8 3 4" xfId="28060"/>
    <cellStyle name="Tabelstandaard Totaal Negatief 3 2 8 3 5" xfId="45064"/>
    <cellStyle name="Tabelstandaard Totaal Negatief 3 2 8 3 6" xfId="49238"/>
    <cellStyle name="Tabelstandaard Totaal Negatief 3 2 8 4" xfId="5607"/>
    <cellStyle name="Tabelstandaard Totaal Negatief 3 2 8 4 2" xfId="16009"/>
    <cellStyle name="Tabelstandaard Totaal Negatief 3 2 8 4 3" xfId="28061"/>
    <cellStyle name="Tabelstandaard Totaal Negatief 3 2 8 4 4" xfId="39078"/>
    <cellStyle name="Tabelstandaard Totaal Negatief 3 2 8 4 5" xfId="49239"/>
    <cellStyle name="Tabelstandaard Totaal Negatief 3 2 8 5" xfId="10165"/>
    <cellStyle name="Tabelstandaard Totaal Negatief 3 2 8 5 2" xfId="22463"/>
    <cellStyle name="Tabelstandaard Totaal Negatief 3 2 8 5 3" xfId="44227"/>
    <cellStyle name="Tabelstandaard Totaal Negatief 3 2 8 5 4" xfId="28742"/>
    <cellStyle name="Tabelstandaard Totaal Negatief 3 2 8 5 5" xfId="55130"/>
    <cellStyle name="Tabelstandaard Totaal Negatief 3 2 8 6" xfId="16004"/>
    <cellStyle name="Tabelstandaard Totaal Negatief 3 2 9" xfId="808"/>
    <cellStyle name="Tabelstandaard Totaal Negatief 3 2 9 2" xfId="1082"/>
    <cellStyle name="Tabelstandaard Totaal Negatief 3 2 9 2 2" xfId="1560"/>
    <cellStyle name="Tabelstandaard Totaal Negatief 3 2 9 2 2 2" xfId="10161"/>
    <cellStyle name="Tabelstandaard Totaal Negatief 3 2 9 2 2 2 2" xfId="22459"/>
    <cellStyle name="Tabelstandaard Totaal Negatief 3 2 9 2 2 2 3" xfId="34511"/>
    <cellStyle name="Tabelstandaard Totaal Negatief 3 2 9 2 2 2 4" xfId="31690"/>
    <cellStyle name="Tabelstandaard Totaal Negatief 3 2 9 2 2 2 5" xfId="55126"/>
    <cellStyle name="Tabelstandaard Totaal Negatief 3 2 9 2 2 3" xfId="16012"/>
    <cellStyle name="Tabelstandaard Totaal Negatief 3 2 9 2 2 4" xfId="28064"/>
    <cellStyle name="Tabelstandaard Totaal Negatief 3 2 9 2 2 5" xfId="45062"/>
    <cellStyle name="Tabelstandaard Totaal Negatief 3 2 9 2 2 6" xfId="49240"/>
    <cellStyle name="Tabelstandaard Totaal Negatief 3 2 9 2 2 7" xfId="5608"/>
    <cellStyle name="Tabelstandaard Totaal Negatief 3 2 9 2 3" xfId="3093"/>
    <cellStyle name="Tabelstandaard Totaal Negatief 3 2 9 2 3 2" xfId="16013"/>
    <cellStyle name="Tabelstandaard Totaal Negatief 3 2 9 2 3 3" xfId="28065"/>
    <cellStyle name="Tabelstandaard Totaal Negatief 3 2 9 2 3 4" xfId="39076"/>
    <cellStyle name="Tabelstandaard Totaal Negatief 3 2 9 2 3 5" xfId="49241"/>
    <cellStyle name="Tabelstandaard Totaal Negatief 3 2 9 2 4" xfId="7255"/>
    <cellStyle name="Tabelstandaard Totaal Negatief 3 2 9 2 4 2" xfId="19553"/>
    <cellStyle name="Tabelstandaard Totaal Negatief 3 2 9 2 4 3" xfId="41356"/>
    <cellStyle name="Tabelstandaard Totaal Negatief 3 2 9 2 4 4" xfId="36885"/>
    <cellStyle name="Tabelstandaard Totaal Negatief 3 2 9 2 4 5" xfId="52225"/>
    <cellStyle name="Tabelstandaard Totaal Negatief 3 2 9 2 5" xfId="16011"/>
    <cellStyle name="Tabelstandaard Totaal Negatief 3 2 9 3" xfId="1498"/>
    <cellStyle name="Tabelstandaard Totaal Negatief 3 2 9 3 2" xfId="10162"/>
    <cellStyle name="Tabelstandaard Totaal Negatief 3 2 9 3 2 2" xfId="22460"/>
    <cellStyle name="Tabelstandaard Totaal Negatief 3 2 9 3 2 3" xfId="34512"/>
    <cellStyle name="Tabelstandaard Totaal Negatief 3 2 9 3 2 4" xfId="28735"/>
    <cellStyle name="Tabelstandaard Totaal Negatief 3 2 9 3 2 5" xfId="55127"/>
    <cellStyle name="Tabelstandaard Totaal Negatief 3 2 9 3 3" xfId="16014"/>
    <cellStyle name="Tabelstandaard Totaal Negatief 3 2 9 3 4" xfId="28066"/>
    <cellStyle name="Tabelstandaard Totaal Negatief 3 2 9 3 5" xfId="45061"/>
    <cellStyle name="Tabelstandaard Totaal Negatief 3 2 9 3 6" xfId="49242"/>
    <cellStyle name="Tabelstandaard Totaal Negatief 3 2 9 4" xfId="5609"/>
    <cellStyle name="Tabelstandaard Totaal Negatief 3 2 9 4 2" xfId="16015"/>
    <cellStyle name="Tabelstandaard Totaal Negatief 3 2 9 4 3" xfId="28067"/>
    <cellStyle name="Tabelstandaard Totaal Negatief 3 2 9 4 4" xfId="39075"/>
    <cellStyle name="Tabelstandaard Totaal Negatief 3 2 9 4 5" xfId="49243"/>
    <cellStyle name="Tabelstandaard Totaal Negatief 3 2 9 5" xfId="7442"/>
    <cellStyle name="Tabelstandaard Totaal Negatief 3 2 9 5 2" xfId="19740"/>
    <cellStyle name="Tabelstandaard Totaal Negatief 3 2 9 5 3" xfId="41543"/>
    <cellStyle name="Tabelstandaard Totaal Negatief 3 2 9 5 4" xfId="43507"/>
    <cellStyle name="Tabelstandaard Totaal Negatief 3 2 9 5 5" xfId="52412"/>
    <cellStyle name="Tabelstandaard Totaal Negatief 3 2 9 6" xfId="16010"/>
    <cellStyle name="Tabelstandaard Totaal Negatief 3 3" xfId="246"/>
    <cellStyle name="Tabelstandaard Totaal Negatief 3 3 2" xfId="364"/>
    <cellStyle name="Tabelstandaard Totaal Negatief 3 3 2 2" xfId="405"/>
    <cellStyle name="Tabelstandaard Totaal Negatief 3 3 2 2 2" xfId="585"/>
    <cellStyle name="Tabelstandaard Totaal Negatief 3 3 2 2 2 2" xfId="2254"/>
    <cellStyle name="Tabelstandaard Totaal Negatief 3 3 2 2 2 2 2" xfId="10167"/>
    <cellStyle name="Tabelstandaard Totaal Negatief 3 3 2 2 2 2 2 2" xfId="22465"/>
    <cellStyle name="Tabelstandaard Totaal Negatief 3 3 2 2 2 2 2 3" xfId="34517"/>
    <cellStyle name="Tabelstandaard Totaal Negatief 3 3 2 2 2 2 2 4" xfId="34691"/>
    <cellStyle name="Tabelstandaard Totaal Negatief 3 3 2 2 2 2 2 5" xfId="55132"/>
    <cellStyle name="Tabelstandaard Totaal Negatief 3 3 2 2 2 2 3" xfId="16020"/>
    <cellStyle name="Tabelstandaard Totaal Negatief 3 3 2 2 2 2 4" xfId="28072"/>
    <cellStyle name="Tabelstandaard Totaal Negatief 3 3 2 2 2 2 5" xfId="45059"/>
    <cellStyle name="Tabelstandaard Totaal Negatief 3 3 2 2 2 2 6" xfId="49244"/>
    <cellStyle name="Tabelstandaard Totaal Negatief 3 3 2 2 2 2 7" xfId="5610"/>
    <cellStyle name="Tabelstandaard Totaal Negatief 3 3 2 2 2 3" xfId="2656"/>
    <cellStyle name="Tabelstandaard Totaal Negatief 3 3 2 2 2 3 2" xfId="16021"/>
    <cellStyle name="Tabelstandaard Totaal Negatief 3 3 2 2 2 3 3" xfId="28073"/>
    <cellStyle name="Tabelstandaard Totaal Negatief 3 3 2 2 2 3 4" xfId="39072"/>
    <cellStyle name="Tabelstandaard Totaal Negatief 3 3 2 2 2 3 5" xfId="49245"/>
    <cellStyle name="Tabelstandaard Totaal Negatief 3 3 2 2 2 4" xfId="10283"/>
    <cellStyle name="Tabelstandaard Totaal Negatief 3 3 2 2 2 4 2" xfId="22581"/>
    <cellStyle name="Tabelstandaard Totaal Negatief 3 3 2 2 2 4 3" xfId="44342"/>
    <cellStyle name="Tabelstandaard Totaal Negatief 3 3 2 2 2 4 4" xfId="31722"/>
    <cellStyle name="Tabelstandaard Totaal Negatief 3 3 2 2 2 4 5" xfId="55248"/>
    <cellStyle name="Tabelstandaard Totaal Negatief 3 3 2 2 2 5" xfId="16019"/>
    <cellStyle name="Tabelstandaard Totaal Negatief 3 3 2 2 3" xfId="1344"/>
    <cellStyle name="Tabelstandaard Totaal Negatief 3 3 2 2 3 2" xfId="3355"/>
    <cellStyle name="Tabelstandaard Totaal Negatief 3 3 2 2 3 2 2" xfId="10169"/>
    <cellStyle name="Tabelstandaard Totaal Negatief 3 3 2 2 3 2 2 2" xfId="22467"/>
    <cellStyle name="Tabelstandaard Totaal Negatief 3 3 2 2 3 2 2 3" xfId="34519"/>
    <cellStyle name="Tabelstandaard Totaal Negatief 3 3 2 2 3 2 2 4" xfId="28749"/>
    <cellStyle name="Tabelstandaard Totaal Negatief 3 3 2 2 3 2 2 5" xfId="55134"/>
    <cellStyle name="Tabelstandaard Totaal Negatief 3 3 2 2 3 2 3" xfId="16023"/>
    <cellStyle name="Tabelstandaard Totaal Negatief 3 3 2 2 3 2 4" xfId="28075"/>
    <cellStyle name="Tabelstandaard Totaal Negatief 3 3 2 2 3 2 5" xfId="39071"/>
    <cellStyle name="Tabelstandaard Totaal Negatief 3 3 2 2 3 2 6" xfId="49246"/>
    <cellStyle name="Tabelstandaard Totaal Negatief 3 3 2 2 3 3" xfId="5611"/>
    <cellStyle name="Tabelstandaard Totaal Negatief 3 3 2 2 3 3 2" xfId="16024"/>
    <cellStyle name="Tabelstandaard Totaal Negatief 3 3 2 2 3 3 3" xfId="28076"/>
    <cellStyle name="Tabelstandaard Totaal Negatief 3 3 2 2 3 3 4" xfId="45057"/>
    <cellStyle name="Tabelstandaard Totaal Negatief 3 3 2 2 3 3 5" xfId="49247"/>
    <cellStyle name="Tabelstandaard Totaal Negatief 3 3 2 2 3 4" xfId="7038"/>
    <cellStyle name="Tabelstandaard Totaal Negatief 3 3 2 2 3 4 2" xfId="19336"/>
    <cellStyle name="Tabelstandaard Totaal Negatief 3 3 2 2 3 4 3" xfId="41139"/>
    <cellStyle name="Tabelstandaard Totaal Negatief 3 3 2 2 3 4 4" xfId="37012"/>
    <cellStyle name="Tabelstandaard Totaal Negatief 3 3 2 2 3 4 5" xfId="52009"/>
    <cellStyle name="Tabelstandaard Totaal Negatief 3 3 2 2 3 5" xfId="16022"/>
    <cellStyle name="Tabelstandaard Totaal Negatief 3 3 2 2 4" xfId="2054"/>
    <cellStyle name="Tabelstandaard Totaal Negatief 3 3 2 2 4 2" xfId="10170"/>
    <cellStyle name="Tabelstandaard Totaal Negatief 3 3 2 2 4 2 2" xfId="22468"/>
    <cellStyle name="Tabelstandaard Totaal Negatief 3 3 2 2 4 2 3" xfId="34520"/>
    <cellStyle name="Tabelstandaard Totaal Negatief 3 3 2 2 4 2 4" xfId="42386"/>
    <cellStyle name="Tabelstandaard Totaal Negatief 3 3 2 2 4 2 5" xfId="55135"/>
    <cellStyle name="Tabelstandaard Totaal Negatief 3 3 2 2 4 3" xfId="16025"/>
    <cellStyle name="Tabelstandaard Totaal Negatief 3 3 2 2 4 4" xfId="28077"/>
    <cellStyle name="Tabelstandaard Totaal Negatief 3 3 2 2 4 5" xfId="39070"/>
    <cellStyle name="Tabelstandaard Totaal Negatief 3 3 2 2 4 6" xfId="49248"/>
    <cellStyle name="Tabelstandaard Totaal Negatief 3 3 2 2 5" xfId="5612"/>
    <cellStyle name="Tabelstandaard Totaal Negatief 3 3 2 2 5 2" xfId="16026"/>
    <cellStyle name="Tabelstandaard Totaal Negatief 3 3 2 2 5 3" xfId="28078"/>
    <cellStyle name="Tabelstandaard Totaal Negatief 3 3 2 2 5 4" xfId="45056"/>
    <cellStyle name="Tabelstandaard Totaal Negatief 3 3 2 2 5 5" xfId="49249"/>
    <cellStyle name="Tabelstandaard Totaal Negatief 3 3 2 2 6" xfId="7712"/>
    <cellStyle name="Tabelstandaard Totaal Negatief 3 3 2 2 6 2" xfId="20010"/>
    <cellStyle name="Tabelstandaard Totaal Negatief 3 3 2 2 6 3" xfId="41813"/>
    <cellStyle name="Tabelstandaard Totaal Negatief 3 3 2 2 6 4" xfId="43394"/>
    <cellStyle name="Tabelstandaard Totaal Negatief 3 3 2 2 6 5" xfId="52682"/>
    <cellStyle name="Tabelstandaard Totaal Negatief 3 3 2 2 7" xfId="16018"/>
    <cellStyle name="Tabelstandaard Totaal Negatief 3 3 2 3" xfId="5613"/>
    <cellStyle name="Tabelstandaard Totaal Negatief 3 3 2 3 2" xfId="10171"/>
    <cellStyle name="Tabelstandaard Totaal Negatief 3 3 2 3 2 2" xfId="22469"/>
    <cellStyle name="Tabelstandaard Totaal Negatief 3 3 2 3 2 3" xfId="34521"/>
    <cellStyle name="Tabelstandaard Totaal Negatief 3 3 2 3 2 4" xfId="31502"/>
    <cellStyle name="Tabelstandaard Totaal Negatief 3 3 2 3 2 5" xfId="55136"/>
    <cellStyle name="Tabelstandaard Totaal Negatief 3 3 2 3 3" xfId="16027"/>
    <cellStyle name="Tabelstandaard Totaal Negatief 3 3 2 3 4" xfId="28079"/>
    <cellStyle name="Tabelstandaard Totaal Negatief 3 3 2 3 5" xfId="39069"/>
    <cellStyle name="Tabelstandaard Totaal Negatief 3 3 2 3 6" xfId="49250"/>
    <cellStyle name="Tabelstandaard Totaal Negatief 3 3 2 4" xfId="5614"/>
    <cellStyle name="Tabelstandaard Totaal Negatief 3 3 2 4 2" xfId="16028"/>
    <cellStyle name="Tabelstandaard Totaal Negatief 3 3 2 4 3" xfId="28080"/>
    <cellStyle name="Tabelstandaard Totaal Negatief 3 3 2 4 4" xfId="45055"/>
    <cellStyle name="Tabelstandaard Totaal Negatief 3 3 2 4 5" xfId="49251"/>
    <cellStyle name="Tabelstandaard Totaal Negatief 3 3 2 5" xfId="7738"/>
    <cellStyle name="Tabelstandaard Totaal Negatief 3 3 2 5 2" xfId="20036"/>
    <cellStyle name="Tabelstandaard Totaal Negatief 3 3 2 5 3" xfId="41839"/>
    <cellStyle name="Tabelstandaard Totaal Negatief 3 3 2 5 4" xfId="43384"/>
    <cellStyle name="Tabelstandaard Totaal Negatief 3 3 2 5 5" xfId="52708"/>
    <cellStyle name="Tabelstandaard Totaal Negatief 3 3 2 6" xfId="16017"/>
    <cellStyle name="Tabelstandaard Totaal Negatief 3 3 3" xfId="369"/>
    <cellStyle name="Tabelstandaard Totaal Negatief 3 3 3 2" xfId="410"/>
    <cellStyle name="Tabelstandaard Totaal Negatief 3 3 3 2 2" xfId="1145"/>
    <cellStyle name="Tabelstandaard Totaal Negatief 3 3 3 2 2 2" xfId="2472"/>
    <cellStyle name="Tabelstandaard Totaal Negatief 3 3 3 2 2 2 2" xfId="10175"/>
    <cellStyle name="Tabelstandaard Totaal Negatief 3 3 3 2 2 2 2 2" xfId="22473"/>
    <cellStyle name="Tabelstandaard Totaal Negatief 3 3 3 2 2 2 2 3" xfId="34525"/>
    <cellStyle name="Tabelstandaard Totaal Negatief 3 3 3 2 2 2 2 4" xfId="28766"/>
    <cellStyle name="Tabelstandaard Totaal Negatief 3 3 3 2 2 2 2 5" xfId="55140"/>
    <cellStyle name="Tabelstandaard Totaal Negatief 3 3 3 2 2 2 3" xfId="16032"/>
    <cellStyle name="Tabelstandaard Totaal Negatief 3 3 3 2 2 2 4" xfId="28084"/>
    <cellStyle name="Tabelstandaard Totaal Negatief 3 3 3 2 2 2 5" xfId="45054"/>
    <cellStyle name="Tabelstandaard Totaal Negatief 3 3 3 2 2 2 6" xfId="49252"/>
    <cellStyle name="Tabelstandaard Totaal Negatief 3 3 3 2 2 2 7" xfId="5615"/>
    <cellStyle name="Tabelstandaard Totaal Negatief 3 3 3 2 2 3" xfId="3156"/>
    <cellStyle name="Tabelstandaard Totaal Negatief 3 3 3 2 2 3 2" xfId="16033"/>
    <cellStyle name="Tabelstandaard Totaal Negatief 3 3 3 2 2 3 3" xfId="28085"/>
    <cellStyle name="Tabelstandaard Totaal Negatief 3 3 3 2 2 3 4" xfId="39065"/>
    <cellStyle name="Tabelstandaard Totaal Negatief 3 3 3 2 2 3 5" xfId="49253"/>
    <cellStyle name="Tabelstandaard Totaal Negatief 3 3 3 2 2 4" xfId="7213"/>
    <cellStyle name="Tabelstandaard Totaal Negatief 3 3 3 2 2 4 2" xfId="19511"/>
    <cellStyle name="Tabelstandaard Totaal Negatief 3 3 3 2 2 4 3" xfId="41314"/>
    <cellStyle name="Tabelstandaard Totaal Negatief 3 3 3 2 2 4 4" xfId="36910"/>
    <cellStyle name="Tabelstandaard Totaal Negatief 3 3 3 2 2 4 5" xfId="52183"/>
    <cellStyle name="Tabelstandaard Totaal Negatief 3 3 3 2 2 5" xfId="16031"/>
    <cellStyle name="Tabelstandaard Totaal Negatief 3 3 3 2 3" xfId="1349"/>
    <cellStyle name="Tabelstandaard Totaal Negatief 3 3 3 2 3 2" xfId="3360"/>
    <cellStyle name="Tabelstandaard Totaal Negatief 3 3 3 2 3 2 2" xfId="10177"/>
    <cellStyle name="Tabelstandaard Totaal Negatief 3 3 3 2 3 2 2 2" xfId="22475"/>
    <cellStyle name="Tabelstandaard Totaal Negatief 3 3 3 2 3 2 2 3" xfId="34527"/>
    <cellStyle name="Tabelstandaard Totaal Negatief 3 3 3 2 3 2 2 4" xfId="31793"/>
    <cellStyle name="Tabelstandaard Totaal Negatief 3 3 3 2 3 2 2 5" xfId="55142"/>
    <cellStyle name="Tabelstandaard Totaal Negatief 3 3 3 2 3 2 3" xfId="16035"/>
    <cellStyle name="Tabelstandaard Totaal Negatief 3 3 3 2 3 2 4" xfId="28087"/>
    <cellStyle name="Tabelstandaard Totaal Negatief 3 3 3 2 3 2 5" xfId="39064"/>
    <cellStyle name="Tabelstandaard Totaal Negatief 3 3 3 2 3 2 6" xfId="49254"/>
    <cellStyle name="Tabelstandaard Totaal Negatief 3 3 3 2 3 3" xfId="5616"/>
    <cellStyle name="Tabelstandaard Totaal Negatief 3 3 3 2 3 3 2" xfId="16036"/>
    <cellStyle name="Tabelstandaard Totaal Negatief 3 3 3 2 3 3 3" xfId="28088"/>
    <cellStyle name="Tabelstandaard Totaal Negatief 3 3 3 2 3 3 4" xfId="45052"/>
    <cellStyle name="Tabelstandaard Totaal Negatief 3 3 3 2 3 3 5" xfId="49255"/>
    <cellStyle name="Tabelstandaard Totaal Negatief 3 3 3 2 3 4" xfId="7033"/>
    <cellStyle name="Tabelstandaard Totaal Negatief 3 3 3 2 3 4 2" xfId="19331"/>
    <cellStyle name="Tabelstandaard Totaal Negatief 3 3 3 2 3 4 3" xfId="41134"/>
    <cellStyle name="Tabelstandaard Totaal Negatief 3 3 3 2 3 4 4" xfId="43678"/>
    <cellStyle name="Tabelstandaard Totaal Negatief 3 3 3 2 3 4 5" xfId="52004"/>
    <cellStyle name="Tabelstandaard Totaal Negatief 3 3 3 2 3 5" xfId="16034"/>
    <cellStyle name="Tabelstandaard Totaal Negatief 3 3 3 2 4" xfId="2210"/>
    <cellStyle name="Tabelstandaard Totaal Negatief 3 3 3 2 4 2" xfId="10178"/>
    <cellStyle name="Tabelstandaard Totaal Negatief 3 3 3 2 4 2 2" xfId="22476"/>
    <cellStyle name="Tabelstandaard Totaal Negatief 3 3 3 2 4 2 3" xfId="34528"/>
    <cellStyle name="Tabelstandaard Totaal Negatief 3 3 3 2 4 2 4" xfId="42383"/>
    <cellStyle name="Tabelstandaard Totaal Negatief 3 3 3 2 4 2 5" xfId="55143"/>
    <cellStyle name="Tabelstandaard Totaal Negatief 3 3 3 2 4 3" xfId="16037"/>
    <cellStyle name="Tabelstandaard Totaal Negatief 3 3 3 2 4 4" xfId="28089"/>
    <cellStyle name="Tabelstandaard Totaal Negatief 3 3 3 2 4 5" xfId="39063"/>
    <cellStyle name="Tabelstandaard Totaal Negatief 3 3 3 2 4 6" xfId="49256"/>
    <cellStyle name="Tabelstandaard Totaal Negatief 3 3 3 2 5" xfId="5617"/>
    <cellStyle name="Tabelstandaard Totaal Negatief 3 3 3 2 5 2" xfId="16038"/>
    <cellStyle name="Tabelstandaard Totaal Negatief 3 3 3 2 5 3" xfId="28090"/>
    <cellStyle name="Tabelstandaard Totaal Negatief 3 3 3 2 5 4" xfId="45051"/>
    <cellStyle name="Tabelstandaard Totaal Negatief 3 3 3 2 5 5" xfId="49257"/>
    <cellStyle name="Tabelstandaard Totaal Negatief 3 3 3 2 6" xfId="7709"/>
    <cellStyle name="Tabelstandaard Totaal Negatief 3 3 3 2 6 2" xfId="20007"/>
    <cellStyle name="Tabelstandaard Totaal Negatief 3 3 3 2 6 3" xfId="41810"/>
    <cellStyle name="Tabelstandaard Totaal Negatief 3 3 3 2 6 4" xfId="34648"/>
    <cellStyle name="Tabelstandaard Totaal Negatief 3 3 3 2 6 5" xfId="52679"/>
    <cellStyle name="Tabelstandaard Totaal Negatief 3 3 3 2 7" xfId="16030"/>
    <cellStyle name="Tabelstandaard Totaal Negatief 3 3 3 3" xfId="5618"/>
    <cellStyle name="Tabelstandaard Totaal Negatief 3 3 3 3 2" xfId="10179"/>
    <cellStyle name="Tabelstandaard Totaal Negatief 3 3 3 3 2 2" xfId="22477"/>
    <cellStyle name="Tabelstandaard Totaal Negatief 3 3 3 3 2 3" xfId="34529"/>
    <cellStyle name="Tabelstandaard Totaal Negatief 3 3 3 3 2 4" xfId="28770"/>
    <cellStyle name="Tabelstandaard Totaal Negatief 3 3 3 3 2 5" xfId="55144"/>
    <cellStyle name="Tabelstandaard Totaal Negatief 3 3 3 3 3" xfId="16039"/>
    <cellStyle name="Tabelstandaard Totaal Negatief 3 3 3 3 4" xfId="28091"/>
    <cellStyle name="Tabelstandaard Totaal Negatief 3 3 3 3 5" xfId="39062"/>
    <cellStyle name="Tabelstandaard Totaal Negatief 3 3 3 3 6" xfId="49258"/>
    <cellStyle name="Tabelstandaard Totaal Negatief 3 3 3 4" xfId="5619"/>
    <cellStyle name="Tabelstandaard Totaal Negatief 3 3 3 4 2" xfId="16040"/>
    <cellStyle name="Tabelstandaard Totaal Negatief 3 3 3 4 3" xfId="28092"/>
    <cellStyle name="Tabelstandaard Totaal Negatief 3 3 3 4 4" xfId="45050"/>
    <cellStyle name="Tabelstandaard Totaal Negatief 3 3 3 4 5" xfId="49259"/>
    <cellStyle name="Tabelstandaard Totaal Negatief 3 3 3 5" xfId="7733"/>
    <cellStyle name="Tabelstandaard Totaal Negatief 3 3 3 5 2" xfId="20031"/>
    <cellStyle name="Tabelstandaard Totaal Negatief 3 3 3 5 3" xfId="41834"/>
    <cellStyle name="Tabelstandaard Totaal Negatief 3 3 3 5 4" xfId="25164"/>
    <cellStyle name="Tabelstandaard Totaal Negatief 3 3 3 5 5" xfId="52703"/>
    <cellStyle name="Tabelstandaard Totaal Negatief 3 3 3 6" xfId="16029"/>
    <cellStyle name="Tabelstandaard Totaal Negatief 3 3 4" xfId="1255"/>
    <cellStyle name="Tabelstandaard Totaal Negatief 3 3 4 2" xfId="1906"/>
    <cellStyle name="Tabelstandaard Totaal Negatief 3 3 4 2 2" xfId="10181"/>
    <cellStyle name="Tabelstandaard Totaal Negatief 3 3 4 2 2 2" xfId="22479"/>
    <cellStyle name="Tabelstandaard Totaal Negatief 3 3 4 2 2 3" xfId="34531"/>
    <cellStyle name="Tabelstandaard Totaal Negatief 3 3 4 2 2 4" xfId="31685"/>
    <cellStyle name="Tabelstandaard Totaal Negatief 3 3 4 2 2 5" xfId="55146"/>
    <cellStyle name="Tabelstandaard Totaal Negatief 3 3 4 2 3" xfId="16042"/>
    <cellStyle name="Tabelstandaard Totaal Negatief 3 3 4 2 4" xfId="28094"/>
    <cellStyle name="Tabelstandaard Totaal Negatief 3 3 4 2 5" xfId="39060"/>
    <cellStyle name="Tabelstandaard Totaal Negatief 3 3 4 2 6" xfId="49260"/>
    <cellStyle name="Tabelstandaard Totaal Negatief 3 3 4 2 7" xfId="5620"/>
    <cellStyle name="Tabelstandaard Totaal Negatief 3 3 4 3" xfId="3266"/>
    <cellStyle name="Tabelstandaard Totaal Negatief 3 3 4 3 2" xfId="16043"/>
    <cellStyle name="Tabelstandaard Totaal Negatief 3 3 4 3 3" xfId="28095"/>
    <cellStyle name="Tabelstandaard Totaal Negatief 3 3 4 3 4" xfId="39059"/>
    <cellStyle name="Tabelstandaard Totaal Negatief 3 3 4 3 5" xfId="49261"/>
    <cellStyle name="Tabelstandaard Totaal Negatief 3 3 4 4" xfId="7120"/>
    <cellStyle name="Tabelstandaard Totaal Negatief 3 3 4 4 2" xfId="19418"/>
    <cellStyle name="Tabelstandaard Totaal Negatief 3 3 4 4 3" xfId="41221"/>
    <cellStyle name="Tabelstandaard Totaal Negatief 3 3 4 4 4" xfId="43642"/>
    <cellStyle name="Tabelstandaard Totaal Negatief 3 3 4 4 5" xfId="52091"/>
    <cellStyle name="Tabelstandaard Totaal Negatief 3 3 4 5" xfId="16041"/>
    <cellStyle name="Tabelstandaard Totaal Negatief 3 3 5" xfId="2296"/>
    <cellStyle name="Tabelstandaard Totaal Negatief 3 3 5 2" xfId="10182"/>
    <cellStyle name="Tabelstandaard Totaal Negatief 3 3 5 2 2" xfId="22480"/>
    <cellStyle name="Tabelstandaard Totaal Negatief 3 3 5 2 3" xfId="34532"/>
    <cellStyle name="Tabelstandaard Totaal Negatief 3 3 5 2 4" xfId="42381"/>
    <cellStyle name="Tabelstandaard Totaal Negatief 3 3 5 2 5" xfId="55147"/>
    <cellStyle name="Tabelstandaard Totaal Negatief 3 3 5 3" xfId="16044"/>
    <cellStyle name="Tabelstandaard Totaal Negatief 3 3 5 4" xfId="28096"/>
    <cellStyle name="Tabelstandaard Totaal Negatief 3 3 5 5" xfId="45049"/>
    <cellStyle name="Tabelstandaard Totaal Negatief 3 3 5 6" xfId="49262"/>
    <cellStyle name="Tabelstandaard Totaal Negatief 3 3 6" xfId="5621"/>
    <cellStyle name="Tabelstandaard Totaal Negatief 3 3 6 2" xfId="16045"/>
    <cellStyle name="Tabelstandaard Totaal Negatief 3 3 6 3" xfId="28097"/>
    <cellStyle name="Tabelstandaard Totaal Negatief 3 3 6 4" xfId="39058"/>
    <cellStyle name="Tabelstandaard Totaal Negatief 3 3 6 5" xfId="49263"/>
    <cellStyle name="Tabelstandaard Totaal Negatief 3 3 7" xfId="7775"/>
    <cellStyle name="Tabelstandaard Totaal Negatief 3 3 7 2" xfId="20073"/>
    <cellStyle name="Tabelstandaard Totaal Negatief 3 3 7 3" xfId="41876"/>
    <cellStyle name="Tabelstandaard Totaal Negatief 3 3 7 4" xfId="25248"/>
    <cellStyle name="Tabelstandaard Totaal Negatief 3 3 7 5" xfId="52745"/>
    <cellStyle name="Tabelstandaard Totaal Negatief 3 3 8" xfId="16016"/>
    <cellStyle name="Tabelstandaard Totaal Negatief 3 4" xfId="724"/>
    <cellStyle name="Tabelstandaard Totaal Negatief 3 4 2" xfId="840"/>
    <cellStyle name="Tabelstandaard Totaal Negatief 3 4 2 2" xfId="1567"/>
    <cellStyle name="Tabelstandaard Totaal Negatief 3 4 2 2 2" xfId="10185"/>
    <cellStyle name="Tabelstandaard Totaal Negatief 3 4 2 2 2 2" xfId="22483"/>
    <cellStyle name="Tabelstandaard Totaal Negatief 3 4 2 2 2 3" xfId="34535"/>
    <cellStyle name="Tabelstandaard Totaal Negatief 3 4 2 2 2 4" xfId="31618"/>
    <cellStyle name="Tabelstandaard Totaal Negatief 3 4 2 2 2 5" xfId="55150"/>
    <cellStyle name="Tabelstandaard Totaal Negatief 3 4 2 2 3" xfId="16048"/>
    <cellStyle name="Tabelstandaard Totaal Negatief 3 4 2 2 4" xfId="28100"/>
    <cellStyle name="Tabelstandaard Totaal Negatief 3 4 2 2 5" xfId="45048"/>
    <cellStyle name="Tabelstandaard Totaal Negatief 3 4 2 2 6" xfId="49264"/>
    <cellStyle name="Tabelstandaard Totaal Negatief 3 4 2 2 7" xfId="5622"/>
    <cellStyle name="Tabelstandaard Totaal Negatief 3 4 2 3" xfId="2851"/>
    <cellStyle name="Tabelstandaard Totaal Negatief 3 4 2 3 2" xfId="16049"/>
    <cellStyle name="Tabelstandaard Totaal Negatief 3 4 2 3 3" xfId="28101"/>
    <cellStyle name="Tabelstandaard Totaal Negatief 3 4 2 3 4" xfId="39056"/>
    <cellStyle name="Tabelstandaard Totaal Negatief 3 4 2 3 5" xfId="49265"/>
    <cellStyle name="Tabelstandaard Totaal Negatief 3 4 2 4" xfId="10111"/>
    <cellStyle name="Tabelstandaard Totaal Negatief 3 4 2 4 2" xfId="22409"/>
    <cellStyle name="Tabelstandaard Totaal Negatief 3 4 2 4 3" xfId="44173"/>
    <cellStyle name="Tabelstandaard Totaal Negatief 3 4 2 4 4" xfId="28630"/>
    <cellStyle name="Tabelstandaard Totaal Negatief 3 4 2 4 5" xfId="55076"/>
    <cellStyle name="Tabelstandaard Totaal Negatief 3 4 2 5" xfId="16047"/>
    <cellStyle name="Tabelstandaard Totaal Negatief 3 4 3" xfId="1883"/>
    <cellStyle name="Tabelstandaard Totaal Negatief 3 4 3 2" xfId="10186"/>
    <cellStyle name="Tabelstandaard Totaal Negatief 3 4 3 2 2" xfId="22484"/>
    <cellStyle name="Tabelstandaard Totaal Negatief 3 4 3 2 3" xfId="34536"/>
    <cellStyle name="Tabelstandaard Totaal Negatief 3 4 3 2 4" xfId="28784"/>
    <cellStyle name="Tabelstandaard Totaal Negatief 3 4 3 2 5" xfId="55151"/>
    <cellStyle name="Tabelstandaard Totaal Negatief 3 4 3 3" xfId="16050"/>
    <cellStyle name="Tabelstandaard Totaal Negatief 3 4 3 4" xfId="28102"/>
    <cellStyle name="Tabelstandaard Totaal Negatief 3 4 3 5" xfId="45047"/>
    <cellStyle name="Tabelstandaard Totaal Negatief 3 4 3 6" xfId="49266"/>
    <cellStyle name="Tabelstandaard Totaal Negatief 3 4 4" xfId="5623"/>
    <cellStyle name="Tabelstandaard Totaal Negatief 3 4 4 2" xfId="16051"/>
    <cellStyle name="Tabelstandaard Totaal Negatief 3 4 4 3" xfId="28103"/>
    <cellStyle name="Tabelstandaard Totaal Negatief 3 4 4 4" xfId="39055"/>
    <cellStyle name="Tabelstandaard Totaal Negatief 3 4 4 5" xfId="49267"/>
    <cellStyle name="Tabelstandaard Totaal Negatief 3 4 5" xfId="10188"/>
    <cellStyle name="Tabelstandaard Totaal Negatief 3 4 5 2" xfId="22486"/>
    <cellStyle name="Tabelstandaard Totaal Negatief 3 4 5 3" xfId="44249"/>
    <cellStyle name="Tabelstandaard Totaal Negatief 3 4 5 4" xfId="42379"/>
    <cellStyle name="Tabelstandaard Totaal Negatief 3 4 5 5" xfId="55153"/>
    <cellStyle name="Tabelstandaard Totaal Negatief 3 4 6" xfId="16046"/>
    <cellStyle name="Tabelstandaard Totaal Negatief 3 5" xfId="784"/>
    <cellStyle name="Tabelstandaard Totaal Negatief 3 5 2" xfId="1171"/>
    <cellStyle name="Tabelstandaard Totaal Negatief 3 5 2 2" xfId="2017"/>
    <cellStyle name="Tabelstandaard Totaal Negatief 3 5 2 2 2" xfId="10189"/>
    <cellStyle name="Tabelstandaard Totaal Negatief 3 5 2 2 2 2" xfId="22487"/>
    <cellStyle name="Tabelstandaard Totaal Negatief 3 5 2 2 2 3" xfId="34539"/>
    <cellStyle name="Tabelstandaard Totaal Negatief 3 5 2 2 2 4" xfId="28791"/>
    <cellStyle name="Tabelstandaard Totaal Negatief 3 5 2 2 2 5" xfId="55154"/>
    <cellStyle name="Tabelstandaard Totaal Negatief 3 5 2 2 3" xfId="16054"/>
    <cellStyle name="Tabelstandaard Totaal Negatief 3 5 2 2 4" xfId="28106"/>
    <cellStyle name="Tabelstandaard Totaal Negatief 3 5 2 2 5" xfId="39053"/>
    <cellStyle name="Tabelstandaard Totaal Negatief 3 5 2 2 6" xfId="49268"/>
    <cellStyle name="Tabelstandaard Totaal Negatief 3 5 2 2 7" xfId="5624"/>
    <cellStyle name="Tabelstandaard Totaal Negatief 3 5 2 3" xfId="3182"/>
    <cellStyle name="Tabelstandaard Totaal Negatief 3 5 2 3 2" xfId="16055"/>
    <cellStyle name="Tabelstandaard Totaal Negatief 3 5 2 3 3" xfId="28107"/>
    <cellStyle name="Tabelstandaard Totaal Negatief 3 5 2 3 4" xfId="39052"/>
    <cellStyle name="Tabelstandaard Totaal Negatief 3 5 2 3 5" xfId="49269"/>
    <cellStyle name="Tabelstandaard Totaal Negatief 3 5 2 4" xfId="9886"/>
    <cellStyle name="Tabelstandaard Totaal Negatief 3 5 2 4 2" xfId="22184"/>
    <cellStyle name="Tabelstandaard Totaal Negatief 3 5 2 4 3" xfId="43951"/>
    <cellStyle name="Tabelstandaard Totaal Negatief 3 5 2 4 4" xfId="42505"/>
    <cellStyle name="Tabelstandaard Totaal Negatief 3 5 2 4 5" xfId="54851"/>
    <cellStyle name="Tabelstandaard Totaal Negatief 3 5 2 5" xfId="16053"/>
    <cellStyle name="Tabelstandaard Totaal Negatief 3 5 3" xfId="1495"/>
    <cellStyle name="Tabelstandaard Totaal Negatief 3 5 3 2" xfId="10190"/>
    <cellStyle name="Tabelstandaard Totaal Negatief 3 5 3 2 2" xfId="22488"/>
    <cellStyle name="Tabelstandaard Totaal Negatief 3 5 3 2 3" xfId="34540"/>
    <cellStyle name="Tabelstandaard Totaal Negatief 3 5 3 2 4" xfId="42378"/>
    <cellStyle name="Tabelstandaard Totaal Negatief 3 5 3 2 5" xfId="55155"/>
    <cellStyle name="Tabelstandaard Totaal Negatief 3 5 3 3" xfId="16056"/>
    <cellStyle name="Tabelstandaard Totaal Negatief 3 5 3 4" xfId="28108"/>
    <cellStyle name="Tabelstandaard Totaal Negatief 3 5 3 5" xfId="45045"/>
    <cellStyle name="Tabelstandaard Totaal Negatief 3 5 3 6" xfId="49270"/>
    <cellStyle name="Tabelstandaard Totaal Negatief 3 5 4" xfId="5625"/>
    <cellStyle name="Tabelstandaard Totaal Negatief 3 5 4 2" xfId="16057"/>
    <cellStyle name="Tabelstandaard Totaal Negatief 3 5 4 3" xfId="28109"/>
    <cellStyle name="Tabelstandaard Totaal Negatief 3 5 4 4" xfId="39051"/>
    <cellStyle name="Tabelstandaard Totaal Negatief 3 5 4 5" xfId="49271"/>
    <cellStyle name="Tabelstandaard Totaal Negatief 3 5 5" xfId="10148"/>
    <cellStyle name="Tabelstandaard Totaal Negatief 3 5 5 2" xfId="22446"/>
    <cellStyle name="Tabelstandaard Totaal Negatief 3 5 5 3" xfId="44210"/>
    <cellStyle name="Tabelstandaard Totaal Negatief 3 5 5 4" xfId="42395"/>
    <cellStyle name="Tabelstandaard Totaal Negatief 3 5 5 5" xfId="55113"/>
    <cellStyle name="Tabelstandaard Totaal Negatief 3 5 6" xfId="16052"/>
    <cellStyle name="Tabelstandaard Totaal Negatief 3 6" xfId="742"/>
    <cellStyle name="Tabelstandaard Totaal Negatief 3 6 2" xfId="1146"/>
    <cellStyle name="Tabelstandaard Totaal Negatief 3 6 2 2" xfId="2425"/>
    <cellStyle name="Tabelstandaard Totaal Negatief 3 6 2 2 2" xfId="10193"/>
    <cellStyle name="Tabelstandaard Totaal Negatief 3 6 2 2 2 2" xfId="22491"/>
    <cellStyle name="Tabelstandaard Totaal Negatief 3 6 2 2 2 3" xfId="34543"/>
    <cellStyle name="Tabelstandaard Totaal Negatief 3 6 2 2 2 4" xfId="42377"/>
    <cellStyle name="Tabelstandaard Totaal Negatief 3 6 2 2 2 5" xfId="55158"/>
    <cellStyle name="Tabelstandaard Totaal Negatief 3 6 2 2 3" xfId="16060"/>
    <cellStyle name="Tabelstandaard Totaal Negatief 3 6 2 2 4" xfId="28112"/>
    <cellStyle name="Tabelstandaard Totaal Negatief 3 6 2 2 5" xfId="45043"/>
    <cellStyle name="Tabelstandaard Totaal Negatief 3 6 2 2 6" xfId="49272"/>
    <cellStyle name="Tabelstandaard Totaal Negatief 3 6 2 2 7" xfId="5626"/>
    <cellStyle name="Tabelstandaard Totaal Negatief 3 6 2 3" xfId="3157"/>
    <cellStyle name="Tabelstandaard Totaal Negatief 3 6 2 3 2" xfId="16061"/>
    <cellStyle name="Tabelstandaard Totaal Negatief 3 6 2 3 3" xfId="28113"/>
    <cellStyle name="Tabelstandaard Totaal Negatief 3 6 2 3 4" xfId="39049"/>
    <cellStyle name="Tabelstandaard Totaal Negatief 3 6 2 3 5" xfId="49273"/>
    <cellStyle name="Tabelstandaard Totaal Negatief 3 6 2 4" xfId="7212"/>
    <cellStyle name="Tabelstandaard Totaal Negatief 3 6 2 4 2" xfId="19510"/>
    <cellStyle name="Tabelstandaard Totaal Negatief 3 6 2 4 3" xfId="41313"/>
    <cellStyle name="Tabelstandaard Totaal Negatief 3 6 2 4 4" xfId="43603"/>
    <cellStyle name="Tabelstandaard Totaal Negatief 3 6 2 4 5" xfId="52182"/>
    <cellStyle name="Tabelstandaard Totaal Negatief 3 6 2 5" xfId="16059"/>
    <cellStyle name="Tabelstandaard Totaal Negatief 3 6 3" xfId="1999"/>
    <cellStyle name="Tabelstandaard Totaal Negatief 3 6 3 2" xfId="10194"/>
    <cellStyle name="Tabelstandaard Totaal Negatief 3 6 3 2 2" xfId="22492"/>
    <cellStyle name="Tabelstandaard Totaal Negatief 3 6 3 2 3" xfId="34544"/>
    <cellStyle name="Tabelstandaard Totaal Negatief 3 6 3 2 4" xfId="34279"/>
    <cellStyle name="Tabelstandaard Totaal Negatief 3 6 3 2 5" xfId="55159"/>
    <cellStyle name="Tabelstandaard Totaal Negatief 3 6 3 3" xfId="16062"/>
    <cellStyle name="Tabelstandaard Totaal Negatief 3 6 3 4" xfId="28114"/>
    <cellStyle name="Tabelstandaard Totaal Negatief 3 6 3 5" xfId="45042"/>
    <cellStyle name="Tabelstandaard Totaal Negatief 3 6 3 6" xfId="49274"/>
    <cellStyle name="Tabelstandaard Totaal Negatief 3 6 4" xfId="5627"/>
    <cellStyle name="Tabelstandaard Totaal Negatief 3 6 4 2" xfId="16063"/>
    <cellStyle name="Tabelstandaard Totaal Negatief 3 6 4 3" xfId="28115"/>
    <cellStyle name="Tabelstandaard Totaal Negatief 3 6 4 4" xfId="39048"/>
    <cellStyle name="Tabelstandaard Totaal Negatief 3 6 4 5" xfId="49275"/>
    <cellStyle name="Tabelstandaard Totaal Negatief 3 6 5" xfId="7486"/>
    <cellStyle name="Tabelstandaard Totaal Negatief 3 6 5 2" xfId="19784"/>
    <cellStyle name="Tabelstandaard Totaal Negatief 3 6 5 3" xfId="41587"/>
    <cellStyle name="Tabelstandaard Totaal Negatief 3 6 5 4" xfId="34348"/>
    <cellStyle name="Tabelstandaard Totaal Negatief 3 6 5 5" xfId="52456"/>
    <cellStyle name="Tabelstandaard Totaal Negatief 3 6 6" xfId="16058"/>
    <cellStyle name="Tabelstandaard Totaal Negatief 3 7" xfId="735"/>
    <cellStyle name="Tabelstandaard Totaal Negatief 3 7 2" xfId="471"/>
    <cellStyle name="Tabelstandaard Totaal Negatief 3 7 2 2" xfId="2048"/>
    <cellStyle name="Tabelstandaard Totaal Negatief 3 7 2 2 2" xfId="10197"/>
    <cellStyle name="Tabelstandaard Totaal Negatief 3 7 2 2 2 2" xfId="22495"/>
    <cellStyle name="Tabelstandaard Totaal Negatief 3 7 2 2 2 3" xfId="34547"/>
    <cellStyle name="Tabelstandaard Totaal Negatief 3 7 2 2 2 4" xfId="42375"/>
    <cellStyle name="Tabelstandaard Totaal Negatief 3 7 2 2 2 5" xfId="55162"/>
    <cellStyle name="Tabelstandaard Totaal Negatief 3 7 2 2 3" xfId="16066"/>
    <cellStyle name="Tabelstandaard Totaal Negatief 3 7 2 2 4" xfId="28118"/>
    <cellStyle name="Tabelstandaard Totaal Negatief 3 7 2 2 5" xfId="39047"/>
    <cellStyle name="Tabelstandaard Totaal Negatief 3 7 2 2 6" xfId="49276"/>
    <cellStyle name="Tabelstandaard Totaal Negatief 3 7 2 2 7" xfId="5628"/>
    <cellStyle name="Tabelstandaard Totaal Negatief 3 7 2 3" xfId="2542"/>
    <cellStyle name="Tabelstandaard Totaal Negatief 3 7 2 3 2" xfId="16067"/>
    <cellStyle name="Tabelstandaard Totaal Negatief 3 7 2 3 3" xfId="28119"/>
    <cellStyle name="Tabelstandaard Totaal Negatief 3 7 2 3 4" xfId="39046"/>
    <cellStyle name="Tabelstandaard Totaal Negatief 3 7 2 3 5" xfId="49277"/>
    <cellStyle name="Tabelstandaard Totaal Negatief 3 7 2 4" xfId="7668"/>
    <cellStyle name="Tabelstandaard Totaal Negatief 3 7 2 4 2" xfId="19966"/>
    <cellStyle name="Tabelstandaard Totaal Negatief 3 7 2 4 3" xfId="41769"/>
    <cellStyle name="Tabelstandaard Totaal Negatief 3 7 2 4 4" xfId="43413"/>
    <cellStyle name="Tabelstandaard Totaal Negatief 3 7 2 4 5" xfId="52638"/>
    <cellStyle name="Tabelstandaard Totaal Negatief 3 7 2 5" xfId="16065"/>
    <cellStyle name="Tabelstandaard Totaal Negatief 3 7 3" xfId="2253"/>
    <cellStyle name="Tabelstandaard Totaal Negatief 3 7 3 2" xfId="10198"/>
    <cellStyle name="Tabelstandaard Totaal Negatief 3 7 3 2 2" xfId="22496"/>
    <cellStyle name="Tabelstandaard Totaal Negatief 3 7 3 2 3" xfId="34548"/>
    <cellStyle name="Tabelstandaard Totaal Negatief 3 7 3 2 4" xfId="31788"/>
    <cellStyle name="Tabelstandaard Totaal Negatief 3 7 3 2 5" xfId="55163"/>
    <cellStyle name="Tabelstandaard Totaal Negatief 3 7 3 3" xfId="16068"/>
    <cellStyle name="Tabelstandaard Totaal Negatief 3 7 3 4" xfId="28120"/>
    <cellStyle name="Tabelstandaard Totaal Negatief 3 7 3 5" xfId="45040"/>
    <cellStyle name="Tabelstandaard Totaal Negatief 3 7 3 6" xfId="49278"/>
    <cellStyle name="Tabelstandaard Totaal Negatief 3 7 4" xfId="5629"/>
    <cellStyle name="Tabelstandaard Totaal Negatief 3 7 4 2" xfId="16069"/>
    <cellStyle name="Tabelstandaard Totaal Negatief 3 7 4 3" xfId="28121"/>
    <cellStyle name="Tabelstandaard Totaal Negatief 3 7 4 4" xfId="39045"/>
    <cellStyle name="Tabelstandaard Totaal Negatief 3 7 4 5" xfId="49279"/>
    <cellStyle name="Tabelstandaard Totaal Negatief 3 7 5" xfId="7490"/>
    <cellStyle name="Tabelstandaard Totaal Negatief 3 7 5 2" xfId="19788"/>
    <cellStyle name="Tabelstandaard Totaal Negatief 3 7 5 3" xfId="41591"/>
    <cellStyle name="Tabelstandaard Totaal Negatief 3 7 5 4" xfId="43487"/>
    <cellStyle name="Tabelstandaard Totaal Negatief 3 7 5 5" xfId="52460"/>
    <cellStyle name="Tabelstandaard Totaal Negatief 3 7 6" xfId="16064"/>
    <cellStyle name="Tabelstandaard Totaal Negatief 3 8" xfId="815"/>
    <cellStyle name="Tabelstandaard Totaal Negatief 3 8 2" xfId="642"/>
    <cellStyle name="Tabelstandaard Totaal Negatief 3 8 2 2" xfId="2434"/>
    <cellStyle name="Tabelstandaard Totaal Negatief 3 8 2 2 2" xfId="10201"/>
    <cellStyle name="Tabelstandaard Totaal Negatief 3 8 2 2 2 2" xfId="22499"/>
    <cellStyle name="Tabelstandaard Totaal Negatief 3 8 2 2 2 3" xfId="34551"/>
    <cellStyle name="Tabelstandaard Totaal Negatief 3 8 2 2 2 4" xfId="34371"/>
    <cellStyle name="Tabelstandaard Totaal Negatief 3 8 2 2 2 5" xfId="55166"/>
    <cellStyle name="Tabelstandaard Totaal Negatief 3 8 2 2 3" xfId="16072"/>
    <cellStyle name="Tabelstandaard Totaal Negatief 3 8 2 2 4" xfId="28124"/>
    <cellStyle name="Tabelstandaard Totaal Negatief 3 8 2 2 5" xfId="45038"/>
    <cellStyle name="Tabelstandaard Totaal Negatief 3 8 2 2 6" xfId="49280"/>
    <cellStyle name="Tabelstandaard Totaal Negatief 3 8 2 2 7" xfId="5630"/>
    <cellStyle name="Tabelstandaard Totaal Negatief 3 8 2 3" xfId="2708"/>
    <cellStyle name="Tabelstandaard Totaal Negatief 3 8 2 3 2" xfId="16073"/>
    <cellStyle name="Tabelstandaard Totaal Negatief 3 8 2 3 3" xfId="28125"/>
    <cellStyle name="Tabelstandaard Totaal Negatief 3 8 2 3 4" xfId="39043"/>
    <cellStyle name="Tabelstandaard Totaal Negatief 3 8 2 3 5" xfId="49281"/>
    <cellStyle name="Tabelstandaard Totaal Negatief 3 8 2 4" xfId="10238"/>
    <cellStyle name="Tabelstandaard Totaal Negatief 3 8 2 4 2" xfId="22536"/>
    <cellStyle name="Tabelstandaard Totaal Negatief 3 8 2 4 3" xfId="44298"/>
    <cellStyle name="Tabelstandaard Totaal Negatief 3 8 2 4 4" xfId="42358"/>
    <cellStyle name="Tabelstandaard Totaal Negatief 3 8 2 4 5" xfId="55203"/>
    <cellStyle name="Tabelstandaard Totaal Negatief 3 8 2 5" xfId="16071"/>
    <cellStyle name="Tabelstandaard Totaal Negatief 3 8 3" xfId="1579"/>
    <cellStyle name="Tabelstandaard Totaal Negatief 3 8 3 2" xfId="10202"/>
    <cellStyle name="Tabelstandaard Totaal Negatief 3 8 3 2 2" xfId="22500"/>
    <cellStyle name="Tabelstandaard Totaal Negatief 3 8 3 2 3" xfId="34552"/>
    <cellStyle name="Tabelstandaard Totaal Negatief 3 8 3 2 4" xfId="42373"/>
    <cellStyle name="Tabelstandaard Totaal Negatief 3 8 3 2 5" xfId="55167"/>
    <cellStyle name="Tabelstandaard Totaal Negatief 3 8 3 3" xfId="16074"/>
    <cellStyle name="Tabelstandaard Totaal Negatief 3 8 3 4" xfId="28126"/>
    <cellStyle name="Tabelstandaard Totaal Negatief 3 8 3 5" xfId="45037"/>
    <cellStyle name="Tabelstandaard Totaal Negatief 3 8 3 6" xfId="49282"/>
    <cellStyle name="Tabelstandaard Totaal Negatief 3 8 4" xfId="5631"/>
    <cellStyle name="Tabelstandaard Totaal Negatief 3 8 4 2" xfId="16075"/>
    <cellStyle name="Tabelstandaard Totaal Negatief 3 8 4 3" xfId="28127"/>
    <cellStyle name="Tabelstandaard Totaal Negatief 3 8 4 4" xfId="39042"/>
    <cellStyle name="Tabelstandaard Totaal Negatief 3 8 4 5" xfId="49283"/>
    <cellStyle name="Tabelstandaard Totaal Negatief 3 8 5" xfId="7437"/>
    <cellStyle name="Tabelstandaard Totaal Negatief 3 8 5 2" xfId="19735"/>
    <cellStyle name="Tabelstandaard Totaal Negatief 3 8 5 3" xfId="41538"/>
    <cellStyle name="Tabelstandaard Totaal Negatief 3 8 5 4" xfId="15557"/>
    <cellStyle name="Tabelstandaard Totaal Negatief 3 8 5 5" xfId="52407"/>
    <cellStyle name="Tabelstandaard Totaal Negatief 3 8 6" xfId="16070"/>
    <cellStyle name="Tabelstandaard Totaal Negatief 3 9" xfId="710"/>
    <cellStyle name="Tabelstandaard Totaal Negatief 3 9 2" xfId="598"/>
    <cellStyle name="Tabelstandaard Totaal Negatief 3 9 2 2" xfId="1609"/>
    <cellStyle name="Tabelstandaard Totaal Negatief 3 9 2 2 2" xfId="10205"/>
    <cellStyle name="Tabelstandaard Totaal Negatief 3 9 2 2 2 2" xfId="22503"/>
    <cellStyle name="Tabelstandaard Totaal Negatief 3 9 2 2 2 3" xfId="34555"/>
    <cellStyle name="Tabelstandaard Totaal Negatief 3 9 2 2 2 4" xfId="34302"/>
    <cellStyle name="Tabelstandaard Totaal Negatief 3 9 2 2 2 5" xfId="55170"/>
    <cellStyle name="Tabelstandaard Totaal Negatief 3 9 2 2 3" xfId="16078"/>
    <cellStyle name="Tabelstandaard Totaal Negatief 3 9 2 2 4" xfId="28130"/>
    <cellStyle name="Tabelstandaard Totaal Negatief 3 9 2 2 5" xfId="39040"/>
    <cellStyle name="Tabelstandaard Totaal Negatief 3 9 2 2 6" xfId="49284"/>
    <cellStyle name="Tabelstandaard Totaal Negatief 3 9 2 2 7" xfId="5632"/>
    <cellStyle name="Tabelstandaard Totaal Negatief 3 9 2 3" xfId="2669"/>
    <cellStyle name="Tabelstandaard Totaal Negatief 3 9 2 3 2" xfId="16079"/>
    <cellStyle name="Tabelstandaard Totaal Negatief 3 9 2 3 3" xfId="28131"/>
    <cellStyle name="Tabelstandaard Totaal Negatief 3 9 2 3 4" xfId="39039"/>
    <cellStyle name="Tabelstandaard Totaal Negatief 3 9 2 3 5" xfId="49285"/>
    <cellStyle name="Tabelstandaard Totaal Negatief 3 9 2 4" xfId="7584"/>
    <cellStyle name="Tabelstandaard Totaal Negatief 3 9 2 4 2" xfId="19882"/>
    <cellStyle name="Tabelstandaard Totaal Negatief 3 9 2 4 3" xfId="41685"/>
    <cellStyle name="Tabelstandaard Totaal Negatief 3 9 2 4 4" xfId="43448"/>
    <cellStyle name="Tabelstandaard Totaal Negatief 3 9 2 4 5" xfId="52554"/>
    <cellStyle name="Tabelstandaard Totaal Negatief 3 9 2 5" xfId="16077"/>
    <cellStyle name="Tabelstandaard Totaal Negatief 3 9 3" xfId="2232"/>
    <cellStyle name="Tabelstandaard Totaal Negatief 3 9 3 2" xfId="10206"/>
    <cellStyle name="Tabelstandaard Totaal Negatief 3 9 3 2 2" xfId="22504"/>
    <cellStyle name="Tabelstandaard Totaal Negatief 3 9 3 2 3" xfId="34556"/>
    <cellStyle name="Tabelstandaard Totaal Negatief 3 9 3 2 4" xfId="42371"/>
    <cellStyle name="Tabelstandaard Totaal Negatief 3 9 3 2 5" xfId="55171"/>
    <cellStyle name="Tabelstandaard Totaal Negatief 3 9 3 3" xfId="16080"/>
    <cellStyle name="Tabelstandaard Totaal Negatief 3 9 3 4" xfId="28132"/>
    <cellStyle name="Tabelstandaard Totaal Negatief 3 9 3 5" xfId="45035"/>
    <cellStyle name="Tabelstandaard Totaal Negatief 3 9 3 6" xfId="49286"/>
    <cellStyle name="Tabelstandaard Totaal Negatief 3 9 4" xfId="5633"/>
    <cellStyle name="Tabelstandaard Totaal Negatief 3 9 4 2" xfId="16081"/>
    <cellStyle name="Tabelstandaard Totaal Negatief 3 9 4 3" xfId="28133"/>
    <cellStyle name="Tabelstandaard Totaal Negatief 3 9 4 4" xfId="39038"/>
    <cellStyle name="Tabelstandaard Totaal Negatief 3 9 4 5" xfId="49287"/>
    <cellStyle name="Tabelstandaard Totaal Negatief 3 9 5" xfId="10195"/>
    <cellStyle name="Tabelstandaard Totaal Negatief 3 9 5 2" xfId="22493"/>
    <cellStyle name="Tabelstandaard Totaal Negatief 3 9 5 3" xfId="44256"/>
    <cellStyle name="Tabelstandaard Totaal Negatief 3 9 5 4" xfId="42376"/>
    <cellStyle name="Tabelstandaard Totaal Negatief 3 9 5 5" xfId="55160"/>
    <cellStyle name="Tabelstandaard Totaal Negatief 3 9 6" xfId="16076"/>
    <cellStyle name="Tabelstandaard Totaal Negatief 4" xfId="119"/>
    <cellStyle name="Tabelstandaard Totaal Negatief 4 10" xfId="5634"/>
    <cellStyle name="Tabelstandaard Totaal Negatief 4 10 2" xfId="10208"/>
    <cellStyle name="Tabelstandaard Totaal Negatief 4 10 2 2" xfId="22506"/>
    <cellStyle name="Tabelstandaard Totaal Negatief 4 10 2 3" xfId="34558"/>
    <cellStyle name="Tabelstandaard Totaal Negatief 4 10 2 4" xfId="42370"/>
    <cellStyle name="Tabelstandaard Totaal Negatief 4 10 2 5" xfId="55173"/>
    <cellStyle name="Tabelstandaard Totaal Negatief 4 10 3" xfId="16083"/>
    <cellStyle name="Tabelstandaard Totaal Negatief 4 10 4" xfId="28135"/>
    <cellStyle name="Tabelstandaard Totaal Negatief 4 10 5" xfId="39037"/>
    <cellStyle name="Tabelstandaard Totaal Negatief 4 10 6" xfId="49288"/>
    <cellStyle name="Tabelstandaard Totaal Negatief 4 11" xfId="5635"/>
    <cellStyle name="Tabelstandaard Totaal Negatief 4 11 2" xfId="10209"/>
    <cellStyle name="Tabelstandaard Totaal Negatief 4 11 2 2" xfId="22507"/>
    <cellStyle name="Tabelstandaard Totaal Negatief 4 11 2 3" xfId="34559"/>
    <cellStyle name="Tabelstandaard Totaal Negatief 4 11 2 4" xfId="31695"/>
    <cellStyle name="Tabelstandaard Totaal Negatief 4 11 2 5" xfId="55174"/>
    <cellStyle name="Tabelstandaard Totaal Negatief 4 11 3" xfId="16084"/>
    <cellStyle name="Tabelstandaard Totaal Negatief 4 11 4" xfId="28136"/>
    <cellStyle name="Tabelstandaard Totaal Negatief 4 11 5" xfId="45033"/>
    <cellStyle name="Tabelstandaard Totaal Negatief 4 11 6" xfId="49289"/>
    <cellStyle name="Tabelstandaard Totaal Negatief 4 12" xfId="5636"/>
    <cellStyle name="Tabelstandaard Totaal Negatief 4 12 2" xfId="10210"/>
    <cellStyle name="Tabelstandaard Totaal Negatief 4 12 2 2" xfId="22508"/>
    <cellStyle name="Tabelstandaard Totaal Negatief 4 12 2 3" xfId="34560"/>
    <cellStyle name="Tabelstandaard Totaal Negatief 4 12 2 4" xfId="28833"/>
    <cellStyle name="Tabelstandaard Totaal Negatief 4 12 2 5" xfId="55175"/>
    <cellStyle name="Tabelstandaard Totaal Negatief 4 12 3" xfId="16085"/>
    <cellStyle name="Tabelstandaard Totaal Negatief 4 12 4" xfId="28137"/>
    <cellStyle name="Tabelstandaard Totaal Negatief 4 12 5" xfId="39036"/>
    <cellStyle name="Tabelstandaard Totaal Negatief 4 12 6" xfId="49290"/>
    <cellStyle name="Tabelstandaard Totaal Negatief 4 13" xfId="5637"/>
    <cellStyle name="Tabelstandaard Totaal Negatief 4 13 2" xfId="10211"/>
    <cellStyle name="Tabelstandaard Totaal Negatief 4 13 2 2" xfId="22509"/>
    <cellStyle name="Tabelstandaard Totaal Negatief 4 13 2 3" xfId="34561"/>
    <cellStyle name="Tabelstandaard Totaal Negatief 4 13 2 4" xfId="31487"/>
    <cellStyle name="Tabelstandaard Totaal Negatief 4 13 2 5" xfId="55176"/>
    <cellStyle name="Tabelstandaard Totaal Negatief 4 13 3" xfId="16086"/>
    <cellStyle name="Tabelstandaard Totaal Negatief 4 13 4" xfId="28138"/>
    <cellStyle name="Tabelstandaard Totaal Negatief 4 13 5" xfId="45032"/>
    <cellStyle name="Tabelstandaard Totaal Negatief 4 13 6" xfId="49291"/>
    <cellStyle name="Tabelstandaard Totaal Negatief 4 14" xfId="5638"/>
    <cellStyle name="Tabelstandaard Totaal Negatief 4 14 2" xfId="16087"/>
    <cellStyle name="Tabelstandaard Totaal Negatief 4 14 3" xfId="28139"/>
    <cellStyle name="Tabelstandaard Totaal Negatief 4 14 4" xfId="39035"/>
    <cellStyle name="Tabelstandaard Totaal Negatief 4 14 5" xfId="49292"/>
    <cellStyle name="Tabelstandaard Totaal Negatief 4 15" xfId="7788"/>
    <cellStyle name="Tabelstandaard Totaal Negatief 4 15 2" xfId="43363"/>
    <cellStyle name="Tabelstandaard Totaal Negatief 4 16" xfId="16082"/>
    <cellStyle name="Tabelstandaard Totaal Negatief 4 2" xfId="137"/>
    <cellStyle name="Tabelstandaard Totaal Negatief 4 2 10" xfId="5639"/>
    <cellStyle name="Tabelstandaard Totaal Negatief 4 2 10 2" xfId="10213"/>
    <cellStyle name="Tabelstandaard Totaal Negatief 4 2 10 2 2" xfId="22511"/>
    <cellStyle name="Tabelstandaard Totaal Negatief 4 2 10 2 3" xfId="34563"/>
    <cellStyle name="Tabelstandaard Totaal Negatief 4 2 10 2 4" xfId="28840"/>
    <cellStyle name="Tabelstandaard Totaal Negatief 4 2 10 2 5" xfId="55178"/>
    <cellStyle name="Tabelstandaard Totaal Negatief 4 2 10 3" xfId="16089"/>
    <cellStyle name="Tabelstandaard Totaal Negatief 4 2 10 4" xfId="28141"/>
    <cellStyle name="Tabelstandaard Totaal Negatief 4 2 10 5" xfId="39034"/>
    <cellStyle name="Tabelstandaard Totaal Negatief 4 2 10 6" xfId="49293"/>
    <cellStyle name="Tabelstandaard Totaal Negatief 4 2 11" xfId="5640"/>
    <cellStyle name="Tabelstandaard Totaal Negatief 4 2 11 2" xfId="10214"/>
    <cellStyle name="Tabelstandaard Totaal Negatief 4 2 11 2 2" xfId="22512"/>
    <cellStyle name="Tabelstandaard Totaal Negatief 4 2 11 2 3" xfId="34564"/>
    <cellStyle name="Tabelstandaard Totaal Negatief 4 2 11 2 4" xfId="42368"/>
    <cellStyle name="Tabelstandaard Totaal Negatief 4 2 11 2 5" xfId="55179"/>
    <cellStyle name="Tabelstandaard Totaal Negatief 4 2 11 3" xfId="16090"/>
    <cellStyle name="Tabelstandaard Totaal Negatief 4 2 11 4" xfId="28142"/>
    <cellStyle name="Tabelstandaard Totaal Negatief 4 2 11 5" xfId="39033"/>
    <cellStyle name="Tabelstandaard Totaal Negatief 4 2 11 6" xfId="49294"/>
    <cellStyle name="Tabelstandaard Totaal Negatief 4 2 12" xfId="5641"/>
    <cellStyle name="Tabelstandaard Totaal Negatief 4 2 12 2" xfId="10215"/>
    <cellStyle name="Tabelstandaard Totaal Negatief 4 2 12 2 2" xfId="22513"/>
    <cellStyle name="Tabelstandaard Totaal Negatief 4 2 12 2 3" xfId="34565"/>
    <cellStyle name="Tabelstandaard Totaal Negatief 4 2 12 2 4" xfId="34574"/>
    <cellStyle name="Tabelstandaard Totaal Negatief 4 2 12 2 5" xfId="55180"/>
    <cellStyle name="Tabelstandaard Totaal Negatief 4 2 12 3" xfId="16091"/>
    <cellStyle name="Tabelstandaard Totaal Negatief 4 2 12 4" xfId="28143"/>
    <cellStyle name="Tabelstandaard Totaal Negatief 4 2 12 5" xfId="39032"/>
    <cellStyle name="Tabelstandaard Totaal Negatief 4 2 12 6" xfId="49295"/>
    <cellStyle name="Tabelstandaard Totaal Negatief 4 2 13" xfId="5642"/>
    <cellStyle name="Tabelstandaard Totaal Negatief 4 2 13 2" xfId="16092"/>
    <cellStyle name="Tabelstandaard Totaal Negatief 4 2 13 3" xfId="28144"/>
    <cellStyle name="Tabelstandaard Totaal Negatief 4 2 13 4" xfId="45030"/>
    <cellStyle name="Tabelstandaard Totaal Negatief 4 2 13 5" xfId="49296"/>
    <cellStyle name="Tabelstandaard Totaal Negatief 4 2 14" xfId="7781"/>
    <cellStyle name="Tabelstandaard Totaal Negatief 4 2 14 2" xfId="20079"/>
    <cellStyle name="Tabelstandaard Totaal Negatief 4 2 14 3" xfId="41882"/>
    <cellStyle name="Tabelstandaard Totaal Negatief 4 2 14 4" xfId="25265"/>
    <cellStyle name="Tabelstandaard Totaal Negatief 4 2 14 5" xfId="52751"/>
    <cellStyle name="Tabelstandaard Totaal Negatief 4 2 15" xfId="16088"/>
    <cellStyle name="Tabelstandaard Totaal Negatief 4 2 16" xfId="219"/>
    <cellStyle name="Tabelstandaard Totaal Negatief 4 2 2" xfId="146"/>
    <cellStyle name="Tabelstandaard Totaal Negatief 4 2 2 10" xfId="252"/>
    <cellStyle name="Tabelstandaard Totaal Negatief 4 2 2 2" xfId="393"/>
    <cellStyle name="Tabelstandaard Totaal Negatief 4 2 2 2 2" xfId="1009"/>
    <cellStyle name="Tabelstandaard Totaal Negatief 4 2 2 2 2 2" xfId="1815"/>
    <cellStyle name="Tabelstandaard Totaal Negatief 4 2 2 2 2 2 2" xfId="10219"/>
    <cellStyle name="Tabelstandaard Totaal Negatief 4 2 2 2 2 2 2 2" xfId="22517"/>
    <cellStyle name="Tabelstandaard Totaal Negatief 4 2 2 2 2 2 2 3" xfId="34569"/>
    <cellStyle name="Tabelstandaard Totaal Negatief 4 2 2 2 2 2 2 4" xfId="28851"/>
    <cellStyle name="Tabelstandaard Totaal Negatief 4 2 2 2 2 2 2 5" xfId="55184"/>
    <cellStyle name="Tabelstandaard Totaal Negatief 4 2 2 2 2 2 3" xfId="16096"/>
    <cellStyle name="Tabelstandaard Totaal Negatief 4 2 2 2 2 2 4" xfId="28148"/>
    <cellStyle name="Tabelstandaard Totaal Negatief 4 2 2 2 2 2 5" xfId="45028"/>
    <cellStyle name="Tabelstandaard Totaal Negatief 4 2 2 2 2 2 6" xfId="49297"/>
    <cellStyle name="Tabelstandaard Totaal Negatief 4 2 2 2 2 2 7" xfId="5643"/>
    <cellStyle name="Tabelstandaard Totaal Negatief 4 2 2 2 2 3" xfId="3020"/>
    <cellStyle name="Tabelstandaard Totaal Negatief 4 2 2 2 2 3 2" xfId="16097"/>
    <cellStyle name="Tabelstandaard Totaal Negatief 4 2 2 2 2 3 3" xfId="28149"/>
    <cellStyle name="Tabelstandaard Totaal Negatief 4 2 2 2 2 3 4" xfId="39030"/>
    <cellStyle name="Tabelstandaard Totaal Negatief 4 2 2 2 2 3 5" xfId="49298"/>
    <cellStyle name="Tabelstandaard Totaal Negatief 4 2 2 2 2 4" xfId="7305"/>
    <cellStyle name="Tabelstandaard Totaal Negatief 4 2 2 2 2 4 2" xfId="19603"/>
    <cellStyle name="Tabelstandaard Totaal Negatief 4 2 2 2 2 4 3" xfId="41406"/>
    <cellStyle name="Tabelstandaard Totaal Negatief 4 2 2 2 2 4 4" xfId="36856"/>
    <cellStyle name="Tabelstandaard Totaal Negatief 4 2 2 2 2 4 5" xfId="52275"/>
    <cellStyle name="Tabelstandaard Totaal Negatief 4 2 2 2 2 5" xfId="16095"/>
    <cellStyle name="Tabelstandaard Totaal Negatief 4 2 2 2 3" xfId="1332"/>
    <cellStyle name="Tabelstandaard Totaal Negatief 4 2 2 2 3 2" xfId="3343"/>
    <cellStyle name="Tabelstandaard Totaal Negatief 4 2 2 2 3 2 2" xfId="10221"/>
    <cellStyle name="Tabelstandaard Totaal Negatief 4 2 2 2 3 2 2 2" xfId="22519"/>
    <cellStyle name="Tabelstandaard Totaal Negatief 4 2 2 2 3 2 2 3" xfId="34571"/>
    <cellStyle name="Tabelstandaard Totaal Negatief 4 2 2 2 3 2 2 4" xfId="31371"/>
    <cellStyle name="Tabelstandaard Totaal Negatief 4 2 2 2 3 2 2 5" xfId="55186"/>
    <cellStyle name="Tabelstandaard Totaal Negatief 4 2 2 2 3 2 3" xfId="16099"/>
    <cellStyle name="Tabelstandaard Totaal Negatief 4 2 2 2 3 2 4" xfId="28151"/>
    <cellStyle name="Tabelstandaard Totaal Negatief 4 2 2 2 3 2 5" xfId="39029"/>
    <cellStyle name="Tabelstandaard Totaal Negatief 4 2 2 2 3 2 6" xfId="49299"/>
    <cellStyle name="Tabelstandaard Totaal Negatief 4 2 2 2 3 3" xfId="5644"/>
    <cellStyle name="Tabelstandaard Totaal Negatief 4 2 2 2 3 3 2" xfId="16100"/>
    <cellStyle name="Tabelstandaard Totaal Negatief 4 2 2 2 3 3 3" xfId="28152"/>
    <cellStyle name="Tabelstandaard Totaal Negatief 4 2 2 2 3 3 4" xfId="45026"/>
    <cellStyle name="Tabelstandaard Totaal Negatief 4 2 2 2 3 3 5" xfId="49300"/>
    <cellStyle name="Tabelstandaard Totaal Negatief 4 2 2 2 3 4" xfId="7048"/>
    <cellStyle name="Tabelstandaard Totaal Negatief 4 2 2 2 3 4 2" xfId="19346"/>
    <cellStyle name="Tabelstandaard Totaal Negatief 4 2 2 2 3 4 3" xfId="41149"/>
    <cellStyle name="Tabelstandaard Totaal Negatief 4 2 2 2 3 4 4" xfId="37005"/>
    <cellStyle name="Tabelstandaard Totaal Negatief 4 2 2 2 3 4 5" xfId="52019"/>
    <cellStyle name="Tabelstandaard Totaal Negatief 4 2 2 2 3 5" xfId="16098"/>
    <cellStyle name="Tabelstandaard Totaal Negatief 4 2 2 2 4" xfId="1695"/>
    <cellStyle name="Tabelstandaard Totaal Negatief 4 2 2 2 4 2" xfId="10222"/>
    <cellStyle name="Tabelstandaard Totaal Negatief 4 2 2 2 4 2 2" xfId="22520"/>
    <cellStyle name="Tabelstandaard Totaal Negatief 4 2 2 2 4 2 3" xfId="34572"/>
    <cellStyle name="Tabelstandaard Totaal Negatief 4 2 2 2 4 2 4" xfId="32118"/>
    <cellStyle name="Tabelstandaard Totaal Negatief 4 2 2 2 4 2 5" xfId="55187"/>
    <cellStyle name="Tabelstandaard Totaal Negatief 4 2 2 2 4 3" xfId="16101"/>
    <cellStyle name="Tabelstandaard Totaal Negatief 4 2 2 2 4 4" xfId="28153"/>
    <cellStyle name="Tabelstandaard Totaal Negatief 4 2 2 2 4 5" xfId="39028"/>
    <cellStyle name="Tabelstandaard Totaal Negatief 4 2 2 2 4 6" xfId="49301"/>
    <cellStyle name="Tabelstandaard Totaal Negatief 4 2 2 2 5" xfId="5645"/>
    <cellStyle name="Tabelstandaard Totaal Negatief 4 2 2 2 5 2" xfId="16102"/>
    <cellStyle name="Tabelstandaard Totaal Negatief 4 2 2 2 5 3" xfId="28154"/>
    <cellStyle name="Tabelstandaard Totaal Negatief 4 2 2 2 5 4" xfId="39027"/>
    <cellStyle name="Tabelstandaard Totaal Negatief 4 2 2 2 5 5" xfId="49302"/>
    <cellStyle name="Tabelstandaard Totaal Negatief 4 2 2 2 6" xfId="7723"/>
    <cellStyle name="Tabelstandaard Totaal Negatief 4 2 2 2 6 2" xfId="20021"/>
    <cellStyle name="Tabelstandaard Totaal Negatief 4 2 2 2 6 3" xfId="41824"/>
    <cellStyle name="Tabelstandaard Totaal Negatief 4 2 2 2 6 4" xfId="31857"/>
    <cellStyle name="Tabelstandaard Totaal Negatief 4 2 2 2 6 5" xfId="52693"/>
    <cellStyle name="Tabelstandaard Totaal Negatief 4 2 2 2 7" xfId="16094"/>
    <cellStyle name="Tabelstandaard Totaal Negatief 4 2 2 3" xfId="378"/>
    <cellStyle name="Tabelstandaard Totaal Negatief 4 2 2 3 2" xfId="1028"/>
    <cellStyle name="Tabelstandaard Totaal Negatief 4 2 2 3 2 2" xfId="2119"/>
    <cellStyle name="Tabelstandaard Totaal Negatief 4 2 2 3 2 2 2" xfId="10225"/>
    <cellStyle name="Tabelstandaard Totaal Negatief 4 2 2 3 2 2 2 2" xfId="22523"/>
    <cellStyle name="Tabelstandaard Totaal Negatief 4 2 2 3 2 2 2 3" xfId="34575"/>
    <cellStyle name="Tabelstandaard Totaal Negatief 4 2 2 3 2 2 2 4" xfId="32111"/>
    <cellStyle name="Tabelstandaard Totaal Negatief 4 2 2 3 2 2 2 5" xfId="55190"/>
    <cellStyle name="Tabelstandaard Totaal Negatief 4 2 2 3 2 2 3" xfId="16105"/>
    <cellStyle name="Tabelstandaard Totaal Negatief 4 2 2 3 2 2 4" xfId="28157"/>
    <cellStyle name="Tabelstandaard Totaal Negatief 4 2 2 3 2 2 5" xfId="39025"/>
    <cellStyle name="Tabelstandaard Totaal Negatief 4 2 2 3 2 2 6" xfId="49303"/>
    <cellStyle name="Tabelstandaard Totaal Negatief 4 2 2 3 2 2 7" xfId="5646"/>
    <cellStyle name="Tabelstandaard Totaal Negatief 4 2 2 3 2 3" xfId="3039"/>
    <cellStyle name="Tabelstandaard Totaal Negatief 4 2 2 3 2 3 2" xfId="16106"/>
    <cellStyle name="Tabelstandaard Totaal Negatief 4 2 2 3 2 3 3" xfId="28158"/>
    <cellStyle name="Tabelstandaard Totaal Negatief 4 2 2 3 2 3 4" xfId="45024"/>
    <cellStyle name="Tabelstandaard Totaal Negatief 4 2 2 3 2 3 5" xfId="49304"/>
    <cellStyle name="Tabelstandaard Totaal Negatief 4 2 2 3 2 4" xfId="7291"/>
    <cellStyle name="Tabelstandaard Totaal Negatief 4 2 2 3 2 4 2" xfId="19589"/>
    <cellStyle name="Tabelstandaard Totaal Negatief 4 2 2 3 2 4 3" xfId="41392"/>
    <cellStyle name="Tabelstandaard Totaal Negatief 4 2 2 3 2 4 4" xfId="36864"/>
    <cellStyle name="Tabelstandaard Totaal Negatief 4 2 2 3 2 4 5" xfId="52261"/>
    <cellStyle name="Tabelstandaard Totaal Negatief 4 2 2 3 2 5" xfId="16104"/>
    <cellStyle name="Tabelstandaard Totaal Negatief 4 2 2 3 3" xfId="1299"/>
    <cellStyle name="Tabelstandaard Totaal Negatief 4 2 2 3 3 2" xfId="3310"/>
    <cellStyle name="Tabelstandaard Totaal Negatief 4 2 2 3 3 2 2" xfId="10227"/>
    <cellStyle name="Tabelstandaard Totaal Negatief 4 2 2 3 3 2 2 2" xfId="22525"/>
    <cellStyle name="Tabelstandaard Totaal Negatief 4 2 2 3 3 2 2 3" xfId="34577"/>
    <cellStyle name="Tabelstandaard Totaal Negatief 4 2 2 3 3 2 2 4" xfId="28871"/>
    <cellStyle name="Tabelstandaard Totaal Negatief 4 2 2 3 3 2 2 5" xfId="55192"/>
    <cellStyle name="Tabelstandaard Totaal Negatief 4 2 2 3 3 2 3" xfId="16108"/>
    <cellStyle name="Tabelstandaard Totaal Negatief 4 2 2 3 3 2 4" xfId="28160"/>
    <cellStyle name="Tabelstandaard Totaal Negatief 4 2 2 3 3 2 5" xfId="45023"/>
    <cellStyle name="Tabelstandaard Totaal Negatief 4 2 2 3 3 2 6" xfId="49305"/>
    <cellStyle name="Tabelstandaard Totaal Negatief 4 2 2 3 3 3" xfId="5647"/>
    <cellStyle name="Tabelstandaard Totaal Negatief 4 2 2 3 3 3 2" xfId="16109"/>
    <cellStyle name="Tabelstandaard Totaal Negatief 4 2 2 3 3 3 3" xfId="28161"/>
    <cellStyle name="Tabelstandaard Totaal Negatief 4 2 2 3 3 3 4" xfId="39023"/>
    <cellStyle name="Tabelstandaard Totaal Negatief 4 2 2 3 3 3 5" xfId="49306"/>
    <cellStyle name="Tabelstandaard Totaal Negatief 4 2 2 3 3 4" xfId="7078"/>
    <cellStyle name="Tabelstandaard Totaal Negatief 4 2 2 3 3 4 2" xfId="19376"/>
    <cellStyle name="Tabelstandaard Totaal Negatief 4 2 2 3 3 4 3" xfId="41179"/>
    <cellStyle name="Tabelstandaard Totaal Negatief 4 2 2 3 3 4 4" xfId="43659"/>
    <cellStyle name="Tabelstandaard Totaal Negatief 4 2 2 3 3 4 5" xfId="52049"/>
    <cellStyle name="Tabelstandaard Totaal Negatief 4 2 2 3 3 5" xfId="16107"/>
    <cellStyle name="Tabelstandaard Totaal Negatief 4 2 2 3 4" xfId="2161"/>
    <cellStyle name="Tabelstandaard Totaal Negatief 4 2 2 3 4 2" xfId="10228"/>
    <cellStyle name="Tabelstandaard Totaal Negatief 4 2 2 3 4 2 2" xfId="22526"/>
    <cellStyle name="Tabelstandaard Totaal Negatief 4 2 2 3 4 2 3" xfId="34578"/>
    <cellStyle name="Tabelstandaard Totaal Negatief 4 2 2 3 4 2 4" xfId="42362"/>
    <cellStyle name="Tabelstandaard Totaal Negatief 4 2 2 3 4 2 5" xfId="55193"/>
    <cellStyle name="Tabelstandaard Totaal Negatief 4 2 2 3 4 3" xfId="16110"/>
    <cellStyle name="Tabelstandaard Totaal Negatief 4 2 2 3 4 4" xfId="28162"/>
    <cellStyle name="Tabelstandaard Totaal Negatief 4 2 2 3 4 5" xfId="45022"/>
    <cellStyle name="Tabelstandaard Totaal Negatief 4 2 2 3 4 6" xfId="49307"/>
    <cellStyle name="Tabelstandaard Totaal Negatief 4 2 2 3 5" xfId="5648"/>
    <cellStyle name="Tabelstandaard Totaal Negatief 4 2 2 3 5 2" xfId="16111"/>
    <cellStyle name="Tabelstandaard Totaal Negatief 4 2 2 3 5 3" xfId="28163"/>
    <cellStyle name="Tabelstandaard Totaal Negatief 4 2 2 3 5 4" xfId="39022"/>
    <cellStyle name="Tabelstandaard Totaal Negatief 4 2 2 3 5 5" xfId="49308"/>
    <cellStyle name="Tabelstandaard Totaal Negatief 4 2 2 3 6" xfId="7729"/>
    <cellStyle name="Tabelstandaard Totaal Negatief 4 2 2 3 6 2" xfId="20027"/>
    <cellStyle name="Tabelstandaard Totaal Negatief 4 2 2 3 6 3" xfId="41830"/>
    <cellStyle name="Tabelstandaard Totaal Negatief 4 2 2 3 6 4" xfId="31674"/>
    <cellStyle name="Tabelstandaard Totaal Negatief 4 2 2 3 6 5" xfId="52699"/>
    <cellStyle name="Tabelstandaard Totaal Negatief 4 2 2 3 7" xfId="16103"/>
    <cellStyle name="Tabelstandaard Totaal Negatief 4 2 2 4" xfId="347"/>
    <cellStyle name="Tabelstandaard Totaal Negatief 4 2 2 4 2" xfId="625"/>
    <cellStyle name="Tabelstandaard Totaal Negatief 4 2 2 4 2 2" xfId="2440"/>
    <cellStyle name="Tabelstandaard Totaal Negatief 4 2 2 4 2 2 2" xfId="10231"/>
    <cellStyle name="Tabelstandaard Totaal Negatief 4 2 2 4 2 2 2 2" xfId="22529"/>
    <cellStyle name="Tabelstandaard Totaal Negatief 4 2 2 4 2 2 2 3" xfId="34581"/>
    <cellStyle name="Tabelstandaard Totaal Negatief 4 2 2 4 2 2 2 4" xfId="28878"/>
    <cellStyle name="Tabelstandaard Totaal Negatief 4 2 2 4 2 2 2 5" xfId="55196"/>
    <cellStyle name="Tabelstandaard Totaal Negatief 4 2 2 4 2 2 3" xfId="16114"/>
    <cellStyle name="Tabelstandaard Totaal Negatief 4 2 2 4 2 2 4" xfId="28166"/>
    <cellStyle name="Tabelstandaard Totaal Negatief 4 2 2 4 2 2 5" xfId="39020"/>
    <cellStyle name="Tabelstandaard Totaal Negatief 4 2 2 4 2 2 6" xfId="49309"/>
    <cellStyle name="Tabelstandaard Totaal Negatief 4 2 2 4 2 3" xfId="5649"/>
    <cellStyle name="Tabelstandaard Totaal Negatief 4 2 2 4 2 3 2" xfId="16115"/>
    <cellStyle name="Tabelstandaard Totaal Negatief 4 2 2 4 2 3 3" xfId="28167"/>
    <cellStyle name="Tabelstandaard Totaal Negatief 4 2 2 4 2 3 4" xfId="39019"/>
    <cellStyle name="Tabelstandaard Totaal Negatief 4 2 2 4 2 3 5" xfId="49310"/>
    <cellStyle name="Tabelstandaard Totaal Negatief 4 2 2 4 2 4" xfId="7565"/>
    <cellStyle name="Tabelstandaard Totaal Negatief 4 2 2 4 2 4 2" xfId="19863"/>
    <cellStyle name="Tabelstandaard Totaal Negatief 4 2 2 4 2 4 3" xfId="41666"/>
    <cellStyle name="Tabelstandaard Totaal Negatief 4 2 2 4 2 4 4" xfId="34322"/>
    <cellStyle name="Tabelstandaard Totaal Negatief 4 2 2 4 2 4 5" xfId="52535"/>
    <cellStyle name="Tabelstandaard Totaal Negatief 4 2 2 4 2 5" xfId="16113"/>
    <cellStyle name="Tabelstandaard Totaal Negatief 4 2 2 4 3" xfId="1293"/>
    <cellStyle name="Tabelstandaard Totaal Negatief 4 2 2 4 3 2" xfId="2325"/>
    <cellStyle name="Tabelstandaard Totaal Negatief 4 2 2 4 3 2 2" xfId="10233"/>
    <cellStyle name="Tabelstandaard Totaal Negatief 4 2 2 4 3 2 2 2" xfId="22531"/>
    <cellStyle name="Tabelstandaard Totaal Negatief 4 2 2 4 3 2 2 3" xfId="34583"/>
    <cellStyle name="Tabelstandaard Totaal Negatief 4 2 2 4 3 2 2 4" xfId="34725"/>
    <cellStyle name="Tabelstandaard Totaal Negatief 4 2 2 4 3 2 2 5" xfId="55198"/>
    <cellStyle name="Tabelstandaard Totaal Negatief 4 2 2 4 3 2 3" xfId="16117"/>
    <cellStyle name="Tabelstandaard Totaal Negatief 4 2 2 4 3 2 4" xfId="28169"/>
    <cellStyle name="Tabelstandaard Totaal Negatief 4 2 2 4 3 2 5" xfId="39018"/>
    <cellStyle name="Tabelstandaard Totaal Negatief 4 2 2 4 3 2 6" xfId="49311"/>
    <cellStyle name="Tabelstandaard Totaal Negatief 4 2 2 4 3 2 7" xfId="5650"/>
    <cellStyle name="Tabelstandaard Totaal Negatief 4 2 2 4 3 3" xfId="3304"/>
    <cellStyle name="Tabelstandaard Totaal Negatief 4 2 2 4 3 3 2" xfId="16118"/>
    <cellStyle name="Tabelstandaard Totaal Negatief 4 2 2 4 3 3 3" xfId="28170"/>
    <cellStyle name="Tabelstandaard Totaal Negatief 4 2 2 4 3 3 4" xfId="45020"/>
    <cellStyle name="Tabelstandaard Totaal Negatief 4 2 2 4 3 3 5" xfId="49312"/>
    <cellStyle name="Tabelstandaard Totaal Negatief 4 2 2 4 3 4" xfId="7083"/>
    <cellStyle name="Tabelstandaard Totaal Negatief 4 2 2 4 3 4 2" xfId="19381"/>
    <cellStyle name="Tabelstandaard Totaal Negatief 4 2 2 4 3 4 3" xfId="41184"/>
    <cellStyle name="Tabelstandaard Totaal Negatief 4 2 2 4 3 4 4" xfId="36985"/>
    <cellStyle name="Tabelstandaard Totaal Negatief 4 2 2 4 3 4 5" xfId="52054"/>
    <cellStyle name="Tabelstandaard Totaal Negatief 4 2 2 4 3 5" xfId="16116"/>
    <cellStyle name="Tabelstandaard Totaal Negatief 4 2 2 4 4" xfId="5651"/>
    <cellStyle name="Tabelstandaard Totaal Negatief 4 2 2 4 4 2" xfId="10234"/>
    <cellStyle name="Tabelstandaard Totaal Negatief 4 2 2 4 4 2 2" xfId="22532"/>
    <cellStyle name="Tabelstandaard Totaal Negatief 4 2 2 4 4 2 3" xfId="34584"/>
    <cellStyle name="Tabelstandaard Totaal Negatief 4 2 2 4 4 2 4" xfId="28885"/>
    <cellStyle name="Tabelstandaard Totaal Negatief 4 2 2 4 4 2 5" xfId="55199"/>
    <cellStyle name="Tabelstandaard Totaal Negatief 4 2 2 4 4 3" xfId="16119"/>
    <cellStyle name="Tabelstandaard Totaal Negatief 4 2 2 4 4 4" xfId="28171"/>
    <cellStyle name="Tabelstandaard Totaal Negatief 4 2 2 4 4 5" xfId="39017"/>
    <cellStyle name="Tabelstandaard Totaal Negatief 4 2 2 4 4 6" xfId="49313"/>
    <cellStyle name="Tabelstandaard Totaal Negatief 4 2 2 4 5" xfId="5652"/>
    <cellStyle name="Tabelstandaard Totaal Negatief 4 2 2 4 5 2" xfId="16120"/>
    <cellStyle name="Tabelstandaard Totaal Negatief 4 2 2 4 5 3" xfId="28172"/>
    <cellStyle name="Tabelstandaard Totaal Negatief 4 2 2 4 5 4" xfId="45019"/>
    <cellStyle name="Tabelstandaard Totaal Negatief 4 2 2 4 5 5" xfId="49314"/>
    <cellStyle name="Tabelstandaard Totaal Negatief 4 2 2 4 6" xfId="7752"/>
    <cellStyle name="Tabelstandaard Totaal Negatief 4 2 2 4 6 2" xfId="20050"/>
    <cellStyle name="Tabelstandaard Totaal Negatief 4 2 2 4 6 3" xfId="41853"/>
    <cellStyle name="Tabelstandaard Totaal Negatief 4 2 2 4 6 4" xfId="43378"/>
    <cellStyle name="Tabelstandaard Totaal Negatief 4 2 2 4 6 5" xfId="52722"/>
    <cellStyle name="Tabelstandaard Totaal Negatief 4 2 2 4 7" xfId="16112"/>
    <cellStyle name="Tabelstandaard Totaal Negatief 4 2 2 5" xfId="1128"/>
    <cellStyle name="Tabelstandaard Totaal Negatief 4 2 2 5 2" xfId="1760"/>
    <cellStyle name="Tabelstandaard Totaal Negatief 4 2 2 5 2 2" xfId="10236"/>
    <cellStyle name="Tabelstandaard Totaal Negatief 4 2 2 5 2 2 2" xfId="22534"/>
    <cellStyle name="Tabelstandaard Totaal Negatief 4 2 2 5 2 2 3" xfId="34586"/>
    <cellStyle name="Tabelstandaard Totaal Negatief 4 2 2 5 2 2 4" xfId="42359"/>
    <cellStyle name="Tabelstandaard Totaal Negatief 4 2 2 5 2 2 5" xfId="55201"/>
    <cellStyle name="Tabelstandaard Totaal Negatief 4 2 2 5 2 3" xfId="16122"/>
    <cellStyle name="Tabelstandaard Totaal Negatief 4 2 2 5 2 4" xfId="28174"/>
    <cellStyle name="Tabelstandaard Totaal Negatief 4 2 2 5 2 5" xfId="45018"/>
    <cellStyle name="Tabelstandaard Totaal Negatief 4 2 2 5 2 6" xfId="49315"/>
    <cellStyle name="Tabelstandaard Totaal Negatief 4 2 2 5 2 7" xfId="5653"/>
    <cellStyle name="Tabelstandaard Totaal Negatief 4 2 2 5 3" xfId="3139"/>
    <cellStyle name="Tabelstandaard Totaal Negatief 4 2 2 5 3 2" xfId="16123"/>
    <cellStyle name="Tabelstandaard Totaal Negatief 4 2 2 5 3 3" xfId="28175"/>
    <cellStyle name="Tabelstandaard Totaal Negatief 4 2 2 5 3 4" xfId="39015"/>
    <cellStyle name="Tabelstandaard Totaal Negatief 4 2 2 5 3 5" xfId="49316"/>
    <cellStyle name="Tabelstandaard Totaal Negatief 4 2 2 5 4" xfId="9912"/>
    <cellStyle name="Tabelstandaard Totaal Negatief 4 2 2 5 4 2" xfId="22210"/>
    <cellStyle name="Tabelstandaard Totaal Negatief 4 2 2 5 4 3" xfId="43977"/>
    <cellStyle name="Tabelstandaard Totaal Negatief 4 2 2 5 4 4" xfId="42494"/>
    <cellStyle name="Tabelstandaard Totaal Negatief 4 2 2 5 4 5" xfId="54877"/>
    <cellStyle name="Tabelstandaard Totaal Negatief 4 2 2 5 5" xfId="16121"/>
    <cellStyle name="Tabelstandaard Totaal Negatief 4 2 2 6" xfId="1900"/>
    <cellStyle name="Tabelstandaard Totaal Negatief 4 2 2 6 2" xfId="10237"/>
    <cellStyle name="Tabelstandaard Totaal Negatief 4 2 2 6 2 2" xfId="22535"/>
    <cellStyle name="Tabelstandaard Totaal Negatief 4 2 2 6 2 3" xfId="34587"/>
    <cellStyle name="Tabelstandaard Totaal Negatief 4 2 2 6 2 4" xfId="28892"/>
    <cellStyle name="Tabelstandaard Totaal Negatief 4 2 2 6 2 5" xfId="55202"/>
    <cellStyle name="Tabelstandaard Totaal Negatief 4 2 2 6 3" xfId="16124"/>
    <cellStyle name="Tabelstandaard Totaal Negatief 4 2 2 6 4" xfId="28176"/>
    <cellStyle name="Tabelstandaard Totaal Negatief 4 2 2 6 5" xfId="45017"/>
    <cellStyle name="Tabelstandaard Totaal Negatief 4 2 2 6 6" xfId="49317"/>
    <cellStyle name="Tabelstandaard Totaal Negatief 4 2 2 7" xfId="5654"/>
    <cellStyle name="Tabelstandaard Totaal Negatief 4 2 2 7 2" xfId="16125"/>
    <cellStyle name="Tabelstandaard Totaal Negatief 4 2 2 7 3" xfId="28177"/>
    <cellStyle name="Tabelstandaard Totaal Negatief 4 2 2 7 4" xfId="39014"/>
    <cellStyle name="Tabelstandaard Totaal Negatief 4 2 2 7 5" xfId="49318"/>
    <cellStyle name="Tabelstandaard Totaal Negatief 4 2 2 8" xfId="7767"/>
    <cellStyle name="Tabelstandaard Totaal Negatief 4 2 2 8 2" xfId="20065"/>
    <cellStyle name="Tabelstandaard Totaal Negatief 4 2 2 8 3" xfId="41868"/>
    <cellStyle name="Tabelstandaard Totaal Negatief 4 2 2 8 4" xfId="31696"/>
    <cellStyle name="Tabelstandaard Totaal Negatief 4 2 2 8 5" xfId="52737"/>
    <cellStyle name="Tabelstandaard Totaal Negatief 4 2 2 9" xfId="16093"/>
    <cellStyle name="Tabelstandaard Totaal Negatief 4 2 3" xfId="358"/>
    <cellStyle name="Tabelstandaard Totaal Negatief 4 2 3 2" xfId="400"/>
    <cellStyle name="Tabelstandaard Totaal Negatief 4 2 3 2 2" xfId="679"/>
    <cellStyle name="Tabelstandaard Totaal Negatief 4 2 3 2 2 2" xfId="1624"/>
    <cellStyle name="Tabelstandaard Totaal Negatief 4 2 3 2 2 2 2" xfId="10241"/>
    <cellStyle name="Tabelstandaard Totaal Negatief 4 2 3 2 2 2 2 2" xfId="22539"/>
    <cellStyle name="Tabelstandaard Totaal Negatief 4 2 3 2 2 2 2 3" xfId="34591"/>
    <cellStyle name="Tabelstandaard Totaal Negatief 4 2 3 2 2 2 2 4" xfId="28899"/>
    <cellStyle name="Tabelstandaard Totaal Negatief 4 2 3 2 2 2 2 5" xfId="55206"/>
    <cellStyle name="Tabelstandaard Totaal Negatief 4 2 3 2 2 2 3" xfId="16129"/>
    <cellStyle name="Tabelstandaard Totaal Negatief 4 2 3 2 2 2 4" xfId="28181"/>
    <cellStyle name="Tabelstandaard Totaal Negatief 4 2 3 2 2 2 5" xfId="39011"/>
    <cellStyle name="Tabelstandaard Totaal Negatief 4 2 3 2 2 2 6" xfId="49319"/>
    <cellStyle name="Tabelstandaard Totaal Negatief 4 2 3 2 2 2 7" xfId="5655"/>
    <cellStyle name="Tabelstandaard Totaal Negatief 4 2 3 2 2 3" xfId="2745"/>
    <cellStyle name="Tabelstandaard Totaal Negatief 4 2 3 2 2 3 2" xfId="16130"/>
    <cellStyle name="Tabelstandaard Totaal Negatief 4 2 3 2 2 3 3" xfId="28182"/>
    <cellStyle name="Tabelstandaard Totaal Negatief 4 2 3 2 2 3 4" xfId="45015"/>
    <cellStyle name="Tabelstandaard Totaal Negatief 4 2 3 2 2 3 5" xfId="49320"/>
    <cellStyle name="Tabelstandaard Totaal Negatief 4 2 3 2 2 4" xfId="10220"/>
    <cellStyle name="Tabelstandaard Totaal Negatief 4 2 3 2 2 4 2" xfId="22518"/>
    <cellStyle name="Tabelstandaard Totaal Negatief 4 2 3 2 2 4 3" xfId="44280"/>
    <cellStyle name="Tabelstandaard Totaal Negatief 4 2 3 2 2 4 4" xfId="42365"/>
    <cellStyle name="Tabelstandaard Totaal Negatief 4 2 3 2 2 4 5" xfId="55185"/>
    <cellStyle name="Tabelstandaard Totaal Negatief 4 2 3 2 2 5" xfId="16128"/>
    <cellStyle name="Tabelstandaard Totaal Negatief 4 2 3 2 3" xfId="1339"/>
    <cellStyle name="Tabelstandaard Totaal Negatief 4 2 3 2 3 2" xfId="3350"/>
    <cellStyle name="Tabelstandaard Totaal Negatief 4 2 3 2 3 2 2" xfId="10243"/>
    <cellStyle name="Tabelstandaard Totaal Negatief 4 2 3 2 3 2 2 2" xfId="22541"/>
    <cellStyle name="Tabelstandaard Totaal Negatief 4 2 3 2 3 2 2 3" xfId="34593"/>
    <cellStyle name="Tabelstandaard Totaal Negatief 4 2 3 2 3 2 2 4" xfId="31965"/>
    <cellStyle name="Tabelstandaard Totaal Negatief 4 2 3 2 3 2 2 5" xfId="55208"/>
    <cellStyle name="Tabelstandaard Totaal Negatief 4 2 3 2 3 2 3" xfId="16132"/>
    <cellStyle name="Tabelstandaard Totaal Negatief 4 2 3 2 3 2 4" xfId="28184"/>
    <cellStyle name="Tabelstandaard Totaal Negatief 4 2 3 2 3 2 5" xfId="45014"/>
    <cellStyle name="Tabelstandaard Totaal Negatief 4 2 3 2 3 2 6" xfId="49321"/>
    <cellStyle name="Tabelstandaard Totaal Negatief 4 2 3 2 3 3" xfId="5656"/>
    <cellStyle name="Tabelstandaard Totaal Negatief 4 2 3 2 3 3 2" xfId="16133"/>
    <cellStyle name="Tabelstandaard Totaal Negatief 4 2 3 2 3 3 3" xfId="28185"/>
    <cellStyle name="Tabelstandaard Totaal Negatief 4 2 3 2 3 3 4" xfId="39010"/>
    <cellStyle name="Tabelstandaard Totaal Negatief 4 2 3 2 3 3 5" xfId="49322"/>
    <cellStyle name="Tabelstandaard Totaal Negatief 4 2 3 2 3 4" xfId="7042"/>
    <cellStyle name="Tabelstandaard Totaal Negatief 4 2 3 2 3 4 2" xfId="19340"/>
    <cellStyle name="Tabelstandaard Totaal Negatief 4 2 3 2 3 4 3" xfId="41143"/>
    <cellStyle name="Tabelstandaard Totaal Negatief 4 2 3 2 3 4 4" xfId="37009"/>
    <cellStyle name="Tabelstandaard Totaal Negatief 4 2 3 2 3 4 5" xfId="52013"/>
    <cellStyle name="Tabelstandaard Totaal Negatief 4 2 3 2 3 5" xfId="16131"/>
    <cellStyle name="Tabelstandaard Totaal Negatief 4 2 3 2 4" xfId="1753"/>
    <cellStyle name="Tabelstandaard Totaal Negatief 4 2 3 2 4 2" xfId="10244"/>
    <cellStyle name="Tabelstandaard Totaal Negatief 4 2 3 2 4 2 2" xfId="22542"/>
    <cellStyle name="Tabelstandaard Totaal Negatief 4 2 3 2 4 2 3" xfId="34594"/>
    <cellStyle name="Tabelstandaard Totaal Negatief 4 2 3 2 4 2 4" xfId="42355"/>
    <cellStyle name="Tabelstandaard Totaal Negatief 4 2 3 2 4 2 5" xfId="55209"/>
    <cellStyle name="Tabelstandaard Totaal Negatief 4 2 3 2 4 3" xfId="16134"/>
    <cellStyle name="Tabelstandaard Totaal Negatief 4 2 3 2 4 4" xfId="28186"/>
    <cellStyle name="Tabelstandaard Totaal Negatief 4 2 3 2 4 5" xfId="45013"/>
    <cellStyle name="Tabelstandaard Totaal Negatief 4 2 3 2 4 6" xfId="49323"/>
    <cellStyle name="Tabelstandaard Totaal Negatief 4 2 3 2 5" xfId="5657"/>
    <cellStyle name="Tabelstandaard Totaal Negatief 4 2 3 2 5 2" xfId="16135"/>
    <cellStyle name="Tabelstandaard Totaal Negatief 4 2 3 2 5 3" xfId="28187"/>
    <cellStyle name="Tabelstandaard Totaal Negatief 4 2 3 2 5 4" xfId="39009"/>
    <cellStyle name="Tabelstandaard Totaal Negatief 4 2 3 2 5 5" xfId="49324"/>
    <cellStyle name="Tabelstandaard Totaal Negatief 4 2 3 2 6" xfId="7717"/>
    <cellStyle name="Tabelstandaard Totaal Negatief 4 2 3 2 6 2" xfId="20015"/>
    <cellStyle name="Tabelstandaard Totaal Negatief 4 2 3 2 6 3" xfId="41818"/>
    <cellStyle name="Tabelstandaard Totaal Negatief 4 2 3 2 6 4" xfId="25132"/>
    <cellStyle name="Tabelstandaard Totaal Negatief 4 2 3 2 6 5" xfId="52687"/>
    <cellStyle name="Tabelstandaard Totaal Negatief 4 2 3 2 7" xfId="16127"/>
    <cellStyle name="Tabelstandaard Totaal Negatief 4 2 3 3" xfId="5658"/>
    <cellStyle name="Tabelstandaard Totaal Negatief 4 2 3 3 2" xfId="10245"/>
    <cellStyle name="Tabelstandaard Totaal Negatief 4 2 3 3 2 2" xfId="22543"/>
    <cellStyle name="Tabelstandaard Totaal Negatief 4 2 3 3 2 3" xfId="34595"/>
    <cellStyle name="Tabelstandaard Totaal Negatief 4 2 3 3 2 4" xfId="28906"/>
    <cellStyle name="Tabelstandaard Totaal Negatief 4 2 3 3 2 5" xfId="55210"/>
    <cellStyle name="Tabelstandaard Totaal Negatief 4 2 3 3 3" xfId="16136"/>
    <cellStyle name="Tabelstandaard Totaal Negatief 4 2 3 3 4" xfId="28188"/>
    <cellStyle name="Tabelstandaard Totaal Negatief 4 2 3 3 5" xfId="45012"/>
    <cellStyle name="Tabelstandaard Totaal Negatief 4 2 3 3 6" xfId="49325"/>
    <cellStyle name="Tabelstandaard Totaal Negatief 4 2 3 4" xfId="5659"/>
    <cellStyle name="Tabelstandaard Totaal Negatief 4 2 3 4 2" xfId="16137"/>
    <cellStyle name="Tabelstandaard Totaal Negatief 4 2 3 4 3" xfId="28189"/>
    <cellStyle name="Tabelstandaard Totaal Negatief 4 2 3 4 4" xfId="39008"/>
    <cellStyle name="Tabelstandaard Totaal Negatief 4 2 3 4 5" xfId="49326"/>
    <cellStyle name="Tabelstandaard Totaal Negatief 4 2 3 5" xfId="7743"/>
    <cellStyle name="Tabelstandaard Totaal Negatief 4 2 3 5 2" xfId="20041"/>
    <cellStyle name="Tabelstandaard Totaal Negatief 4 2 3 5 3" xfId="41844"/>
    <cellStyle name="Tabelstandaard Totaal Negatief 4 2 3 5 4" xfId="34459"/>
    <cellStyle name="Tabelstandaard Totaal Negatief 4 2 3 5 5" xfId="52713"/>
    <cellStyle name="Tabelstandaard Totaal Negatief 4 2 3 6" xfId="16126"/>
    <cellStyle name="Tabelstandaard Totaal Negatief 4 2 4" xfId="768"/>
    <cellStyle name="Tabelstandaard Totaal Negatief 4 2 4 2" xfId="650"/>
    <cellStyle name="Tabelstandaard Totaal Negatief 4 2 4 2 2" xfId="2402"/>
    <cellStyle name="Tabelstandaard Totaal Negatief 4 2 4 2 2 2" xfId="10248"/>
    <cellStyle name="Tabelstandaard Totaal Negatief 4 2 4 2 2 2 2" xfId="22546"/>
    <cellStyle name="Tabelstandaard Totaal Negatief 4 2 4 2 2 2 3" xfId="34598"/>
    <cellStyle name="Tabelstandaard Totaal Negatief 4 2 4 2 2 2 4" xfId="42354"/>
    <cellStyle name="Tabelstandaard Totaal Negatief 4 2 4 2 2 2 5" xfId="55213"/>
    <cellStyle name="Tabelstandaard Totaal Negatief 4 2 4 2 2 3" xfId="16140"/>
    <cellStyle name="Tabelstandaard Totaal Negatief 4 2 4 2 2 4" xfId="28192"/>
    <cellStyle name="Tabelstandaard Totaal Negatief 4 2 4 2 2 5" xfId="45011"/>
    <cellStyle name="Tabelstandaard Totaal Negatief 4 2 4 2 2 6" xfId="49327"/>
    <cellStyle name="Tabelstandaard Totaal Negatief 4 2 4 2 2 7" xfId="5660"/>
    <cellStyle name="Tabelstandaard Totaal Negatief 4 2 4 2 3" xfId="2716"/>
    <cellStyle name="Tabelstandaard Totaal Negatief 4 2 4 2 3 2" xfId="16141"/>
    <cellStyle name="Tabelstandaard Totaal Negatief 4 2 4 2 3 3" xfId="28193"/>
    <cellStyle name="Tabelstandaard Totaal Negatief 4 2 4 2 3 4" xfId="39005"/>
    <cellStyle name="Tabelstandaard Totaal Negatief 4 2 4 2 3 5" xfId="49328"/>
    <cellStyle name="Tabelstandaard Totaal Negatief 4 2 4 2 4" xfId="7549"/>
    <cellStyle name="Tabelstandaard Totaal Negatief 4 2 4 2 4 2" xfId="19847"/>
    <cellStyle name="Tabelstandaard Totaal Negatief 4 2 4 2 4 3" xfId="41650"/>
    <cellStyle name="Tabelstandaard Totaal Negatief 4 2 4 2 4 4" xfId="24786"/>
    <cellStyle name="Tabelstandaard Totaal Negatief 4 2 4 2 4 5" xfId="52519"/>
    <cellStyle name="Tabelstandaard Totaal Negatief 4 2 4 2 5" xfId="16139"/>
    <cellStyle name="Tabelstandaard Totaal Negatief 4 2 4 3" xfId="1471"/>
    <cellStyle name="Tabelstandaard Totaal Negatief 4 2 4 3 2" xfId="10249"/>
    <cellStyle name="Tabelstandaard Totaal Negatief 4 2 4 3 2 2" xfId="22547"/>
    <cellStyle name="Tabelstandaard Totaal Negatief 4 2 4 3 2 3" xfId="34599"/>
    <cellStyle name="Tabelstandaard Totaal Negatief 4 2 4 3 2 4" xfId="31414"/>
    <cellStyle name="Tabelstandaard Totaal Negatief 4 2 4 3 2 5" xfId="55214"/>
    <cellStyle name="Tabelstandaard Totaal Negatief 4 2 4 3 3" xfId="16142"/>
    <cellStyle name="Tabelstandaard Totaal Negatief 4 2 4 3 4" xfId="28194"/>
    <cellStyle name="Tabelstandaard Totaal Negatief 4 2 4 3 5" xfId="45010"/>
    <cellStyle name="Tabelstandaard Totaal Negatief 4 2 4 3 6" xfId="49329"/>
    <cellStyle name="Tabelstandaard Totaal Negatief 4 2 4 4" xfId="5661"/>
    <cellStyle name="Tabelstandaard Totaal Negatief 4 2 4 4 2" xfId="16143"/>
    <cellStyle name="Tabelstandaard Totaal Negatief 4 2 4 4 3" xfId="28195"/>
    <cellStyle name="Tabelstandaard Totaal Negatief 4 2 4 4 4" xfId="39004"/>
    <cellStyle name="Tabelstandaard Totaal Negatief 4 2 4 4 5" xfId="49330"/>
    <cellStyle name="Tabelstandaard Totaal Negatief 4 2 4 5" xfId="7468"/>
    <cellStyle name="Tabelstandaard Totaal Negatief 4 2 4 5 2" xfId="19766"/>
    <cellStyle name="Tabelstandaard Totaal Negatief 4 2 4 5 3" xfId="41569"/>
    <cellStyle name="Tabelstandaard Totaal Negatief 4 2 4 5 4" xfId="43496"/>
    <cellStyle name="Tabelstandaard Totaal Negatief 4 2 4 5 5" xfId="52438"/>
    <cellStyle name="Tabelstandaard Totaal Negatief 4 2 4 6" xfId="16138"/>
    <cellStyle name="Tabelstandaard Totaal Negatief 4 2 5" xfId="787"/>
    <cellStyle name="Tabelstandaard Totaal Negatief 4 2 5 2" xfId="848"/>
    <cellStyle name="Tabelstandaard Totaal Negatief 4 2 5 2 2" xfId="1566"/>
    <cellStyle name="Tabelstandaard Totaal Negatief 4 2 5 2 2 2" xfId="10252"/>
    <cellStyle name="Tabelstandaard Totaal Negatief 4 2 5 2 2 2 2" xfId="22550"/>
    <cellStyle name="Tabelstandaard Totaal Negatief 4 2 5 2 2 2 3" xfId="34602"/>
    <cellStyle name="Tabelstandaard Totaal Negatief 4 2 5 2 2 2 4" xfId="42352"/>
    <cellStyle name="Tabelstandaard Totaal Negatief 4 2 5 2 2 2 5" xfId="55217"/>
    <cellStyle name="Tabelstandaard Totaal Negatief 4 2 5 2 2 3" xfId="16146"/>
    <cellStyle name="Tabelstandaard Totaal Negatief 4 2 5 2 2 4" xfId="28198"/>
    <cellStyle name="Tabelstandaard Totaal Negatief 4 2 5 2 2 5" xfId="45008"/>
    <cellStyle name="Tabelstandaard Totaal Negatief 4 2 5 2 2 6" xfId="49331"/>
    <cellStyle name="Tabelstandaard Totaal Negatief 4 2 5 2 2 7" xfId="5662"/>
    <cellStyle name="Tabelstandaard Totaal Negatief 4 2 5 2 3" xfId="2859"/>
    <cellStyle name="Tabelstandaard Totaal Negatief 4 2 5 2 3 2" xfId="16147"/>
    <cellStyle name="Tabelstandaard Totaal Negatief 4 2 5 2 3 3" xfId="28199"/>
    <cellStyle name="Tabelstandaard Totaal Negatief 4 2 5 2 3 4" xfId="39002"/>
    <cellStyle name="Tabelstandaard Totaal Negatief 4 2 5 2 3 5" xfId="49332"/>
    <cellStyle name="Tabelstandaard Totaal Negatief 4 2 5 2 4" xfId="7414"/>
    <cellStyle name="Tabelstandaard Totaal Negatief 4 2 5 2 4 2" xfId="19712"/>
    <cellStyle name="Tabelstandaard Totaal Negatief 4 2 5 2 4 3" xfId="41515"/>
    <cellStyle name="Tabelstandaard Totaal Negatief 4 2 5 2 4 4" xfId="15570"/>
    <cellStyle name="Tabelstandaard Totaal Negatief 4 2 5 2 4 5" xfId="52384"/>
    <cellStyle name="Tabelstandaard Totaal Negatief 4 2 5 2 5" xfId="16145"/>
    <cellStyle name="Tabelstandaard Totaal Negatief 4 2 5 3" xfId="1634"/>
    <cellStyle name="Tabelstandaard Totaal Negatief 4 2 5 3 2" xfId="10253"/>
    <cellStyle name="Tabelstandaard Totaal Negatief 4 2 5 3 2 2" xfId="22551"/>
    <cellStyle name="Tabelstandaard Totaal Negatief 4 2 5 3 2 3" xfId="34603"/>
    <cellStyle name="Tabelstandaard Totaal Negatief 4 2 5 3 2 4" xfId="31366"/>
    <cellStyle name="Tabelstandaard Totaal Negatief 4 2 5 3 2 5" xfId="55218"/>
    <cellStyle name="Tabelstandaard Totaal Negatief 4 2 5 3 3" xfId="16148"/>
    <cellStyle name="Tabelstandaard Totaal Negatief 4 2 5 3 4" xfId="28200"/>
    <cellStyle name="Tabelstandaard Totaal Negatief 4 2 5 3 5" xfId="45007"/>
    <cellStyle name="Tabelstandaard Totaal Negatief 4 2 5 3 6" xfId="49333"/>
    <cellStyle name="Tabelstandaard Totaal Negatief 4 2 5 4" xfId="5663"/>
    <cellStyle name="Tabelstandaard Totaal Negatief 4 2 5 4 2" xfId="16149"/>
    <cellStyle name="Tabelstandaard Totaal Negatief 4 2 5 4 3" xfId="28201"/>
    <cellStyle name="Tabelstandaard Totaal Negatief 4 2 5 4 4" xfId="39001"/>
    <cellStyle name="Tabelstandaard Totaal Negatief 4 2 5 4 5" xfId="49334"/>
    <cellStyle name="Tabelstandaard Totaal Negatief 4 2 5 5" xfId="7455"/>
    <cellStyle name="Tabelstandaard Totaal Negatief 4 2 5 5 2" xfId="19753"/>
    <cellStyle name="Tabelstandaard Totaal Negatief 4 2 5 5 3" xfId="41556"/>
    <cellStyle name="Tabelstandaard Totaal Negatief 4 2 5 5 4" xfId="31826"/>
    <cellStyle name="Tabelstandaard Totaal Negatief 4 2 5 5 5" xfId="52425"/>
    <cellStyle name="Tabelstandaard Totaal Negatief 4 2 5 6" xfId="16144"/>
    <cellStyle name="Tabelstandaard Totaal Negatief 4 2 6" xfId="799"/>
    <cellStyle name="Tabelstandaard Totaal Negatief 4 2 6 2" xfId="1124"/>
    <cellStyle name="Tabelstandaard Totaal Negatief 4 2 6 2 2" xfId="1615"/>
    <cellStyle name="Tabelstandaard Totaal Negatief 4 2 6 2 2 2" xfId="10256"/>
    <cellStyle name="Tabelstandaard Totaal Negatief 4 2 6 2 2 2 2" xfId="22554"/>
    <cellStyle name="Tabelstandaard Totaal Negatief 4 2 6 2 2 2 3" xfId="34606"/>
    <cellStyle name="Tabelstandaard Totaal Negatief 4 2 6 2 2 2 4" xfId="42350"/>
    <cellStyle name="Tabelstandaard Totaal Negatief 4 2 6 2 2 2 5" xfId="55221"/>
    <cellStyle name="Tabelstandaard Totaal Negatief 4 2 6 2 2 3" xfId="16152"/>
    <cellStyle name="Tabelstandaard Totaal Negatief 4 2 6 2 2 4" xfId="28204"/>
    <cellStyle name="Tabelstandaard Totaal Negatief 4 2 6 2 2 5" xfId="38999"/>
    <cellStyle name="Tabelstandaard Totaal Negatief 4 2 6 2 2 6" xfId="49335"/>
    <cellStyle name="Tabelstandaard Totaal Negatief 4 2 6 2 2 7" xfId="5664"/>
    <cellStyle name="Tabelstandaard Totaal Negatief 4 2 6 2 3" xfId="3135"/>
    <cellStyle name="Tabelstandaard Totaal Negatief 4 2 6 2 3 2" xfId="16153"/>
    <cellStyle name="Tabelstandaard Totaal Negatief 4 2 6 2 3 3" xfId="28205"/>
    <cellStyle name="Tabelstandaard Totaal Negatief 4 2 6 2 3 4" xfId="45005"/>
    <cellStyle name="Tabelstandaard Totaal Negatief 4 2 6 2 3 5" xfId="49336"/>
    <cellStyle name="Tabelstandaard Totaal Negatief 4 2 6 2 4" xfId="9917"/>
    <cellStyle name="Tabelstandaard Totaal Negatief 4 2 6 2 4 2" xfId="22215"/>
    <cellStyle name="Tabelstandaard Totaal Negatief 4 2 6 2 4 3" xfId="43981"/>
    <cellStyle name="Tabelstandaard Totaal Negatief 4 2 6 2 4 4" xfId="31461"/>
    <cellStyle name="Tabelstandaard Totaal Negatief 4 2 6 2 4 5" xfId="54882"/>
    <cellStyle name="Tabelstandaard Totaal Negatief 4 2 6 2 5" xfId="16151"/>
    <cellStyle name="Tabelstandaard Totaal Negatief 4 2 6 3" xfId="1586"/>
    <cellStyle name="Tabelstandaard Totaal Negatief 4 2 6 3 2" xfId="10257"/>
    <cellStyle name="Tabelstandaard Totaal Negatief 4 2 6 3 2 2" xfId="22555"/>
    <cellStyle name="Tabelstandaard Totaal Negatief 4 2 6 3 2 3" xfId="34607"/>
    <cellStyle name="Tabelstandaard Totaal Negatief 4 2 6 3 2 4" xfId="31964"/>
    <cellStyle name="Tabelstandaard Totaal Negatief 4 2 6 3 2 5" xfId="55222"/>
    <cellStyle name="Tabelstandaard Totaal Negatief 4 2 6 3 3" xfId="16154"/>
    <cellStyle name="Tabelstandaard Totaal Negatief 4 2 6 3 4" xfId="28206"/>
    <cellStyle name="Tabelstandaard Totaal Negatief 4 2 6 3 5" xfId="38998"/>
    <cellStyle name="Tabelstandaard Totaal Negatief 4 2 6 3 6" xfId="49337"/>
    <cellStyle name="Tabelstandaard Totaal Negatief 4 2 6 4" xfId="5665"/>
    <cellStyle name="Tabelstandaard Totaal Negatief 4 2 6 4 2" xfId="16155"/>
    <cellStyle name="Tabelstandaard Totaal Negatief 4 2 6 4 3" xfId="28207"/>
    <cellStyle name="Tabelstandaard Totaal Negatief 4 2 6 4 4" xfId="45004"/>
    <cellStyle name="Tabelstandaard Totaal Negatief 4 2 6 4 5" xfId="49338"/>
    <cellStyle name="Tabelstandaard Totaal Negatief 4 2 6 5" xfId="7447"/>
    <cellStyle name="Tabelstandaard Totaal Negatief 4 2 6 5 2" xfId="19745"/>
    <cellStyle name="Tabelstandaard Totaal Negatief 4 2 6 5 3" xfId="41548"/>
    <cellStyle name="Tabelstandaard Totaal Negatief 4 2 6 5 4" xfId="43505"/>
    <cellStyle name="Tabelstandaard Totaal Negatief 4 2 6 5 5" xfId="52417"/>
    <cellStyle name="Tabelstandaard Totaal Negatief 4 2 6 6" xfId="16150"/>
    <cellStyle name="Tabelstandaard Totaal Negatief 4 2 7" xfId="809"/>
    <cellStyle name="Tabelstandaard Totaal Negatief 4 2 7 2" xfId="675"/>
    <cellStyle name="Tabelstandaard Totaal Negatief 4 2 7 2 2" xfId="1629"/>
    <cellStyle name="Tabelstandaard Totaal Negatief 4 2 7 2 2 2" xfId="10260"/>
    <cellStyle name="Tabelstandaard Totaal Negatief 4 2 7 2 2 2 2" xfId="22558"/>
    <cellStyle name="Tabelstandaard Totaal Negatief 4 2 7 2 2 2 3" xfId="34610"/>
    <cellStyle name="Tabelstandaard Totaal Negatief 4 2 7 2 2 2 4" xfId="42349"/>
    <cellStyle name="Tabelstandaard Totaal Negatief 4 2 7 2 2 2 5" xfId="55225"/>
    <cellStyle name="Tabelstandaard Totaal Negatief 4 2 7 2 2 3" xfId="16158"/>
    <cellStyle name="Tabelstandaard Totaal Negatief 4 2 7 2 2 4" xfId="28210"/>
    <cellStyle name="Tabelstandaard Totaal Negatief 4 2 7 2 2 5" xfId="45003"/>
    <cellStyle name="Tabelstandaard Totaal Negatief 4 2 7 2 2 6" xfId="49339"/>
    <cellStyle name="Tabelstandaard Totaal Negatief 4 2 7 2 2 7" xfId="5666"/>
    <cellStyle name="Tabelstandaard Totaal Negatief 4 2 7 2 3" xfId="2741"/>
    <cellStyle name="Tabelstandaard Totaal Negatief 4 2 7 2 3 2" xfId="16159"/>
    <cellStyle name="Tabelstandaard Totaal Negatief 4 2 7 2 3 3" xfId="28211"/>
    <cellStyle name="Tabelstandaard Totaal Negatief 4 2 7 2 3 4" xfId="38996"/>
    <cellStyle name="Tabelstandaard Totaal Negatief 4 2 7 2 3 5" xfId="49340"/>
    <cellStyle name="Tabelstandaard Totaal Negatief 4 2 7 2 4" xfId="7532"/>
    <cellStyle name="Tabelstandaard Totaal Negatief 4 2 7 2 4 2" xfId="19830"/>
    <cellStyle name="Tabelstandaard Totaal Negatief 4 2 7 2 4 3" xfId="41633"/>
    <cellStyle name="Tabelstandaard Totaal Negatief 4 2 7 2 4 4" xfId="43469"/>
    <cellStyle name="Tabelstandaard Totaal Negatief 4 2 7 2 4 5" xfId="52502"/>
    <cellStyle name="Tabelstandaard Totaal Negatief 4 2 7 2 5" xfId="16157"/>
    <cellStyle name="Tabelstandaard Totaal Negatief 4 2 7 3" xfId="1482"/>
    <cellStyle name="Tabelstandaard Totaal Negatief 4 2 7 3 2" xfId="10261"/>
    <cellStyle name="Tabelstandaard Totaal Negatief 4 2 7 3 2 2" xfId="22559"/>
    <cellStyle name="Tabelstandaard Totaal Negatief 4 2 7 3 2 3" xfId="34611"/>
    <cellStyle name="Tabelstandaard Totaal Negatief 4 2 7 3 2 4" xfId="28941"/>
    <cellStyle name="Tabelstandaard Totaal Negatief 4 2 7 3 2 5" xfId="55226"/>
    <cellStyle name="Tabelstandaard Totaal Negatief 4 2 7 3 3" xfId="16160"/>
    <cellStyle name="Tabelstandaard Totaal Negatief 4 2 7 3 4" xfId="28212"/>
    <cellStyle name="Tabelstandaard Totaal Negatief 4 2 7 3 5" xfId="45002"/>
    <cellStyle name="Tabelstandaard Totaal Negatief 4 2 7 3 6" xfId="49341"/>
    <cellStyle name="Tabelstandaard Totaal Negatief 4 2 7 4" xfId="5667"/>
    <cellStyle name="Tabelstandaard Totaal Negatief 4 2 7 4 2" xfId="16161"/>
    <cellStyle name="Tabelstandaard Totaal Negatief 4 2 7 4 3" xfId="28213"/>
    <cellStyle name="Tabelstandaard Totaal Negatief 4 2 7 4 4" xfId="38995"/>
    <cellStyle name="Tabelstandaard Totaal Negatief 4 2 7 4 5" xfId="49342"/>
    <cellStyle name="Tabelstandaard Totaal Negatief 4 2 7 5" xfId="7441"/>
    <cellStyle name="Tabelstandaard Totaal Negatief 4 2 7 5 2" xfId="19739"/>
    <cellStyle name="Tabelstandaard Totaal Negatief 4 2 7 5 3" xfId="41542"/>
    <cellStyle name="Tabelstandaard Totaal Negatief 4 2 7 5 4" xfId="15554"/>
    <cellStyle name="Tabelstandaard Totaal Negatief 4 2 7 5 5" xfId="52411"/>
    <cellStyle name="Tabelstandaard Totaal Negatief 4 2 7 6" xfId="16156"/>
    <cellStyle name="Tabelstandaard Totaal Negatief 4 2 8" xfId="817"/>
    <cellStyle name="Tabelstandaard Totaal Negatief 4 2 8 2" xfId="478"/>
    <cellStyle name="Tabelstandaard Totaal Negatief 4 2 8 2 2" xfId="1969"/>
    <cellStyle name="Tabelstandaard Totaal Negatief 4 2 8 2 2 2" xfId="10264"/>
    <cellStyle name="Tabelstandaard Totaal Negatief 4 2 8 2 2 2 2" xfId="22562"/>
    <cellStyle name="Tabelstandaard Totaal Negatief 4 2 8 2 2 2 3" xfId="34614"/>
    <cellStyle name="Tabelstandaard Totaal Negatief 4 2 8 2 2 2 4" xfId="28948"/>
    <cellStyle name="Tabelstandaard Totaal Negatief 4 2 8 2 2 2 5" xfId="55229"/>
    <cellStyle name="Tabelstandaard Totaal Negatief 4 2 8 2 2 3" xfId="16164"/>
    <cellStyle name="Tabelstandaard Totaal Negatief 4 2 8 2 2 4" xfId="28216"/>
    <cellStyle name="Tabelstandaard Totaal Negatief 4 2 8 2 2 5" xfId="45000"/>
    <cellStyle name="Tabelstandaard Totaal Negatief 4 2 8 2 2 6" xfId="49343"/>
    <cellStyle name="Tabelstandaard Totaal Negatief 4 2 8 2 2 7" xfId="5668"/>
    <cellStyle name="Tabelstandaard Totaal Negatief 4 2 8 2 3" xfId="2549"/>
    <cellStyle name="Tabelstandaard Totaal Negatief 4 2 8 2 3 2" xfId="16165"/>
    <cellStyle name="Tabelstandaard Totaal Negatief 4 2 8 2 3 3" xfId="28217"/>
    <cellStyle name="Tabelstandaard Totaal Negatief 4 2 8 2 3 4" xfId="38993"/>
    <cellStyle name="Tabelstandaard Totaal Negatief 4 2 8 2 3 5" xfId="49344"/>
    <cellStyle name="Tabelstandaard Totaal Negatief 4 2 8 2 4" xfId="10352"/>
    <cellStyle name="Tabelstandaard Totaal Negatief 4 2 8 2 4 2" xfId="22650"/>
    <cellStyle name="Tabelstandaard Totaal Negatief 4 2 8 2 4 3" xfId="44410"/>
    <cellStyle name="Tabelstandaard Totaal Negatief 4 2 8 2 4 4" xfId="42310"/>
    <cellStyle name="Tabelstandaard Totaal Negatief 4 2 8 2 4 5" xfId="55317"/>
    <cellStyle name="Tabelstandaard Totaal Negatief 4 2 8 2 5" xfId="16163"/>
    <cellStyle name="Tabelstandaard Totaal Negatief 4 2 8 3" xfId="1577"/>
    <cellStyle name="Tabelstandaard Totaal Negatief 4 2 8 3 2" xfId="10265"/>
    <cellStyle name="Tabelstandaard Totaal Negatief 4 2 8 3 2 2" xfId="22563"/>
    <cellStyle name="Tabelstandaard Totaal Negatief 4 2 8 3 2 3" xfId="34615"/>
    <cellStyle name="Tabelstandaard Totaal Negatief 4 2 8 3 2 4" xfId="42347"/>
    <cellStyle name="Tabelstandaard Totaal Negatief 4 2 8 3 2 5" xfId="55230"/>
    <cellStyle name="Tabelstandaard Totaal Negatief 4 2 8 3 3" xfId="16166"/>
    <cellStyle name="Tabelstandaard Totaal Negatief 4 2 8 3 4" xfId="28218"/>
    <cellStyle name="Tabelstandaard Totaal Negatief 4 2 8 3 5" xfId="44999"/>
    <cellStyle name="Tabelstandaard Totaal Negatief 4 2 8 3 6" xfId="49345"/>
    <cellStyle name="Tabelstandaard Totaal Negatief 4 2 8 4" xfId="5669"/>
    <cellStyle name="Tabelstandaard Totaal Negatief 4 2 8 4 2" xfId="16167"/>
    <cellStyle name="Tabelstandaard Totaal Negatief 4 2 8 4 3" xfId="28219"/>
    <cellStyle name="Tabelstandaard Totaal Negatief 4 2 8 4 4" xfId="38992"/>
    <cellStyle name="Tabelstandaard Totaal Negatief 4 2 8 4 5" xfId="49346"/>
    <cellStyle name="Tabelstandaard Totaal Negatief 4 2 8 5" xfId="10122"/>
    <cellStyle name="Tabelstandaard Totaal Negatief 4 2 8 5 2" xfId="22420"/>
    <cellStyle name="Tabelstandaard Totaal Negatief 4 2 8 5 3" xfId="44184"/>
    <cellStyle name="Tabelstandaard Totaal Negatief 4 2 8 5 4" xfId="31630"/>
    <cellStyle name="Tabelstandaard Totaal Negatief 4 2 8 5 5" xfId="55087"/>
    <cellStyle name="Tabelstandaard Totaal Negatief 4 2 8 6" xfId="16162"/>
    <cellStyle name="Tabelstandaard Totaal Negatief 4 2 9" xfId="824"/>
    <cellStyle name="Tabelstandaard Totaal Negatief 4 2 9 2" xfId="1291"/>
    <cellStyle name="Tabelstandaard Totaal Negatief 4 2 9 2 2" xfId="1974"/>
    <cellStyle name="Tabelstandaard Totaal Negatief 4 2 9 2 2 2" xfId="10268"/>
    <cellStyle name="Tabelstandaard Totaal Negatief 4 2 9 2 2 2 2" xfId="22566"/>
    <cellStyle name="Tabelstandaard Totaal Negatief 4 2 9 2 2 2 3" xfId="34618"/>
    <cellStyle name="Tabelstandaard Totaal Negatief 4 2 9 2 2 2 4" xfId="28955"/>
    <cellStyle name="Tabelstandaard Totaal Negatief 4 2 9 2 2 2 5" xfId="55233"/>
    <cellStyle name="Tabelstandaard Totaal Negatief 4 2 9 2 2 3" xfId="16170"/>
    <cellStyle name="Tabelstandaard Totaal Negatief 4 2 9 2 2 4" xfId="28222"/>
    <cellStyle name="Tabelstandaard Totaal Negatief 4 2 9 2 2 5" xfId="44998"/>
    <cellStyle name="Tabelstandaard Totaal Negatief 4 2 9 2 2 6" xfId="49347"/>
    <cellStyle name="Tabelstandaard Totaal Negatief 4 2 9 2 2 7" xfId="5670"/>
    <cellStyle name="Tabelstandaard Totaal Negatief 4 2 9 2 3" xfId="3302"/>
    <cellStyle name="Tabelstandaard Totaal Negatief 4 2 9 2 3 2" xfId="16171"/>
    <cellStyle name="Tabelstandaard Totaal Negatief 4 2 9 2 3 3" xfId="28223"/>
    <cellStyle name="Tabelstandaard Totaal Negatief 4 2 9 2 3 4" xfId="38989"/>
    <cellStyle name="Tabelstandaard Totaal Negatief 4 2 9 2 3 5" xfId="49348"/>
    <cellStyle name="Tabelstandaard Totaal Negatief 4 2 9 2 4" xfId="7085"/>
    <cellStyle name="Tabelstandaard Totaal Negatief 4 2 9 2 4 2" xfId="19383"/>
    <cellStyle name="Tabelstandaard Totaal Negatief 4 2 9 2 4 3" xfId="41186"/>
    <cellStyle name="Tabelstandaard Totaal Negatief 4 2 9 2 4 4" xfId="36984"/>
    <cellStyle name="Tabelstandaard Totaal Negatief 4 2 9 2 4 5" xfId="52056"/>
    <cellStyle name="Tabelstandaard Totaal Negatief 4 2 9 2 5" xfId="16169"/>
    <cellStyle name="Tabelstandaard Totaal Negatief 4 2 9 3" xfId="1573"/>
    <cellStyle name="Tabelstandaard Totaal Negatief 4 2 9 3 2" xfId="10269"/>
    <cellStyle name="Tabelstandaard Totaal Negatief 4 2 9 3 2 2" xfId="22567"/>
    <cellStyle name="Tabelstandaard Totaal Negatief 4 2 9 3 2 3" xfId="34619"/>
    <cellStyle name="Tabelstandaard Totaal Negatief 4 2 9 3 2 4" xfId="42345"/>
    <cellStyle name="Tabelstandaard Totaal Negatief 4 2 9 3 2 5" xfId="55234"/>
    <cellStyle name="Tabelstandaard Totaal Negatief 4 2 9 3 3" xfId="16172"/>
    <cellStyle name="Tabelstandaard Totaal Negatief 4 2 9 3 4" xfId="28224"/>
    <cellStyle name="Tabelstandaard Totaal Negatief 4 2 9 3 5" xfId="44997"/>
    <cellStyle name="Tabelstandaard Totaal Negatief 4 2 9 3 6" xfId="49349"/>
    <cellStyle name="Tabelstandaard Totaal Negatief 4 2 9 4" xfId="5671"/>
    <cellStyle name="Tabelstandaard Totaal Negatief 4 2 9 4 2" xfId="16173"/>
    <cellStyle name="Tabelstandaard Totaal Negatief 4 2 9 4 3" xfId="28225"/>
    <cellStyle name="Tabelstandaard Totaal Negatief 4 2 9 4 4" xfId="38988"/>
    <cellStyle name="Tabelstandaard Totaal Negatief 4 2 9 4 5" xfId="49350"/>
    <cellStyle name="Tabelstandaard Totaal Negatief 4 2 9 5" xfId="7431"/>
    <cellStyle name="Tabelstandaard Totaal Negatief 4 2 9 5 2" xfId="19729"/>
    <cellStyle name="Tabelstandaard Totaal Negatief 4 2 9 5 3" xfId="41532"/>
    <cellStyle name="Tabelstandaard Totaal Negatief 4 2 9 5 4" xfId="15560"/>
    <cellStyle name="Tabelstandaard Totaal Negatief 4 2 9 5 5" xfId="52401"/>
    <cellStyle name="Tabelstandaard Totaal Negatief 4 2 9 6" xfId="16168"/>
    <cellStyle name="Tabelstandaard Totaal Negatief 4 3" xfId="247"/>
    <cellStyle name="Tabelstandaard Totaal Negatief 4 3 2" xfId="365"/>
    <cellStyle name="Tabelstandaard Totaal Negatief 4 3 2 2" xfId="406"/>
    <cellStyle name="Tabelstandaard Totaal Negatief 4 3 2 2 2" xfId="591"/>
    <cellStyle name="Tabelstandaard Totaal Negatief 4 3 2 2 2 2" xfId="2435"/>
    <cellStyle name="Tabelstandaard Totaal Negatief 4 3 2 2 2 2 2" xfId="10274"/>
    <cellStyle name="Tabelstandaard Totaal Negatief 4 3 2 2 2 2 2 2" xfId="22572"/>
    <cellStyle name="Tabelstandaard Totaal Negatief 4 3 2 2 2 2 2 3" xfId="34624"/>
    <cellStyle name="Tabelstandaard Totaal Negatief 4 3 2 2 2 2 2 4" xfId="42343"/>
    <cellStyle name="Tabelstandaard Totaal Negatief 4 3 2 2 2 2 2 5" xfId="55239"/>
    <cellStyle name="Tabelstandaard Totaal Negatief 4 3 2 2 2 2 3" xfId="16178"/>
    <cellStyle name="Tabelstandaard Totaal Negatief 4 3 2 2 2 2 4" xfId="28230"/>
    <cellStyle name="Tabelstandaard Totaal Negatief 4 3 2 2 2 2 5" xfId="44994"/>
    <cellStyle name="Tabelstandaard Totaal Negatief 4 3 2 2 2 2 6" xfId="49351"/>
    <cellStyle name="Tabelstandaard Totaal Negatief 4 3 2 2 2 2 7" xfId="5672"/>
    <cellStyle name="Tabelstandaard Totaal Negatief 4 3 2 2 2 3" xfId="2662"/>
    <cellStyle name="Tabelstandaard Totaal Negatief 4 3 2 2 2 3 2" xfId="16179"/>
    <cellStyle name="Tabelstandaard Totaal Negatief 4 3 2 2 2 3 3" xfId="28231"/>
    <cellStyle name="Tabelstandaard Totaal Negatief 4 3 2 2 2 3 4" xfId="38986"/>
    <cellStyle name="Tabelstandaard Totaal Negatief 4 3 2 2 2 3 5" xfId="49352"/>
    <cellStyle name="Tabelstandaard Totaal Negatief 4 3 2 2 2 4" xfId="7588"/>
    <cellStyle name="Tabelstandaard Totaal Negatief 4 3 2 2 2 4 2" xfId="19886"/>
    <cellStyle name="Tabelstandaard Totaal Negatief 4 3 2 2 2 4 3" xfId="41689"/>
    <cellStyle name="Tabelstandaard Totaal Negatief 4 3 2 2 2 4 4" xfId="34266"/>
    <cellStyle name="Tabelstandaard Totaal Negatief 4 3 2 2 2 4 5" xfId="52558"/>
    <cellStyle name="Tabelstandaard Totaal Negatief 4 3 2 2 2 5" xfId="16177"/>
    <cellStyle name="Tabelstandaard Totaal Negatief 4 3 2 2 3" xfId="1345"/>
    <cellStyle name="Tabelstandaard Totaal Negatief 4 3 2 2 3 2" xfId="3356"/>
    <cellStyle name="Tabelstandaard Totaal Negatief 4 3 2 2 3 2 2" xfId="10276"/>
    <cellStyle name="Tabelstandaard Totaal Negatief 4 3 2 2 3 2 2 2" xfId="22574"/>
    <cellStyle name="Tabelstandaard Totaal Negatief 4 3 2 2 3 2 2 3" xfId="34626"/>
    <cellStyle name="Tabelstandaard Totaal Negatief 4 3 2 2 3 2 2 4" xfId="42342"/>
    <cellStyle name="Tabelstandaard Totaal Negatief 4 3 2 2 3 2 2 5" xfId="55241"/>
    <cellStyle name="Tabelstandaard Totaal Negatief 4 3 2 2 3 2 3" xfId="16181"/>
    <cellStyle name="Tabelstandaard Totaal Negatief 4 3 2 2 3 2 4" xfId="28233"/>
    <cellStyle name="Tabelstandaard Totaal Negatief 4 3 2 2 3 2 5" xfId="38984"/>
    <cellStyle name="Tabelstandaard Totaal Negatief 4 3 2 2 3 2 6" xfId="49353"/>
    <cellStyle name="Tabelstandaard Totaal Negatief 4 3 2 2 3 3" xfId="5673"/>
    <cellStyle name="Tabelstandaard Totaal Negatief 4 3 2 2 3 3 2" xfId="16182"/>
    <cellStyle name="Tabelstandaard Totaal Negatief 4 3 2 2 3 3 3" xfId="28234"/>
    <cellStyle name="Tabelstandaard Totaal Negatief 4 3 2 2 3 3 4" xfId="44993"/>
    <cellStyle name="Tabelstandaard Totaal Negatief 4 3 2 2 3 3 5" xfId="49354"/>
    <cellStyle name="Tabelstandaard Totaal Negatief 4 3 2 2 3 4" xfId="7037"/>
    <cellStyle name="Tabelstandaard Totaal Negatief 4 3 2 2 3 4 2" xfId="19335"/>
    <cellStyle name="Tabelstandaard Totaal Negatief 4 3 2 2 3 4 3" xfId="41138"/>
    <cellStyle name="Tabelstandaard Totaal Negatief 4 3 2 2 3 4 4" xfId="43676"/>
    <cellStyle name="Tabelstandaard Totaal Negatief 4 3 2 2 3 4 5" xfId="52008"/>
    <cellStyle name="Tabelstandaard Totaal Negatief 4 3 2 2 3 5" xfId="16180"/>
    <cellStyle name="Tabelstandaard Totaal Negatief 4 3 2 2 4" xfId="1905"/>
    <cellStyle name="Tabelstandaard Totaal Negatief 4 3 2 2 4 2" xfId="10277"/>
    <cellStyle name="Tabelstandaard Totaal Negatief 4 3 2 2 4 2 2" xfId="22575"/>
    <cellStyle name="Tabelstandaard Totaal Negatief 4 3 2 2 4 2 3" xfId="34627"/>
    <cellStyle name="Tabelstandaard Totaal Negatief 4 3 2 2 4 2 4" xfId="31420"/>
    <cellStyle name="Tabelstandaard Totaal Negatief 4 3 2 2 4 2 5" xfId="55242"/>
    <cellStyle name="Tabelstandaard Totaal Negatief 4 3 2 2 4 3" xfId="16183"/>
    <cellStyle name="Tabelstandaard Totaal Negatief 4 3 2 2 4 4" xfId="28235"/>
    <cellStyle name="Tabelstandaard Totaal Negatief 4 3 2 2 4 5" xfId="38983"/>
    <cellStyle name="Tabelstandaard Totaal Negatief 4 3 2 2 4 6" xfId="49355"/>
    <cellStyle name="Tabelstandaard Totaal Negatief 4 3 2 2 5" xfId="5674"/>
    <cellStyle name="Tabelstandaard Totaal Negatief 4 3 2 2 5 2" xfId="16184"/>
    <cellStyle name="Tabelstandaard Totaal Negatief 4 3 2 2 5 3" xfId="28236"/>
    <cellStyle name="Tabelstandaard Totaal Negatief 4 3 2 2 5 4" xfId="44992"/>
    <cellStyle name="Tabelstandaard Totaal Negatief 4 3 2 2 5 5" xfId="49356"/>
    <cellStyle name="Tabelstandaard Totaal Negatief 4 3 2 2 6" xfId="10400"/>
    <cellStyle name="Tabelstandaard Totaal Negatief 4 3 2 2 6 2" xfId="22698"/>
    <cellStyle name="Tabelstandaard Totaal Negatief 4 3 2 2 6 3" xfId="44458"/>
    <cellStyle name="Tabelstandaard Totaal Negatief 4 3 2 2 6 4" xfId="42290"/>
    <cellStyle name="Tabelstandaard Totaal Negatief 4 3 2 2 6 5" xfId="55365"/>
    <cellStyle name="Tabelstandaard Totaal Negatief 4 3 2 2 7" xfId="16176"/>
    <cellStyle name="Tabelstandaard Totaal Negatief 4 3 2 3" xfId="5675"/>
    <cellStyle name="Tabelstandaard Totaal Negatief 4 3 2 3 2" xfId="10278"/>
    <cellStyle name="Tabelstandaard Totaal Negatief 4 3 2 3 2 2" xfId="22576"/>
    <cellStyle name="Tabelstandaard Totaal Negatief 4 3 2 3 2 3" xfId="34628"/>
    <cellStyle name="Tabelstandaard Totaal Negatief 4 3 2 3 2 4" xfId="42341"/>
    <cellStyle name="Tabelstandaard Totaal Negatief 4 3 2 3 2 5" xfId="55243"/>
    <cellStyle name="Tabelstandaard Totaal Negatief 4 3 2 3 3" xfId="16185"/>
    <cellStyle name="Tabelstandaard Totaal Negatief 4 3 2 3 4" xfId="28237"/>
    <cellStyle name="Tabelstandaard Totaal Negatief 4 3 2 3 5" xfId="38982"/>
    <cellStyle name="Tabelstandaard Totaal Negatief 4 3 2 3 6" xfId="49357"/>
    <cellStyle name="Tabelstandaard Totaal Negatief 4 3 2 4" xfId="5676"/>
    <cellStyle name="Tabelstandaard Totaal Negatief 4 3 2 4 2" xfId="16186"/>
    <cellStyle name="Tabelstandaard Totaal Negatief 4 3 2 4 3" xfId="28238"/>
    <cellStyle name="Tabelstandaard Totaal Negatief 4 3 2 4 4" xfId="44991"/>
    <cellStyle name="Tabelstandaard Totaal Negatief 4 3 2 4 5" xfId="49358"/>
    <cellStyle name="Tabelstandaard Totaal Negatief 4 3 2 5" xfId="7737"/>
    <cellStyle name="Tabelstandaard Totaal Negatief 4 3 2 5 2" xfId="20035"/>
    <cellStyle name="Tabelstandaard Totaal Negatief 4 3 2 5 3" xfId="41838"/>
    <cellStyle name="Tabelstandaard Totaal Negatief 4 3 2 5 4" xfId="25171"/>
    <cellStyle name="Tabelstandaard Totaal Negatief 4 3 2 5 5" xfId="52707"/>
    <cellStyle name="Tabelstandaard Totaal Negatief 4 3 2 6" xfId="16175"/>
    <cellStyle name="Tabelstandaard Totaal Negatief 4 3 3" xfId="370"/>
    <cellStyle name="Tabelstandaard Totaal Negatief 4 3 3 2" xfId="411"/>
    <cellStyle name="Tabelstandaard Totaal Negatief 4 3 3 2 2" xfId="1259"/>
    <cellStyle name="Tabelstandaard Totaal Negatief 4 3 3 2 2 2" xfId="1784"/>
    <cellStyle name="Tabelstandaard Totaal Negatief 4 3 3 2 2 2 2" xfId="10282"/>
    <cellStyle name="Tabelstandaard Totaal Negatief 4 3 3 2 2 2 2 2" xfId="22580"/>
    <cellStyle name="Tabelstandaard Totaal Negatief 4 3 3 2 2 2 2 3" xfId="34632"/>
    <cellStyle name="Tabelstandaard Totaal Negatief 4 3 3 2 2 2 2 4" xfId="28980"/>
    <cellStyle name="Tabelstandaard Totaal Negatief 4 3 3 2 2 2 2 5" xfId="55247"/>
    <cellStyle name="Tabelstandaard Totaal Negatief 4 3 3 2 2 2 3" xfId="16190"/>
    <cellStyle name="Tabelstandaard Totaal Negatief 4 3 3 2 2 2 4" xfId="28242"/>
    <cellStyle name="Tabelstandaard Totaal Negatief 4 3 3 2 2 2 5" xfId="44989"/>
    <cellStyle name="Tabelstandaard Totaal Negatief 4 3 3 2 2 2 6" xfId="49359"/>
    <cellStyle name="Tabelstandaard Totaal Negatief 4 3 3 2 2 2 7" xfId="5677"/>
    <cellStyle name="Tabelstandaard Totaal Negatief 4 3 3 2 2 3" xfId="3270"/>
    <cellStyle name="Tabelstandaard Totaal Negatief 4 3 3 2 2 3 2" xfId="16191"/>
    <cellStyle name="Tabelstandaard Totaal Negatief 4 3 3 2 2 3 3" xfId="28243"/>
    <cellStyle name="Tabelstandaard Totaal Negatief 4 3 3 2 2 3 4" xfId="38979"/>
    <cellStyle name="Tabelstandaard Totaal Negatief 4 3 3 2 2 3 5" xfId="49360"/>
    <cellStyle name="Tabelstandaard Totaal Negatief 4 3 3 2 2 4" xfId="7116"/>
    <cellStyle name="Tabelstandaard Totaal Negatief 4 3 3 2 2 4 2" xfId="19414"/>
    <cellStyle name="Tabelstandaard Totaal Negatief 4 3 3 2 2 4 3" xfId="41217"/>
    <cellStyle name="Tabelstandaard Totaal Negatief 4 3 3 2 2 4 4" xfId="43643"/>
    <cellStyle name="Tabelstandaard Totaal Negatief 4 3 3 2 2 4 5" xfId="52087"/>
    <cellStyle name="Tabelstandaard Totaal Negatief 4 3 3 2 2 5" xfId="16189"/>
    <cellStyle name="Tabelstandaard Totaal Negatief 4 3 3 2 3" xfId="1350"/>
    <cellStyle name="Tabelstandaard Totaal Negatief 4 3 3 2 3 2" xfId="3361"/>
    <cellStyle name="Tabelstandaard Totaal Negatief 4 3 3 2 3 2 2" xfId="10284"/>
    <cellStyle name="Tabelstandaard Totaal Negatief 4 3 3 2 3 2 2 2" xfId="22582"/>
    <cellStyle name="Tabelstandaard Totaal Negatief 4 3 3 2 3 2 2 3" xfId="34634"/>
    <cellStyle name="Tabelstandaard Totaal Negatief 4 3 3 2 3 2 2 4" xfId="42339"/>
    <cellStyle name="Tabelstandaard Totaal Negatief 4 3 3 2 3 2 2 5" xfId="55249"/>
    <cellStyle name="Tabelstandaard Totaal Negatief 4 3 3 2 3 2 3" xfId="16193"/>
    <cellStyle name="Tabelstandaard Totaal Negatief 4 3 3 2 3 2 4" xfId="28245"/>
    <cellStyle name="Tabelstandaard Totaal Negatief 4 3 3 2 3 2 5" xfId="38977"/>
    <cellStyle name="Tabelstandaard Totaal Negatief 4 3 3 2 3 2 6" xfId="49361"/>
    <cellStyle name="Tabelstandaard Totaal Negatief 4 3 3 2 3 3" xfId="5678"/>
    <cellStyle name="Tabelstandaard Totaal Negatief 4 3 3 2 3 3 2" xfId="16194"/>
    <cellStyle name="Tabelstandaard Totaal Negatief 4 3 3 2 3 3 3" xfId="28246"/>
    <cellStyle name="Tabelstandaard Totaal Negatief 4 3 3 2 3 3 4" xfId="44988"/>
    <cellStyle name="Tabelstandaard Totaal Negatief 4 3 3 2 3 3 5" xfId="49362"/>
    <cellStyle name="Tabelstandaard Totaal Negatief 4 3 3 2 3 4" xfId="9837"/>
    <cellStyle name="Tabelstandaard Totaal Negatief 4 3 3 2 3 4 2" xfId="22135"/>
    <cellStyle name="Tabelstandaard Totaal Negatief 4 3 3 2 3 4 3" xfId="43902"/>
    <cellStyle name="Tabelstandaard Totaal Negatief 4 3 3 2 3 4 4" xfId="31825"/>
    <cellStyle name="Tabelstandaard Totaal Negatief 4 3 3 2 3 4 5" xfId="54802"/>
    <cellStyle name="Tabelstandaard Totaal Negatief 4 3 3 2 3 5" xfId="16192"/>
    <cellStyle name="Tabelstandaard Totaal Negatief 4 3 3 2 4" xfId="2131"/>
    <cellStyle name="Tabelstandaard Totaal Negatief 4 3 3 2 4 2" xfId="10285"/>
    <cellStyle name="Tabelstandaard Totaal Negatief 4 3 3 2 4 2 2" xfId="22583"/>
    <cellStyle name="Tabelstandaard Totaal Negatief 4 3 3 2 4 2 3" xfId="34635"/>
    <cellStyle name="Tabelstandaard Totaal Negatief 4 3 3 2 4 2 4" xfId="28987"/>
    <cellStyle name="Tabelstandaard Totaal Negatief 4 3 3 2 4 2 5" xfId="55250"/>
    <cellStyle name="Tabelstandaard Totaal Negatief 4 3 3 2 4 3" xfId="16195"/>
    <cellStyle name="Tabelstandaard Totaal Negatief 4 3 3 2 4 4" xfId="28247"/>
    <cellStyle name="Tabelstandaard Totaal Negatief 4 3 3 2 4 5" xfId="38976"/>
    <cellStyle name="Tabelstandaard Totaal Negatief 4 3 3 2 4 6" xfId="49363"/>
    <cellStyle name="Tabelstandaard Totaal Negatief 4 3 3 2 5" xfId="5679"/>
    <cellStyle name="Tabelstandaard Totaal Negatief 4 3 3 2 5 2" xfId="16196"/>
    <cellStyle name="Tabelstandaard Totaal Negatief 4 3 3 2 5 3" xfId="28248"/>
    <cellStyle name="Tabelstandaard Totaal Negatief 4 3 3 2 5 4" xfId="44987"/>
    <cellStyle name="Tabelstandaard Totaal Negatief 4 3 3 2 5 5" xfId="49364"/>
    <cellStyle name="Tabelstandaard Totaal Negatief 4 3 3 2 6" xfId="7708"/>
    <cellStyle name="Tabelstandaard Totaal Negatief 4 3 3 2 6 2" xfId="20006"/>
    <cellStyle name="Tabelstandaard Totaal Negatief 4 3 3 2 6 3" xfId="41809"/>
    <cellStyle name="Tabelstandaard Totaal Negatief 4 3 3 2 6 4" xfId="43396"/>
    <cellStyle name="Tabelstandaard Totaal Negatief 4 3 3 2 6 5" xfId="52678"/>
    <cellStyle name="Tabelstandaard Totaal Negatief 4 3 3 2 7" xfId="16188"/>
    <cellStyle name="Tabelstandaard Totaal Negatief 4 3 3 3" xfId="5680"/>
    <cellStyle name="Tabelstandaard Totaal Negatief 4 3 3 3 2" xfId="10286"/>
    <cellStyle name="Tabelstandaard Totaal Negatief 4 3 3 3 2 2" xfId="22584"/>
    <cellStyle name="Tabelstandaard Totaal Negatief 4 3 3 3 2 3" xfId="34636"/>
    <cellStyle name="Tabelstandaard Totaal Negatief 4 3 3 3 2 4" xfId="42338"/>
    <cellStyle name="Tabelstandaard Totaal Negatief 4 3 3 3 2 5" xfId="55251"/>
    <cellStyle name="Tabelstandaard Totaal Negatief 4 3 3 3 3" xfId="16197"/>
    <cellStyle name="Tabelstandaard Totaal Negatief 4 3 3 3 4" xfId="28249"/>
    <cellStyle name="Tabelstandaard Totaal Negatief 4 3 3 3 5" xfId="38975"/>
    <cellStyle name="Tabelstandaard Totaal Negatief 4 3 3 3 6" xfId="49365"/>
    <cellStyle name="Tabelstandaard Totaal Negatief 4 3 3 4" xfId="5681"/>
    <cellStyle name="Tabelstandaard Totaal Negatief 4 3 3 4 2" xfId="16198"/>
    <cellStyle name="Tabelstandaard Totaal Negatief 4 3 3 4 3" xfId="28250"/>
    <cellStyle name="Tabelstandaard Totaal Negatief 4 3 3 4 4" xfId="44986"/>
    <cellStyle name="Tabelstandaard Totaal Negatief 4 3 3 4 5" xfId="49366"/>
    <cellStyle name="Tabelstandaard Totaal Negatief 4 3 3 5" xfId="10423"/>
    <cellStyle name="Tabelstandaard Totaal Negatief 4 3 3 5 2" xfId="22721"/>
    <cellStyle name="Tabelstandaard Totaal Negatief 4 3 3 5 3" xfId="44481"/>
    <cellStyle name="Tabelstandaard Totaal Negatief 4 3 3 5 4" xfId="31408"/>
    <cellStyle name="Tabelstandaard Totaal Negatief 4 3 3 5 5" xfId="55388"/>
    <cellStyle name="Tabelstandaard Totaal Negatief 4 3 3 6" xfId="16187"/>
    <cellStyle name="Tabelstandaard Totaal Negatief 4 3 4" xfId="1280"/>
    <cellStyle name="Tabelstandaard Totaal Negatief 4 3 4 2" xfId="2196"/>
    <cellStyle name="Tabelstandaard Totaal Negatief 4 3 4 2 2" xfId="10288"/>
    <cellStyle name="Tabelstandaard Totaal Negatief 4 3 4 2 2 2" xfId="22586"/>
    <cellStyle name="Tabelstandaard Totaal Negatief 4 3 4 2 2 3" xfId="34638"/>
    <cellStyle name="Tabelstandaard Totaal Negatief 4 3 4 2 2 4" xfId="42337"/>
    <cellStyle name="Tabelstandaard Totaal Negatief 4 3 4 2 2 5" xfId="55253"/>
    <cellStyle name="Tabelstandaard Totaal Negatief 4 3 4 2 3" xfId="16200"/>
    <cellStyle name="Tabelstandaard Totaal Negatief 4 3 4 2 4" xfId="28252"/>
    <cellStyle name="Tabelstandaard Totaal Negatief 4 3 4 2 5" xfId="44985"/>
    <cellStyle name="Tabelstandaard Totaal Negatief 4 3 4 2 6" xfId="49367"/>
    <cellStyle name="Tabelstandaard Totaal Negatief 4 3 4 2 7" xfId="5682"/>
    <cellStyle name="Tabelstandaard Totaal Negatief 4 3 4 3" xfId="3291"/>
    <cellStyle name="Tabelstandaard Totaal Negatief 4 3 4 3 2" xfId="16201"/>
    <cellStyle name="Tabelstandaard Totaal Negatief 4 3 4 3 3" xfId="28253"/>
    <cellStyle name="Tabelstandaard Totaal Negatief 4 3 4 3 4" xfId="38973"/>
    <cellStyle name="Tabelstandaard Totaal Negatief 4 3 4 3 5" xfId="49368"/>
    <cellStyle name="Tabelstandaard Totaal Negatief 4 3 4 4" xfId="7096"/>
    <cellStyle name="Tabelstandaard Totaal Negatief 4 3 4 4 2" xfId="19394"/>
    <cellStyle name="Tabelstandaard Totaal Negatief 4 3 4 4 3" xfId="41197"/>
    <cellStyle name="Tabelstandaard Totaal Negatief 4 3 4 4 4" xfId="43652"/>
    <cellStyle name="Tabelstandaard Totaal Negatief 4 3 4 4 5" xfId="52067"/>
    <cellStyle name="Tabelstandaard Totaal Negatief 4 3 4 5" xfId="16199"/>
    <cellStyle name="Tabelstandaard Totaal Negatief 4 3 5" xfId="1713"/>
    <cellStyle name="Tabelstandaard Totaal Negatief 4 3 5 2" xfId="10289"/>
    <cellStyle name="Tabelstandaard Totaal Negatief 4 3 5 2 2" xfId="22587"/>
    <cellStyle name="Tabelstandaard Totaal Negatief 4 3 5 2 3" xfId="34639"/>
    <cellStyle name="Tabelstandaard Totaal Negatief 4 3 5 2 4" xfId="28994"/>
    <cellStyle name="Tabelstandaard Totaal Negatief 4 3 5 2 5" xfId="55254"/>
    <cellStyle name="Tabelstandaard Totaal Negatief 4 3 5 3" xfId="16202"/>
    <cellStyle name="Tabelstandaard Totaal Negatief 4 3 5 4" xfId="28254"/>
    <cellStyle name="Tabelstandaard Totaal Negatief 4 3 5 5" xfId="44984"/>
    <cellStyle name="Tabelstandaard Totaal Negatief 4 3 5 6" xfId="49369"/>
    <cellStyle name="Tabelstandaard Totaal Negatief 4 3 6" xfId="5683"/>
    <cellStyle name="Tabelstandaard Totaal Negatief 4 3 6 2" xfId="16203"/>
    <cellStyle name="Tabelstandaard Totaal Negatief 4 3 6 3" xfId="28255"/>
    <cellStyle name="Tabelstandaard Totaal Negatief 4 3 6 4" xfId="38972"/>
    <cellStyle name="Tabelstandaard Totaal Negatief 4 3 6 5" xfId="49370"/>
    <cellStyle name="Tabelstandaard Totaal Negatief 4 3 7" xfId="7774"/>
    <cellStyle name="Tabelstandaard Totaal Negatief 4 3 7 2" xfId="20072"/>
    <cellStyle name="Tabelstandaard Totaal Negatief 4 3 7 3" xfId="41875"/>
    <cellStyle name="Tabelstandaard Totaal Negatief 4 3 7 4" xfId="43369"/>
    <cellStyle name="Tabelstandaard Totaal Negatief 4 3 7 5" xfId="52744"/>
    <cellStyle name="Tabelstandaard Totaal Negatief 4 3 8" xfId="16174"/>
    <cellStyle name="Tabelstandaard Totaal Negatief 4 4" xfId="749"/>
    <cellStyle name="Tabelstandaard Totaal Negatief 4 4 2" xfId="1272"/>
    <cellStyle name="Tabelstandaard Totaal Negatief 4 4 2 2" xfId="2451"/>
    <cellStyle name="Tabelstandaard Totaal Negatief 4 4 2 2 2" xfId="10292"/>
    <cellStyle name="Tabelstandaard Totaal Negatief 4 4 2 2 2 2" xfId="22590"/>
    <cellStyle name="Tabelstandaard Totaal Negatief 4 4 2 2 2 3" xfId="34642"/>
    <cellStyle name="Tabelstandaard Totaal Negatief 4 4 2 2 2 4" xfId="42335"/>
    <cellStyle name="Tabelstandaard Totaal Negatief 4 4 2 2 2 5" xfId="55257"/>
    <cellStyle name="Tabelstandaard Totaal Negatief 4 4 2 2 3" xfId="16206"/>
    <cellStyle name="Tabelstandaard Totaal Negatief 4 4 2 2 4" xfId="28258"/>
    <cellStyle name="Tabelstandaard Totaal Negatief 4 4 2 2 5" xfId="44983"/>
    <cellStyle name="Tabelstandaard Totaal Negatief 4 4 2 2 6" xfId="49371"/>
    <cellStyle name="Tabelstandaard Totaal Negatief 4 4 2 2 7" xfId="5684"/>
    <cellStyle name="Tabelstandaard Totaal Negatief 4 4 2 3" xfId="3283"/>
    <cellStyle name="Tabelstandaard Totaal Negatief 4 4 2 3 2" xfId="16207"/>
    <cellStyle name="Tabelstandaard Totaal Negatief 4 4 2 3 3" xfId="28259"/>
    <cellStyle name="Tabelstandaard Totaal Negatief 4 4 2 3 4" xfId="38969"/>
    <cellStyle name="Tabelstandaard Totaal Negatief 4 4 2 3 5" xfId="49372"/>
    <cellStyle name="Tabelstandaard Totaal Negatief 4 4 2 4" xfId="7104"/>
    <cellStyle name="Tabelstandaard Totaal Negatief 4 4 2 4 2" xfId="19402"/>
    <cellStyle name="Tabelstandaard Totaal Negatief 4 4 2 4 3" xfId="41205"/>
    <cellStyle name="Tabelstandaard Totaal Negatief 4 4 2 4 4" xfId="43648"/>
    <cellStyle name="Tabelstandaard Totaal Negatief 4 4 2 4 5" xfId="52075"/>
    <cellStyle name="Tabelstandaard Totaal Negatief 4 4 2 5" xfId="16205"/>
    <cellStyle name="Tabelstandaard Totaal Negatief 4 4 3" xfId="1681"/>
    <cellStyle name="Tabelstandaard Totaal Negatief 4 4 3 2" xfId="10293"/>
    <cellStyle name="Tabelstandaard Totaal Negatief 4 4 3 2 2" xfId="22591"/>
    <cellStyle name="Tabelstandaard Totaal Negatief 4 4 3 2 3" xfId="34643"/>
    <cellStyle name="Tabelstandaard Totaal Negatief 4 4 3 2 4" xfId="29001"/>
    <cellStyle name="Tabelstandaard Totaal Negatief 4 4 3 2 5" xfId="55258"/>
    <cellStyle name="Tabelstandaard Totaal Negatief 4 4 3 3" xfId="16208"/>
    <cellStyle name="Tabelstandaard Totaal Negatief 4 4 3 4" xfId="28260"/>
    <cellStyle name="Tabelstandaard Totaal Negatief 4 4 3 5" xfId="44982"/>
    <cellStyle name="Tabelstandaard Totaal Negatief 4 4 3 6" xfId="49373"/>
    <cellStyle name="Tabelstandaard Totaal Negatief 4 4 4" xfId="5685"/>
    <cellStyle name="Tabelstandaard Totaal Negatief 4 4 4 2" xfId="16209"/>
    <cellStyle name="Tabelstandaard Totaal Negatief 4 4 4 3" xfId="28261"/>
    <cellStyle name="Tabelstandaard Totaal Negatief 4 4 4 4" xfId="38968"/>
    <cellStyle name="Tabelstandaard Totaal Negatief 4 4 4 5" xfId="49374"/>
    <cellStyle name="Tabelstandaard Totaal Negatief 4 4 5" xfId="7481"/>
    <cellStyle name="Tabelstandaard Totaal Negatief 4 4 5 2" xfId="19779"/>
    <cellStyle name="Tabelstandaard Totaal Negatief 4 4 5 3" xfId="41582"/>
    <cellStyle name="Tabelstandaard Totaal Negatief 4 4 5 4" xfId="15500"/>
    <cellStyle name="Tabelstandaard Totaal Negatief 4 4 5 5" xfId="52451"/>
    <cellStyle name="Tabelstandaard Totaal Negatief 4 4 6" xfId="16204"/>
    <cellStyle name="Tabelstandaard Totaal Negatief 4 5" xfId="763"/>
    <cellStyle name="Tabelstandaard Totaal Negatief 4 5 2" xfId="1263"/>
    <cellStyle name="Tabelstandaard Totaal Negatief 4 5 2 2" xfId="2463"/>
    <cellStyle name="Tabelstandaard Totaal Negatief 4 5 2 2 2" xfId="10296"/>
    <cellStyle name="Tabelstandaard Totaal Negatief 4 5 2 2 2 2" xfId="22594"/>
    <cellStyle name="Tabelstandaard Totaal Negatief 4 5 2 2 2 3" xfId="34646"/>
    <cellStyle name="Tabelstandaard Totaal Negatief 4 5 2 2 2 4" xfId="42334"/>
    <cellStyle name="Tabelstandaard Totaal Negatief 4 5 2 2 2 5" xfId="55261"/>
    <cellStyle name="Tabelstandaard Totaal Negatief 4 5 2 2 3" xfId="16212"/>
    <cellStyle name="Tabelstandaard Totaal Negatief 4 5 2 2 4" xfId="28264"/>
    <cellStyle name="Tabelstandaard Totaal Negatief 4 5 2 2 5" xfId="44980"/>
    <cellStyle name="Tabelstandaard Totaal Negatief 4 5 2 2 6" xfId="49375"/>
    <cellStyle name="Tabelstandaard Totaal Negatief 4 5 2 2 7" xfId="5686"/>
    <cellStyle name="Tabelstandaard Totaal Negatief 4 5 2 3" xfId="3274"/>
    <cellStyle name="Tabelstandaard Totaal Negatief 4 5 2 3 2" xfId="16213"/>
    <cellStyle name="Tabelstandaard Totaal Negatief 4 5 2 3 3" xfId="28265"/>
    <cellStyle name="Tabelstandaard Totaal Negatief 4 5 2 3 4" xfId="38966"/>
    <cellStyle name="Tabelstandaard Totaal Negatief 4 5 2 3 5" xfId="49376"/>
    <cellStyle name="Tabelstandaard Totaal Negatief 4 5 2 4" xfId="7112"/>
    <cellStyle name="Tabelstandaard Totaal Negatief 4 5 2 4 2" xfId="19410"/>
    <cellStyle name="Tabelstandaard Totaal Negatief 4 5 2 4 3" xfId="41213"/>
    <cellStyle name="Tabelstandaard Totaal Negatief 4 5 2 4 4" xfId="43645"/>
    <cellStyle name="Tabelstandaard Totaal Negatief 4 5 2 4 5" xfId="52083"/>
    <cellStyle name="Tabelstandaard Totaal Negatief 4 5 2 5" xfId="16211"/>
    <cellStyle name="Tabelstandaard Totaal Negatief 4 5 3" xfId="2009"/>
    <cellStyle name="Tabelstandaard Totaal Negatief 4 5 3 2" xfId="10297"/>
    <cellStyle name="Tabelstandaard Totaal Negatief 4 5 3 2 2" xfId="22595"/>
    <cellStyle name="Tabelstandaard Totaal Negatief 4 5 3 2 3" xfId="34647"/>
    <cellStyle name="Tabelstandaard Totaal Negatief 4 5 3 2 4" xfId="31560"/>
    <cellStyle name="Tabelstandaard Totaal Negatief 4 5 3 2 5" xfId="55262"/>
    <cellStyle name="Tabelstandaard Totaal Negatief 4 5 3 3" xfId="16214"/>
    <cellStyle name="Tabelstandaard Totaal Negatief 4 5 3 4" xfId="28266"/>
    <cellStyle name="Tabelstandaard Totaal Negatief 4 5 3 5" xfId="44979"/>
    <cellStyle name="Tabelstandaard Totaal Negatief 4 5 3 6" xfId="49377"/>
    <cellStyle name="Tabelstandaard Totaal Negatief 4 5 4" xfId="5687"/>
    <cellStyle name="Tabelstandaard Totaal Negatief 4 5 4 2" xfId="16215"/>
    <cellStyle name="Tabelstandaard Totaal Negatief 4 5 4 3" xfId="28267"/>
    <cellStyle name="Tabelstandaard Totaal Negatief 4 5 4 4" xfId="38965"/>
    <cellStyle name="Tabelstandaard Totaal Negatief 4 5 4 5" xfId="49378"/>
    <cellStyle name="Tabelstandaard Totaal Negatief 4 5 5" xfId="7471"/>
    <cellStyle name="Tabelstandaard Totaal Negatief 4 5 5 2" xfId="19769"/>
    <cellStyle name="Tabelstandaard Totaal Negatief 4 5 5 3" xfId="41572"/>
    <cellStyle name="Tabelstandaard Totaal Negatief 4 5 5 4" xfId="15518"/>
    <cellStyle name="Tabelstandaard Totaal Negatief 4 5 5 5" xfId="52441"/>
    <cellStyle name="Tabelstandaard Totaal Negatief 4 5 6" xfId="16210"/>
    <cellStyle name="Tabelstandaard Totaal Negatief 4 6" xfId="767"/>
    <cellStyle name="Tabelstandaard Totaal Negatief 4 6 2" xfId="595"/>
    <cellStyle name="Tabelstandaard Totaal Negatief 4 6 2 2" xfId="2255"/>
    <cellStyle name="Tabelstandaard Totaal Negatief 4 6 2 2 2" xfId="10300"/>
    <cellStyle name="Tabelstandaard Totaal Negatief 4 6 2 2 2 2" xfId="22598"/>
    <cellStyle name="Tabelstandaard Totaal Negatief 4 6 2 2 2 3" xfId="34650"/>
    <cellStyle name="Tabelstandaard Totaal Negatief 4 6 2 2 2 4" xfId="42332"/>
    <cellStyle name="Tabelstandaard Totaal Negatief 4 6 2 2 2 5" xfId="55265"/>
    <cellStyle name="Tabelstandaard Totaal Negatief 4 6 2 2 3" xfId="16218"/>
    <cellStyle name="Tabelstandaard Totaal Negatief 4 6 2 2 4" xfId="28270"/>
    <cellStyle name="Tabelstandaard Totaal Negatief 4 6 2 2 5" xfId="44978"/>
    <cellStyle name="Tabelstandaard Totaal Negatief 4 6 2 2 6" xfId="49379"/>
    <cellStyle name="Tabelstandaard Totaal Negatief 4 6 2 2 7" xfId="5688"/>
    <cellStyle name="Tabelstandaard Totaal Negatief 4 6 2 3" xfId="2666"/>
    <cellStyle name="Tabelstandaard Totaal Negatief 4 6 2 3 2" xfId="16219"/>
    <cellStyle name="Tabelstandaard Totaal Negatief 4 6 2 3 3" xfId="28271"/>
    <cellStyle name="Tabelstandaard Totaal Negatief 4 6 2 3 4" xfId="38964"/>
    <cellStyle name="Tabelstandaard Totaal Negatief 4 6 2 3 5" xfId="49380"/>
    <cellStyle name="Tabelstandaard Totaal Negatief 4 6 2 4" xfId="10272"/>
    <cellStyle name="Tabelstandaard Totaal Negatief 4 6 2 4 2" xfId="22570"/>
    <cellStyle name="Tabelstandaard Totaal Negatief 4 6 2 4 3" xfId="44331"/>
    <cellStyle name="Tabelstandaard Totaal Negatief 4 6 2 4 4" xfId="42344"/>
    <cellStyle name="Tabelstandaard Totaal Negatief 4 6 2 4 5" xfId="55237"/>
    <cellStyle name="Tabelstandaard Totaal Negatief 4 6 2 5" xfId="16217"/>
    <cellStyle name="Tabelstandaard Totaal Negatief 4 6 3" xfId="1472"/>
    <cellStyle name="Tabelstandaard Totaal Negatief 4 6 3 2" xfId="10301"/>
    <cellStyle name="Tabelstandaard Totaal Negatief 4 6 3 2 2" xfId="22599"/>
    <cellStyle name="Tabelstandaard Totaal Negatief 4 6 3 2 3" xfId="34651"/>
    <cellStyle name="Tabelstandaard Totaal Negatief 4 6 3 2 4" xfId="31855"/>
    <cellStyle name="Tabelstandaard Totaal Negatief 4 6 3 2 5" xfId="55266"/>
    <cellStyle name="Tabelstandaard Totaal Negatief 4 6 3 3" xfId="16220"/>
    <cellStyle name="Tabelstandaard Totaal Negatief 4 6 3 4" xfId="28272"/>
    <cellStyle name="Tabelstandaard Totaal Negatief 4 6 3 5" xfId="44977"/>
    <cellStyle name="Tabelstandaard Totaal Negatief 4 6 3 6" xfId="49381"/>
    <cellStyle name="Tabelstandaard Totaal Negatief 4 6 4" xfId="5689"/>
    <cellStyle name="Tabelstandaard Totaal Negatief 4 6 4 2" xfId="16221"/>
    <cellStyle name="Tabelstandaard Totaal Negatief 4 6 4 3" xfId="28273"/>
    <cellStyle name="Tabelstandaard Totaal Negatief 4 6 4 4" xfId="38963"/>
    <cellStyle name="Tabelstandaard Totaal Negatief 4 6 4 5" xfId="49382"/>
    <cellStyle name="Tabelstandaard Totaal Negatief 4 6 5" xfId="7469"/>
    <cellStyle name="Tabelstandaard Totaal Negatief 4 6 5 2" xfId="19767"/>
    <cellStyle name="Tabelstandaard Totaal Negatief 4 6 5 3" xfId="41570"/>
    <cellStyle name="Tabelstandaard Totaal Negatief 4 6 5 4" xfId="31528"/>
    <cellStyle name="Tabelstandaard Totaal Negatief 4 6 5 5" xfId="52439"/>
    <cellStyle name="Tabelstandaard Totaal Negatief 4 6 6" xfId="16216"/>
    <cellStyle name="Tabelstandaard Totaal Negatief 4 7" xfId="759"/>
    <cellStyle name="Tabelstandaard Totaal Negatief 4 7 2" xfId="1269"/>
    <cellStyle name="Tabelstandaard Totaal Negatief 4 7 2 2" xfId="1697"/>
    <cellStyle name="Tabelstandaard Totaal Negatief 4 7 2 2 2" xfId="10304"/>
    <cellStyle name="Tabelstandaard Totaal Negatief 4 7 2 2 2 2" xfId="22602"/>
    <cellStyle name="Tabelstandaard Totaal Negatief 4 7 2 2 2 3" xfId="34654"/>
    <cellStyle name="Tabelstandaard Totaal Negatief 4 7 2 2 2 4" xfId="42330"/>
    <cellStyle name="Tabelstandaard Totaal Negatief 4 7 2 2 2 5" xfId="55269"/>
    <cellStyle name="Tabelstandaard Totaal Negatief 4 7 2 2 3" xfId="16224"/>
    <cellStyle name="Tabelstandaard Totaal Negatief 4 7 2 2 4" xfId="28276"/>
    <cellStyle name="Tabelstandaard Totaal Negatief 4 7 2 2 5" xfId="38961"/>
    <cellStyle name="Tabelstandaard Totaal Negatief 4 7 2 2 6" xfId="49383"/>
    <cellStyle name="Tabelstandaard Totaal Negatief 4 7 2 2 7" xfId="5690"/>
    <cellStyle name="Tabelstandaard Totaal Negatief 4 7 2 3" xfId="3280"/>
    <cellStyle name="Tabelstandaard Totaal Negatief 4 7 2 3 2" xfId="16225"/>
    <cellStyle name="Tabelstandaard Totaal Negatief 4 7 2 3 3" xfId="28277"/>
    <cellStyle name="Tabelstandaard Totaal Negatief 4 7 2 3 4" xfId="44975"/>
    <cellStyle name="Tabelstandaard Totaal Negatief 4 7 2 3 5" xfId="49384"/>
    <cellStyle name="Tabelstandaard Totaal Negatief 4 7 2 4" xfId="7107"/>
    <cellStyle name="Tabelstandaard Totaal Negatief 4 7 2 4 2" xfId="19405"/>
    <cellStyle name="Tabelstandaard Totaal Negatief 4 7 2 4 3" xfId="41208"/>
    <cellStyle name="Tabelstandaard Totaal Negatief 4 7 2 4 4" xfId="36971"/>
    <cellStyle name="Tabelstandaard Totaal Negatief 4 7 2 4 5" xfId="52078"/>
    <cellStyle name="Tabelstandaard Totaal Negatief 4 7 2 5" xfId="16223"/>
    <cellStyle name="Tabelstandaard Totaal Negatief 4 7 3" xfId="2404"/>
    <cellStyle name="Tabelstandaard Totaal Negatief 4 7 3 2" xfId="10305"/>
    <cellStyle name="Tabelstandaard Totaal Negatief 4 7 3 2 2" xfId="22603"/>
    <cellStyle name="Tabelstandaard Totaal Negatief 4 7 3 2 3" xfId="34655"/>
    <cellStyle name="Tabelstandaard Totaal Negatief 4 7 3 2 4" xfId="34426"/>
    <cellStyle name="Tabelstandaard Totaal Negatief 4 7 3 2 5" xfId="55270"/>
    <cellStyle name="Tabelstandaard Totaal Negatief 4 7 3 3" xfId="16226"/>
    <cellStyle name="Tabelstandaard Totaal Negatief 4 7 3 4" xfId="28278"/>
    <cellStyle name="Tabelstandaard Totaal Negatief 4 7 3 5" xfId="38960"/>
    <cellStyle name="Tabelstandaard Totaal Negatief 4 7 3 6" xfId="49385"/>
    <cellStyle name="Tabelstandaard Totaal Negatief 4 7 4" xfId="5691"/>
    <cellStyle name="Tabelstandaard Totaal Negatief 4 7 4 2" xfId="16227"/>
    <cellStyle name="Tabelstandaard Totaal Negatief 4 7 4 3" xfId="28279"/>
    <cellStyle name="Tabelstandaard Totaal Negatief 4 7 4 4" xfId="44974"/>
    <cellStyle name="Tabelstandaard Totaal Negatief 4 7 4 5" xfId="49386"/>
    <cellStyle name="Tabelstandaard Totaal Negatief 4 7 5" xfId="7475"/>
    <cellStyle name="Tabelstandaard Totaal Negatief 4 7 5 2" xfId="19773"/>
    <cellStyle name="Tabelstandaard Totaal Negatief 4 7 5 3" xfId="41576"/>
    <cellStyle name="Tabelstandaard Totaal Negatief 4 7 5 4" xfId="34523"/>
    <cellStyle name="Tabelstandaard Totaal Negatief 4 7 5 5" xfId="52445"/>
    <cellStyle name="Tabelstandaard Totaal Negatief 4 7 6" xfId="16222"/>
    <cellStyle name="Tabelstandaard Totaal Negatief 4 8" xfId="704"/>
    <cellStyle name="Tabelstandaard Totaal Negatief 4 8 2" xfId="1033"/>
    <cellStyle name="Tabelstandaard Totaal Negatief 4 8 2 2" xfId="2188"/>
    <cellStyle name="Tabelstandaard Totaal Negatief 4 8 2 2 2" xfId="10308"/>
    <cellStyle name="Tabelstandaard Totaal Negatief 4 8 2 2 2 2" xfId="22606"/>
    <cellStyle name="Tabelstandaard Totaal Negatief 4 8 2 2 2 3" xfId="34658"/>
    <cellStyle name="Tabelstandaard Totaal Negatief 4 8 2 2 2 4" xfId="42329"/>
    <cellStyle name="Tabelstandaard Totaal Negatief 4 8 2 2 2 5" xfId="55273"/>
    <cellStyle name="Tabelstandaard Totaal Negatief 4 8 2 2 3" xfId="16230"/>
    <cellStyle name="Tabelstandaard Totaal Negatief 4 8 2 2 4" xfId="28282"/>
    <cellStyle name="Tabelstandaard Totaal Negatief 4 8 2 2 5" xfId="44973"/>
    <cellStyle name="Tabelstandaard Totaal Negatief 4 8 2 2 6" xfId="49387"/>
    <cellStyle name="Tabelstandaard Totaal Negatief 4 8 2 2 7" xfId="5692"/>
    <cellStyle name="Tabelstandaard Totaal Negatief 4 8 2 3" xfId="3044"/>
    <cellStyle name="Tabelstandaard Totaal Negatief 4 8 2 3 2" xfId="16231"/>
    <cellStyle name="Tabelstandaard Totaal Negatief 4 8 2 3 3" xfId="28283"/>
    <cellStyle name="Tabelstandaard Totaal Negatief 4 8 2 3 4" xfId="38957"/>
    <cellStyle name="Tabelstandaard Totaal Negatief 4 8 2 3 5" xfId="49388"/>
    <cellStyle name="Tabelstandaard Totaal Negatief 4 8 2 4" xfId="9978"/>
    <cellStyle name="Tabelstandaard Totaal Negatief 4 8 2 4 2" xfId="22276"/>
    <cellStyle name="Tabelstandaard Totaal Negatief 4 8 2 4 3" xfId="44041"/>
    <cellStyle name="Tabelstandaard Totaal Negatief 4 8 2 4 4" xfId="42467"/>
    <cellStyle name="Tabelstandaard Totaal Negatief 4 8 2 4 5" xfId="54943"/>
    <cellStyle name="Tabelstandaard Totaal Negatief 4 8 2 5" xfId="16229"/>
    <cellStyle name="Tabelstandaard Totaal Negatief 4 8 3" xfId="2430"/>
    <cellStyle name="Tabelstandaard Totaal Negatief 4 8 3 2" xfId="10309"/>
    <cellStyle name="Tabelstandaard Totaal Negatief 4 8 3 2 2" xfId="22607"/>
    <cellStyle name="Tabelstandaard Totaal Negatief 4 8 3 2 3" xfId="34659"/>
    <cellStyle name="Tabelstandaard Totaal Negatief 4 8 3 2 4" xfId="29036"/>
    <cellStyle name="Tabelstandaard Totaal Negatief 4 8 3 2 5" xfId="55274"/>
    <cellStyle name="Tabelstandaard Totaal Negatief 4 8 3 3" xfId="16232"/>
    <cellStyle name="Tabelstandaard Totaal Negatief 4 8 3 4" xfId="28284"/>
    <cellStyle name="Tabelstandaard Totaal Negatief 4 8 3 5" xfId="44972"/>
    <cellStyle name="Tabelstandaard Totaal Negatief 4 8 3 6" xfId="49389"/>
    <cellStyle name="Tabelstandaard Totaal Negatief 4 8 4" xfId="5693"/>
    <cellStyle name="Tabelstandaard Totaal Negatief 4 8 4 2" xfId="16233"/>
    <cellStyle name="Tabelstandaard Totaal Negatief 4 8 4 3" xfId="28285"/>
    <cellStyle name="Tabelstandaard Totaal Negatief 4 8 4 4" xfId="38956"/>
    <cellStyle name="Tabelstandaard Totaal Negatief 4 8 4 5" xfId="49390"/>
    <cellStyle name="Tabelstandaard Totaal Negatief 4 8 5" xfId="10199"/>
    <cellStyle name="Tabelstandaard Totaal Negatief 4 8 5 2" xfId="22497"/>
    <cellStyle name="Tabelstandaard Totaal Negatief 4 8 5 3" xfId="44260"/>
    <cellStyle name="Tabelstandaard Totaal Negatief 4 8 5 4" xfId="28812"/>
    <cellStyle name="Tabelstandaard Totaal Negatief 4 8 5 5" xfId="55164"/>
    <cellStyle name="Tabelstandaard Totaal Negatief 4 8 6" xfId="16228"/>
    <cellStyle name="Tabelstandaard Totaal Negatief 4 9" xfId="775"/>
    <cellStyle name="Tabelstandaard Totaal Negatief 4 9 2" xfId="649"/>
    <cellStyle name="Tabelstandaard Totaal Negatief 4 9 2 2" xfId="1610"/>
    <cellStyle name="Tabelstandaard Totaal Negatief 4 9 2 2 2" xfId="10312"/>
    <cellStyle name="Tabelstandaard Totaal Negatief 4 9 2 2 2 2" xfId="22610"/>
    <cellStyle name="Tabelstandaard Totaal Negatief 4 9 2 2 2 3" xfId="34662"/>
    <cellStyle name="Tabelstandaard Totaal Negatief 4 9 2 2 2 4" xfId="42327"/>
    <cellStyle name="Tabelstandaard Totaal Negatief 4 9 2 2 2 5" xfId="55277"/>
    <cellStyle name="Tabelstandaard Totaal Negatief 4 9 2 2 3" xfId="16236"/>
    <cellStyle name="Tabelstandaard Totaal Negatief 4 9 2 2 4" xfId="28288"/>
    <cellStyle name="Tabelstandaard Totaal Negatief 4 9 2 2 5" xfId="44970"/>
    <cellStyle name="Tabelstandaard Totaal Negatief 4 9 2 2 6" xfId="49391"/>
    <cellStyle name="Tabelstandaard Totaal Negatief 4 9 2 2 7" xfId="5694"/>
    <cellStyle name="Tabelstandaard Totaal Negatief 4 9 2 3" xfId="2715"/>
    <cellStyle name="Tabelstandaard Totaal Negatief 4 9 2 3 2" xfId="16237"/>
    <cellStyle name="Tabelstandaard Totaal Negatief 4 9 2 3 3" xfId="28289"/>
    <cellStyle name="Tabelstandaard Totaal Negatief 4 9 2 3 4" xfId="38954"/>
    <cellStyle name="Tabelstandaard Totaal Negatief 4 9 2 3 5" xfId="49392"/>
    <cellStyle name="Tabelstandaard Totaal Negatief 4 9 2 4" xfId="10240"/>
    <cellStyle name="Tabelstandaard Totaal Negatief 4 9 2 4 2" xfId="22538"/>
    <cellStyle name="Tabelstandaard Totaal Negatief 4 9 2 4 3" xfId="44300"/>
    <cellStyle name="Tabelstandaard Totaal Negatief 4 9 2 4 4" xfId="42357"/>
    <cellStyle name="Tabelstandaard Totaal Negatief 4 9 2 4 5" xfId="55205"/>
    <cellStyle name="Tabelstandaard Totaal Negatief 4 9 2 5" xfId="16235"/>
    <cellStyle name="Tabelstandaard Totaal Negatief 4 9 3" xfId="1592"/>
    <cellStyle name="Tabelstandaard Totaal Negatief 4 9 3 2" xfId="10313"/>
    <cellStyle name="Tabelstandaard Totaal Negatief 4 9 3 2 2" xfId="22611"/>
    <cellStyle name="Tabelstandaard Totaal Negatief 4 9 3 2 3" xfId="34663"/>
    <cellStyle name="Tabelstandaard Totaal Negatief 4 9 3 2 4" xfId="29043"/>
    <cellStyle name="Tabelstandaard Totaal Negatief 4 9 3 2 5" xfId="55278"/>
    <cellStyle name="Tabelstandaard Totaal Negatief 4 9 3 3" xfId="16238"/>
    <cellStyle name="Tabelstandaard Totaal Negatief 4 9 3 4" xfId="28290"/>
    <cellStyle name="Tabelstandaard Totaal Negatief 4 9 3 5" xfId="44969"/>
    <cellStyle name="Tabelstandaard Totaal Negatief 4 9 3 6" xfId="49393"/>
    <cellStyle name="Tabelstandaard Totaal Negatief 4 9 4" xfId="5695"/>
    <cellStyle name="Tabelstandaard Totaal Negatief 4 9 4 2" xfId="16239"/>
    <cellStyle name="Tabelstandaard Totaal Negatief 4 9 4 3" xfId="28291"/>
    <cellStyle name="Tabelstandaard Totaal Negatief 4 9 4 4" xfId="38953"/>
    <cellStyle name="Tabelstandaard Totaal Negatief 4 9 4 5" xfId="49394"/>
    <cellStyle name="Tabelstandaard Totaal Negatief 4 9 5" xfId="7463"/>
    <cellStyle name="Tabelstandaard Totaal Negatief 4 9 5 2" xfId="19761"/>
    <cellStyle name="Tabelstandaard Totaal Negatief 4 9 5 3" xfId="41564"/>
    <cellStyle name="Tabelstandaard Totaal Negatief 4 9 5 4" xfId="15531"/>
    <cellStyle name="Tabelstandaard Totaal Negatief 4 9 5 5" xfId="52433"/>
    <cellStyle name="Tabelstandaard Totaal Negatief 4 9 6" xfId="16234"/>
    <cellStyle name="Tabelstandaard Totaal Negatief 5" xfId="134"/>
    <cellStyle name="Tabelstandaard Totaal Negatief 5 10" xfId="5696"/>
    <cellStyle name="Tabelstandaard Totaal Negatief 5 10 2" xfId="10315"/>
    <cellStyle name="Tabelstandaard Totaal Negatief 5 10 2 2" xfId="22613"/>
    <cellStyle name="Tabelstandaard Totaal Negatief 5 10 2 3" xfId="34665"/>
    <cellStyle name="Tabelstandaard Totaal Negatief 5 10 2 4" xfId="31553"/>
    <cellStyle name="Tabelstandaard Totaal Negatief 5 10 2 5" xfId="55280"/>
    <cellStyle name="Tabelstandaard Totaal Negatief 5 10 3" xfId="16241"/>
    <cellStyle name="Tabelstandaard Totaal Negatief 5 10 4" xfId="28293"/>
    <cellStyle name="Tabelstandaard Totaal Negatief 5 10 5" xfId="38951"/>
    <cellStyle name="Tabelstandaard Totaal Negatief 5 10 6" xfId="49395"/>
    <cellStyle name="Tabelstandaard Totaal Negatief 5 11" xfId="5697"/>
    <cellStyle name="Tabelstandaard Totaal Negatief 5 11 2" xfId="10316"/>
    <cellStyle name="Tabelstandaard Totaal Negatief 5 11 2 2" xfId="22614"/>
    <cellStyle name="Tabelstandaard Totaal Negatief 5 11 2 3" xfId="34666"/>
    <cellStyle name="Tabelstandaard Totaal Negatief 5 11 2 4" xfId="42325"/>
    <cellStyle name="Tabelstandaard Totaal Negatief 5 11 2 5" xfId="55281"/>
    <cellStyle name="Tabelstandaard Totaal Negatief 5 11 3" xfId="16242"/>
    <cellStyle name="Tabelstandaard Totaal Negatief 5 11 4" xfId="28294"/>
    <cellStyle name="Tabelstandaard Totaal Negatief 5 11 5" xfId="44968"/>
    <cellStyle name="Tabelstandaard Totaal Negatief 5 11 6" xfId="49396"/>
    <cellStyle name="Tabelstandaard Totaal Negatief 5 12" xfId="5698"/>
    <cellStyle name="Tabelstandaard Totaal Negatief 5 12 2" xfId="10317"/>
    <cellStyle name="Tabelstandaard Totaal Negatief 5 12 2 2" xfId="22615"/>
    <cellStyle name="Tabelstandaard Totaal Negatief 5 12 2 3" xfId="34667"/>
    <cellStyle name="Tabelstandaard Totaal Negatief 5 12 2 4" xfId="29050"/>
    <cellStyle name="Tabelstandaard Totaal Negatief 5 12 2 5" xfId="55282"/>
    <cellStyle name="Tabelstandaard Totaal Negatief 5 12 3" xfId="16243"/>
    <cellStyle name="Tabelstandaard Totaal Negatief 5 12 4" xfId="28295"/>
    <cellStyle name="Tabelstandaard Totaal Negatief 5 12 5" xfId="38950"/>
    <cellStyle name="Tabelstandaard Totaal Negatief 5 12 6" xfId="49397"/>
    <cellStyle name="Tabelstandaard Totaal Negatief 5 13" xfId="5699"/>
    <cellStyle name="Tabelstandaard Totaal Negatief 5 13 2" xfId="16244"/>
    <cellStyle name="Tabelstandaard Totaal Negatief 5 13 3" xfId="28296"/>
    <cellStyle name="Tabelstandaard Totaal Negatief 5 13 4" xfId="44967"/>
    <cellStyle name="Tabelstandaard Totaal Negatief 5 13 5" xfId="49398"/>
    <cellStyle name="Tabelstandaard Totaal Negatief 5 14" xfId="7785"/>
    <cellStyle name="Tabelstandaard Totaal Negatief 5 14 2" xfId="20083"/>
    <cellStyle name="Tabelstandaard Totaal Negatief 5 14 3" xfId="41886"/>
    <cellStyle name="Tabelstandaard Totaal Negatief 5 14 4" xfId="25269"/>
    <cellStyle name="Tabelstandaard Totaal Negatief 5 14 5" xfId="52755"/>
    <cellStyle name="Tabelstandaard Totaal Negatief 5 15" xfId="16240"/>
    <cellStyle name="Tabelstandaard Totaal Negatief 5 16" xfId="212"/>
    <cellStyle name="Tabelstandaard Totaal Negatief 5 2" xfId="143"/>
    <cellStyle name="Tabelstandaard Totaal Negatief 5 2 10" xfId="249"/>
    <cellStyle name="Tabelstandaard Totaal Negatief 5 2 2" xfId="392"/>
    <cellStyle name="Tabelstandaard Totaal Negatief 5 2 2 2" xfId="677"/>
    <cellStyle name="Tabelstandaard Totaal Negatief 5 2 2 2 2" xfId="2100"/>
    <cellStyle name="Tabelstandaard Totaal Negatief 5 2 2 2 2 2" xfId="10321"/>
    <cellStyle name="Tabelstandaard Totaal Negatief 5 2 2 2 2 2 2" xfId="22619"/>
    <cellStyle name="Tabelstandaard Totaal Negatief 5 2 2 2 2 2 3" xfId="34671"/>
    <cellStyle name="Tabelstandaard Totaal Negatief 5 2 2 2 2 2 4" xfId="31860"/>
    <cellStyle name="Tabelstandaard Totaal Negatief 5 2 2 2 2 2 5" xfId="55286"/>
    <cellStyle name="Tabelstandaard Totaal Negatief 5 2 2 2 2 3" xfId="16248"/>
    <cellStyle name="Tabelstandaard Totaal Negatief 5 2 2 2 2 4" xfId="28300"/>
    <cellStyle name="Tabelstandaard Totaal Negatief 5 2 2 2 2 5" xfId="44965"/>
    <cellStyle name="Tabelstandaard Totaal Negatief 5 2 2 2 2 6" xfId="49399"/>
    <cellStyle name="Tabelstandaard Totaal Negatief 5 2 2 2 2 7" xfId="5700"/>
    <cellStyle name="Tabelstandaard Totaal Negatief 5 2 2 2 3" xfId="2743"/>
    <cellStyle name="Tabelstandaard Totaal Negatief 5 2 2 2 3 2" xfId="16249"/>
    <cellStyle name="Tabelstandaard Totaal Negatief 5 2 2 2 3 3" xfId="28301"/>
    <cellStyle name="Tabelstandaard Totaal Negatief 5 2 2 2 3 4" xfId="38948"/>
    <cellStyle name="Tabelstandaard Totaal Negatief 5 2 2 2 3 5" xfId="49400"/>
    <cellStyle name="Tabelstandaard Totaal Negatief 5 2 2 2 4" xfId="10217"/>
    <cellStyle name="Tabelstandaard Totaal Negatief 5 2 2 2 4 2" xfId="22515"/>
    <cellStyle name="Tabelstandaard Totaal Negatief 5 2 2 2 4 3" xfId="44277"/>
    <cellStyle name="Tabelstandaard Totaal Negatief 5 2 2 2 4 4" xfId="28850"/>
    <cellStyle name="Tabelstandaard Totaal Negatief 5 2 2 2 4 5" xfId="55182"/>
    <cellStyle name="Tabelstandaard Totaal Negatief 5 2 2 2 5" xfId="16247"/>
    <cellStyle name="Tabelstandaard Totaal Negatief 5 2 2 3" xfId="1331"/>
    <cellStyle name="Tabelstandaard Totaal Negatief 5 2 2 3 2" xfId="3342"/>
    <cellStyle name="Tabelstandaard Totaal Negatief 5 2 2 3 2 2" xfId="10323"/>
    <cellStyle name="Tabelstandaard Totaal Negatief 5 2 2 3 2 2 2" xfId="22621"/>
    <cellStyle name="Tabelstandaard Totaal Negatief 5 2 2 3 2 2 3" xfId="34673"/>
    <cellStyle name="Tabelstandaard Totaal Negatief 5 2 2 3 2 2 4" xfId="29064"/>
    <cellStyle name="Tabelstandaard Totaal Negatief 5 2 2 3 2 2 5" xfId="55288"/>
    <cellStyle name="Tabelstandaard Totaal Negatief 5 2 2 3 2 3" xfId="16251"/>
    <cellStyle name="Tabelstandaard Totaal Negatief 5 2 2 3 2 4" xfId="28303"/>
    <cellStyle name="Tabelstandaard Totaal Negatief 5 2 2 3 2 5" xfId="38947"/>
    <cellStyle name="Tabelstandaard Totaal Negatief 5 2 2 3 2 6" xfId="49401"/>
    <cellStyle name="Tabelstandaard Totaal Negatief 5 2 2 3 3" xfId="5701"/>
    <cellStyle name="Tabelstandaard Totaal Negatief 5 2 2 3 3 2" xfId="16252"/>
    <cellStyle name="Tabelstandaard Totaal Negatief 5 2 2 3 3 3" xfId="28304"/>
    <cellStyle name="Tabelstandaard Totaal Negatief 5 2 2 3 3 4" xfId="38946"/>
    <cellStyle name="Tabelstandaard Totaal Negatief 5 2 2 3 3 5" xfId="49402"/>
    <cellStyle name="Tabelstandaard Totaal Negatief 5 2 2 3 4" xfId="7049"/>
    <cellStyle name="Tabelstandaard Totaal Negatief 5 2 2 3 4 2" xfId="19347"/>
    <cellStyle name="Tabelstandaard Totaal Negatief 5 2 2 3 4 3" xfId="41150"/>
    <cellStyle name="Tabelstandaard Totaal Negatief 5 2 2 3 4 4" xfId="43672"/>
    <cellStyle name="Tabelstandaard Totaal Negatief 5 2 2 3 4 5" xfId="52020"/>
    <cellStyle name="Tabelstandaard Totaal Negatief 5 2 2 3 5" xfId="16250"/>
    <cellStyle name="Tabelstandaard Totaal Negatief 5 2 2 4" xfId="1794"/>
    <cellStyle name="Tabelstandaard Totaal Negatief 5 2 2 4 2" xfId="10324"/>
    <cellStyle name="Tabelstandaard Totaal Negatief 5 2 2 4 2 2" xfId="22622"/>
    <cellStyle name="Tabelstandaard Totaal Negatief 5 2 2 4 2 3" xfId="34674"/>
    <cellStyle name="Tabelstandaard Totaal Negatief 5 2 2 4 2 4" xfId="42322"/>
    <cellStyle name="Tabelstandaard Totaal Negatief 5 2 2 4 2 5" xfId="55289"/>
    <cellStyle name="Tabelstandaard Totaal Negatief 5 2 2 4 3" xfId="16253"/>
    <cellStyle name="Tabelstandaard Totaal Negatief 5 2 2 4 4" xfId="28305"/>
    <cellStyle name="Tabelstandaard Totaal Negatief 5 2 2 4 5" xfId="38945"/>
    <cellStyle name="Tabelstandaard Totaal Negatief 5 2 2 4 6" xfId="49403"/>
    <cellStyle name="Tabelstandaard Totaal Negatief 5 2 2 5" xfId="5702"/>
    <cellStyle name="Tabelstandaard Totaal Negatief 5 2 2 5 2" xfId="16254"/>
    <cellStyle name="Tabelstandaard Totaal Negatief 5 2 2 5 3" xfId="28306"/>
    <cellStyle name="Tabelstandaard Totaal Negatief 5 2 2 5 4" xfId="44963"/>
    <cellStyle name="Tabelstandaard Totaal Negatief 5 2 2 5 5" xfId="49404"/>
    <cellStyle name="Tabelstandaard Totaal Negatief 5 2 2 6" xfId="7724"/>
    <cellStyle name="Tabelstandaard Totaal Negatief 5 2 2 6 2" xfId="20022"/>
    <cellStyle name="Tabelstandaard Totaal Negatief 5 2 2 6 3" xfId="41825"/>
    <cellStyle name="Tabelstandaard Totaal Negatief 5 2 2 6 4" xfId="43389"/>
    <cellStyle name="Tabelstandaard Totaal Negatief 5 2 2 6 5" xfId="52694"/>
    <cellStyle name="Tabelstandaard Totaal Negatief 5 2 2 7" xfId="16246"/>
    <cellStyle name="Tabelstandaard Totaal Negatief 5 2 3" xfId="379"/>
    <cellStyle name="Tabelstandaard Totaal Negatief 5 2 3 2" xfId="1201"/>
    <cellStyle name="Tabelstandaard Totaal Negatief 5 2 3 2 2" xfId="2299"/>
    <cellStyle name="Tabelstandaard Totaal Negatief 5 2 3 2 2 2" xfId="10327"/>
    <cellStyle name="Tabelstandaard Totaal Negatief 5 2 3 2 2 2 2" xfId="22625"/>
    <cellStyle name="Tabelstandaard Totaal Negatief 5 2 3 2 2 2 3" xfId="34677"/>
    <cellStyle name="Tabelstandaard Totaal Negatief 5 2 3 2 2 2 4" xfId="29071"/>
    <cellStyle name="Tabelstandaard Totaal Negatief 5 2 3 2 2 2 5" xfId="55292"/>
    <cellStyle name="Tabelstandaard Totaal Negatief 5 2 3 2 2 3" xfId="16257"/>
    <cellStyle name="Tabelstandaard Totaal Negatief 5 2 3 2 2 4" xfId="28309"/>
    <cellStyle name="Tabelstandaard Totaal Negatief 5 2 3 2 2 5" xfId="38943"/>
    <cellStyle name="Tabelstandaard Totaal Negatief 5 2 3 2 2 6" xfId="49405"/>
    <cellStyle name="Tabelstandaard Totaal Negatief 5 2 3 2 2 7" xfId="5703"/>
    <cellStyle name="Tabelstandaard Totaal Negatief 5 2 3 2 3" xfId="3212"/>
    <cellStyle name="Tabelstandaard Totaal Negatief 5 2 3 2 3 2" xfId="16258"/>
    <cellStyle name="Tabelstandaard Totaal Negatief 5 2 3 2 3 3" xfId="28310"/>
    <cellStyle name="Tabelstandaard Totaal Negatief 5 2 3 2 3 4" xfId="44961"/>
    <cellStyle name="Tabelstandaard Totaal Negatief 5 2 3 2 3 5" xfId="49406"/>
    <cellStyle name="Tabelstandaard Totaal Negatief 5 2 3 2 4" xfId="7172"/>
    <cellStyle name="Tabelstandaard Totaal Negatief 5 2 3 2 4 2" xfId="19470"/>
    <cellStyle name="Tabelstandaard Totaal Negatief 5 2 3 2 4 3" xfId="41273"/>
    <cellStyle name="Tabelstandaard Totaal Negatief 5 2 3 2 4 4" xfId="43620"/>
    <cellStyle name="Tabelstandaard Totaal Negatief 5 2 3 2 4 5" xfId="52142"/>
    <cellStyle name="Tabelstandaard Totaal Negatief 5 2 3 2 5" xfId="16256"/>
    <cellStyle name="Tabelstandaard Totaal Negatief 5 2 3 3" xfId="1298"/>
    <cellStyle name="Tabelstandaard Totaal Negatief 5 2 3 3 2" xfId="3309"/>
    <cellStyle name="Tabelstandaard Totaal Negatief 5 2 3 3 2 2" xfId="10329"/>
    <cellStyle name="Tabelstandaard Totaal Negatief 5 2 3 3 2 2 2" xfId="22627"/>
    <cellStyle name="Tabelstandaard Totaal Negatief 5 2 3 3 2 2 3" xfId="34679"/>
    <cellStyle name="Tabelstandaard Totaal Negatief 5 2 3 3 2 2 4" xfId="31997"/>
    <cellStyle name="Tabelstandaard Totaal Negatief 5 2 3 3 2 2 5" xfId="55294"/>
    <cellStyle name="Tabelstandaard Totaal Negatief 5 2 3 3 2 3" xfId="16260"/>
    <cellStyle name="Tabelstandaard Totaal Negatief 5 2 3 3 2 4" xfId="28312"/>
    <cellStyle name="Tabelstandaard Totaal Negatief 5 2 3 3 2 5" xfId="44960"/>
    <cellStyle name="Tabelstandaard Totaal Negatief 5 2 3 3 2 6" xfId="49407"/>
    <cellStyle name="Tabelstandaard Totaal Negatief 5 2 3 3 3" xfId="5704"/>
    <cellStyle name="Tabelstandaard Totaal Negatief 5 2 3 3 3 2" xfId="16261"/>
    <cellStyle name="Tabelstandaard Totaal Negatief 5 2 3 3 3 3" xfId="28313"/>
    <cellStyle name="Tabelstandaard Totaal Negatief 5 2 3 3 3 4" xfId="38941"/>
    <cellStyle name="Tabelstandaard Totaal Negatief 5 2 3 3 3 5" xfId="49408"/>
    <cellStyle name="Tabelstandaard Totaal Negatief 5 2 3 3 4" xfId="7079"/>
    <cellStyle name="Tabelstandaard Totaal Negatief 5 2 3 3 4 2" xfId="19377"/>
    <cellStyle name="Tabelstandaard Totaal Negatief 5 2 3 3 4 3" xfId="41180"/>
    <cellStyle name="Tabelstandaard Totaal Negatief 5 2 3 3 4 4" xfId="36988"/>
    <cellStyle name="Tabelstandaard Totaal Negatief 5 2 3 3 4 5" xfId="52050"/>
    <cellStyle name="Tabelstandaard Totaal Negatief 5 2 3 3 5" xfId="16259"/>
    <cellStyle name="Tabelstandaard Totaal Negatief 5 2 3 4" xfId="2082"/>
    <cellStyle name="Tabelstandaard Totaal Negatief 5 2 3 4 2" xfId="10330"/>
    <cellStyle name="Tabelstandaard Totaal Negatief 5 2 3 4 2 2" xfId="22628"/>
    <cellStyle name="Tabelstandaard Totaal Negatief 5 2 3 4 2 3" xfId="34680"/>
    <cellStyle name="Tabelstandaard Totaal Negatief 5 2 3 4 2 4" xfId="29078"/>
    <cellStyle name="Tabelstandaard Totaal Negatief 5 2 3 4 2 5" xfId="55295"/>
    <cellStyle name="Tabelstandaard Totaal Negatief 5 2 3 4 3" xfId="16262"/>
    <cellStyle name="Tabelstandaard Totaal Negatief 5 2 3 4 4" xfId="28314"/>
    <cellStyle name="Tabelstandaard Totaal Negatief 5 2 3 4 5" xfId="44959"/>
    <cellStyle name="Tabelstandaard Totaal Negatief 5 2 3 4 6" xfId="49409"/>
    <cellStyle name="Tabelstandaard Totaal Negatief 5 2 3 5" xfId="5705"/>
    <cellStyle name="Tabelstandaard Totaal Negatief 5 2 3 5 2" xfId="16263"/>
    <cellStyle name="Tabelstandaard Totaal Negatief 5 2 3 5 3" xfId="28315"/>
    <cellStyle name="Tabelstandaard Totaal Negatief 5 2 3 5 4" xfId="38940"/>
    <cellStyle name="Tabelstandaard Totaal Negatief 5 2 3 5 5" xfId="49410"/>
    <cellStyle name="Tabelstandaard Totaal Negatief 5 2 3 6" xfId="7728"/>
    <cellStyle name="Tabelstandaard Totaal Negatief 5 2 3 6 2" xfId="20026"/>
    <cellStyle name="Tabelstandaard Totaal Negatief 5 2 3 6 3" xfId="41829"/>
    <cellStyle name="Tabelstandaard Totaal Negatief 5 2 3 6 4" xfId="43388"/>
    <cellStyle name="Tabelstandaard Totaal Negatief 5 2 3 6 5" xfId="52698"/>
    <cellStyle name="Tabelstandaard Totaal Negatief 5 2 3 7" xfId="16255"/>
    <cellStyle name="Tabelstandaard Totaal Negatief 5 2 4" xfId="346"/>
    <cellStyle name="Tabelstandaard Totaal Negatief 5 2 4 2" xfId="624"/>
    <cellStyle name="Tabelstandaard Totaal Negatief 5 2 4 2 2" xfId="1630"/>
    <cellStyle name="Tabelstandaard Totaal Negatief 5 2 4 2 2 2" xfId="10333"/>
    <cellStyle name="Tabelstandaard Totaal Negatief 5 2 4 2 2 2 2" xfId="22631"/>
    <cellStyle name="Tabelstandaard Totaal Negatief 5 2 4 2 2 2 3" xfId="34683"/>
    <cellStyle name="Tabelstandaard Totaal Negatief 5 2 4 2 2 2 4" xfId="29085"/>
    <cellStyle name="Tabelstandaard Totaal Negatief 5 2 4 2 2 2 5" xfId="55298"/>
    <cellStyle name="Tabelstandaard Totaal Negatief 5 2 4 2 2 3" xfId="16266"/>
    <cellStyle name="Tabelstandaard Totaal Negatief 5 2 4 2 2 4" xfId="28318"/>
    <cellStyle name="Tabelstandaard Totaal Negatief 5 2 4 2 2 5" xfId="44958"/>
    <cellStyle name="Tabelstandaard Totaal Negatief 5 2 4 2 2 6" xfId="49411"/>
    <cellStyle name="Tabelstandaard Totaal Negatief 5 2 4 2 3" xfId="5706"/>
    <cellStyle name="Tabelstandaard Totaal Negatief 5 2 4 2 3 2" xfId="16267"/>
    <cellStyle name="Tabelstandaard Totaal Negatief 5 2 4 2 3 3" xfId="28319"/>
    <cellStyle name="Tabelstandaard Totaal Negatief 5 2 4 2 3 4" xfId="38937"/>
    <cellStyle name="Tabelstandaard Totaal Negatief 5 2 4 2 3 5" xfId="49412"/>
    <cellStyle name="Tabelstandaard Totaal Negatief 5 2 4 2 4" xfId="10254"/>
    <cellStyle name="Tabelstandaard Totaal Negatief 5 2 4 2 4 2" xfId="22552"/>
    <cellStyle name="Tabelstandaard Totaal Negatief 5 2 4 2 4 3" xfId="44313"/>
    <cellStyle name="Tabelstandaard Totaal Negatief 5 2 4 2 4 4" xfId="42351"/>
    <cellStyle name="Tabelstandaard Totaal Negatief 5 2 4 2 4 5" xfId="55219"/>
    <cellStyle name="Tabelstandaard Totaal Negatief 5 2 4 2 5" xfId="16265"/>
    <cellStyle name="Tabelstandaard Totaal Negatief 5 2 4 3" xfId="1292"/>
    <cellStyle name="Tabelstandaard Totaal Negatief 5 2 4 3 2" xfId="2348"/>
    <cellStyle name="Tabelstandaard Totaal Negatief 5 2 4 3 2 2" xfId="10335"/>
    <cellStyle name="Tabelstandaard Totaal Negatief 5 2 4 3 2 2 2" xfId="22633"/>
    <cellStyle name="Tabelstandaard Totaal Negatief 5 2 4 3 2 2 3" xfId="34685"/>
    <cellStyle name="Tabelstandaard Totaal Negatief 5 2 4 3 2 2 4" xfId="31589"/>
    <cellStyle name="Tabelstandaard Totaal Negatief 5 2 4 3 2 2 5" xfId="55300"/>
    <cellStyle name="Tabelstandaard Totaal Negatief 5 2 4 3 2 3" xfId="16269"/>
    <cellStyle name="Tabelstandaard Totaal Negatief 5 2 4 3 2 4" xfId="28321"/>
    <cellStyle name="Tabelstandaard Totaal Negatief 5 2 4 3 2 5" xfId="38936"/>
    <cellStyle name="Tabelstandaard Totaal Negatief 5 2 4 3 2 6" xfId="49413"/>
    <cellStyle name="Tabelstandaard Totaal Negatief 5 2 4 3 2 7" xfId="5707"/>
    <cellStyle name="Tabelstandaard Totaal Negatief 5 2 4 3 3" xfId="3303"/>
    <cellStyle name="Tabelstandaard Totaal Negatief 5 2 4 3 3 2" xfId="16270"/>
    <cellStyle name="Tabelstandaard Totaal Negatief 5 2 4 3 3 3" xfId="28322"/>
    <cellStyle name="Tabelstandaard Totaal Negatief 5 2 4 3 3 4" xfId="44957"/>
    <cellStyle name="Tabelstandaard Totaal Negatief 5 2 4 3 3 5" xfId="49414"/>
    <cellStyle name="Tabelstandaard Totaal Negatief 5 2 4 3 4" xfId="7084"/>
    <cellStyle name="Tabelstandaard Totaal Negatief 5 2 4 3 4 2" xfId="19382"/>
    <cellStyle name="Tabelstandaard Totaal Negatief 5 2 4 3 4 3" xfId="41185"/>
    <cellStyle name="Tabelstandaard Totaal Negatief 5 2 4 3 4 4" xfId="43657"/>
    <cellStyle name="Tabelstandaard Totaal Negatief 5 2 4 3 4 5" xfId="52055"/>
    <cellStyle name="Tabelstandaard Totaal Negatief 5 2 4 3 5" xfId="16268"/>
    <cellStyle name="Tabelstandaard Totaal Negatief 5 2 4 4" xfId="5708"/>
    <cellStyle name="Tabelstandaard Totaal Negatief 5 2 4 4 2" xfId="10336"/>
    <cellStyle name="Tabelstandaard Totaal Negatief 5 2 4 4 2 2" xfId="22634"/>
    <cellStyle name="Tabelstandaard Totaal Negatief 5 2 4 4 2 3" xfId="34686"/>
    <cellStyle name="Tabelstandaard Totaal Negatief 5 2 4 4 2 4" xfId="29092"/>
    <cellStyle name="Tabelstandaard Totaal Negatief 5 2 4 4 2 5" xfId="55301"/>
    <cellStyle name="Tabelstandaard Totaal Negatief 5 2 4 4 3" xfId="16271"/>
    <cellStyle name="Tabelstandaard Totaal Negatief 5 2 4 4 4" xfId="28323"/>
    <cellStyle name="Tabelstandaard Totaal Negatief 5 2 4 4 5" xfId="38935"/>
    <cellStyle name="Tabelstandaard Totaal Negatief 5 2 4 4 6" xfId="49415"/>
    <cellStyle name="Tabelstandaard Totaal Negatief 5 2 4 5" xfId="5709"/>
    <cellStyle name="Tabelstandaard Totaal Negatief 5 2 4 5 2" xfId="16272"/>
    <cellStyle name="Tabelstandaard Totaal Negatief 5 2 4 5 3" xfId="28324"/>
    <cellStyle name="Tabelstandaard Totaal Negatief 5 2 4 5 4" xfId="44956"/>
    <cellStyle name="Tabelstandaard Totaal Negatief 5 2 4 5 5" xfId="49416"/>
    <cellStyle name="Tabelstandaard Totaal Negatief 5 2 4 6" xfId="7753"/>
    <cellStyle name="Tabelstandaard Totaal Negatief 5 2 4 6 2" xfId="20051"/>
    <cellStyle name="Tabelstandaard Totaal Negatief 5 2 4 6 3" xfId="41854"/>
    <cellStyle name="Tabelstandaard Totaal Negatief 5 2 4 6 4" xfId="31620"/>
    <cellStyle name="Tabelstandaard Totaal Negatief 5 2 4 6 5" xfId="52723"/>
    <cellStyle name="Tabelstandaard Totaal Negatief 5 2 4 7" xfId="16264"/>
    <cellStyle name="Tabelstandaard Totaal Negatief 5 2 5" xfId="1020"/>
    <cellStyle name="Tabelstandaard Totaal Negatief 5 2 5 2" xfId="2010"/>
    <cellStyle name="Tabelstandaard Totaal Negatief 5 2 5 2 2" xfId="10338"/>
    <cellStyle name="Tabelstandaard Totaal Negatief 5 2 5 2 2 2" xfId="22636"/>
    <cellStyle name="Tabelstandaard Totaal Negatief 5 2 5 2 2 3" xfId="34688"/>
    <cellStyle name="Tabelstandaard Totaal Negatief 5 2 5 2 2 4" xfId="31606"/>
    <cellStyle name="Tabelstandaard Totaal Negatief 5 2 5 2 2 5" xfId="55303"/>
    <cellStyle name="Tabelstandaard Totaal Negatief 5 2 5 2 3" xfId="16274"/>
    <cellStyle name="Tabelstandaard Totaal Negatief 5 2 5 2 4" xfId="28326"/>
    <cellStyle name="Tabelstandaard Totaal Negatief 5 2 5 2 5" xfId="44955"/>
    <cellStyle name="Tabelstandaard Totaal Negatief 5 2 5 2 6" xfId="49417"/>
    <cellStyle name="Tabelstandaard Totaal Negatief 5 2 5 2 7" xfId="5710"/>
    <cellStyle name="Tabelstandaard Totaal Negatief 5 2 5 3" xfId="3031"/>
    <cellStyle name="Tabelstandaard Totaal Negatief 5 2 5 3 2" xfId="16275"/>
    <cellStyle name="Tabelstandaard Totaal Negatief 5 2 5 3 3" xfId="28327"/>
    <cellStyle name="Tabelstandaard Totaal Negatief 5 2 5 3 4" xfId="38933"/>
    <cellStyle name="Tabelstandaard Totaal Negatief 5 2 5 3 5" xfId="49418"/>
    <cellStyle name="Tabelstandaard Totaal Negatief 5 2 5 4" xfId="7296"/>
    <cellStyle name="Tabelstandaard Totaal Negatief 5 2 5 4 2" xfId="19594"/>
    <cellStyle name="Tabelstandaard Totaal Negatief 5 2 5 4 3" xfId="41397"/>
    <cellStyle name="Tabelstandaard Totaal Negatief 5 2 5 4 4" xfId="43568"/>
    <cellStyle name="Tabelstandaard Totaal Negatief 5 2 5 4 5" xfId="52266"/>
    <cellStyle name="Tabelstandaard Totaal Negatief 5 2 5 5" xfId="16273"/>
    <cellStyle name="Tabelstandaard Totaal Negatief 5 2 6" xfId="1849"/>
    <cellStyle name="Tabelstandaard Totaal Negatief 5 2 6 2" xfId="10339"/>
    <cellStyle name="Tabelstandaard Totaal Negatief 5 2 6 2 2" xfId="22637"/>
    <cellStyle name="Tabelstandaard Totaal Negatief 5 2 6 2 3" xfId="34689"/>
    <cellStyle name="Tabelstandaard Totaal Negatief 5 2 6 2 4" xfId="42316"/>
    <cellStyle name="Tabelstandaard Totaal Negatief 5 2 6 2 5" xfId="55304"/>
    <cellStyle name="Tabelstandaard Totaal Negatief 5 2 6 3" xfId="16276"/>
    <cellStyle name="Tabelstandaard Totaal Negatief 5 2 6 4" xfId="28328"/>
    <cellStyle name="Tabelstandaard Totaal Negatief 5 2 6 5" xfId="38932"/>
    <cellStyle name="Tabelstandaard Totaal Negatief 5 2 6 6" xfId="49419"/>
    <cellStyle name="Tabelstandaard Totaal Negatief 5 2 7" xfId="5711"/>
    <cellStyle name="Tabelstandaard Totaal Negatief 5 2 7 2" xfId="16277"/>
    <cellStyle name="Tabelstandaard Totaal Negatief 5 2 7 3" xfId="28329"/>
    <cellStyle name="Tabelstandaard Totaal Negatief 5 2 7 4" xfId="38931"/>
    <cellStyle name="Tabelstandaard Totaal Negatief 5 2 7 5" xfId="49420"/>
    <cellStyle name="Tabelstandaard Totaal Negatief 5 2 8" xfId="7771"/>
    <cellStyle name="Tabelstandaard Totaal Negatief 5 2 8 2" xfId="20069"/>
    <cellStyle name="Tabelstandaard Totaal Negatief 5 2 8 3" xfId="41872"/>
    <cellStyle name="Tabelstandaard Totaal Negatief 5 2 8 4" xfId="25241"/>
    <cellStyle name="Tabelstandaard Totaal Negatief 5 2 8 5" xfId="52741"/>
    <cellStyle name="Tabelstandaard Totaal Negatief 5 2 9" xfId="16245"/>
    <cellStyle name="Tabelstandaard Totaal Negatief 5 3" xfId="359"/>
    <cellStyle name="Tabelstandaard Totaal Negatief 5 3 2" xfId="401"/>
    <cellStyle name="Tabelstandaard Totaal Negatief 5 3 2 2" xfId="1229"/>
    <cellStyle name="Tabelstandaard Totaal Negatief 5 3 2 2 2" xfId="1737"/>
    <cellStyle name="Tabelstandaard Totaal Negatief 5 3 2 2 2 2" xfId="10343"/>
    <cellStyle name="Tabelstandaard Totaal Negatief 5 3 2 2 2 2 2" xfId="22641"/>
    <cellStyle name="Tabelstandaard Totaal Negatief 5 3 2 2 2 2 3" xfId="34693"/>
    <cellStyle name="Tabelstandaard Totaal Negatief 5 3 2 2 2 2 4" xfId="29106"/>
    <cellStyle name="Tabelstandaard Totaal Negatief 5 3 2 2 2 2 5" xfId="55308"/>
    <cellStyle name="Tabelstandaard Totaal Negatief 5 3 2 2 2 3" xfId="16281"/>
    <cellStyle name="Tabelstandaard Totaal Negatief 5 3 2 2 2 4" xfId="28333"/>
    <cellStyle name="Tabelstandaard Totaal Negatief 5 3 2 2 2 5" xfId="38929"/>
    <cellStyle name="Tabelstandaard Totaal Negatief 5 3 2 2 2 6" xfId="49421"/>
    <cellStyle name="Tabelstandaard Totaal Negatief 5 3 2 2 2 7" xfId="5712"/>
    <cellStyle name="Tabelstandaard Totaal Negatief 5 3 2 2 3" xfId="3240"/>
    <cellStyle name="Tabelstandaard Totaal Negatief 5 3 2 2 3 2" xfId="16282"/>
    <cellStyle name="Tabelstandaard Totaal Negatief 5 3 2 2 3 3" xfId="28334"/>
    <cellStyle name="Tabelstandaard Totaal Negatief 5 3 2 2 3 4" xfId="44952"/>
    <cellStyle name="Tabelstandaard Totaal Negatief 5 3 2 2 3 5" xfId="49422"/>
    <cellStyle name="Tabelstandaard Totaal Negatief 5 3 2 2 4" xfId="7145"/>
    <cellStyle name="Tabelstandaard Totaal Negatief 5 3 2 2 4 2" xfId="19443"/>
    <cellStyle name="Tabelstandaard Totaal Negatief 5 3 2 2 4 3" xfId="41246"/>
    <cellStyle name="Tabelstandaard Totaal Negatief 5 3 2 2 4 4" xfId="36949"/>
    <cellStyle name="Tabelstandaard Totaal Negatief 5 3 2 2 4 5" xfId="52115"/>
    <cellStyle name="Tabelstandaard Totaal Negatief 5 3 2 2 5" xfId="16280"/>
    <cellStyle name="Tabelstandaard Totaal Negatief 5 3 2 3" xfId="1340"/>
    <cellStyle name="Tabelstandaard Totaal Negatief 5 3 2 3 2" xfId="3351"/>
    <cellStyle name="Tabelstandaard Totaal Negatief 5 3 2 3 2 2" xfId="10345"/>
    <cellStyle name="Tabelstandaard Totaal Negatief 5 3 2 3 2 2 2" xfId="22643"/>
    <cellStyle name="Tabelstandaard Totaal Negatief 5 3 2 3 2 2 3" xfId="34695"/>
    <cellStyle name="Tabelstandaard Totaal Negatief 5 3 2 3 2 2 4" xfId="31677"/>
    <cellStyle name="Tabelstandaard Totaal Negatief 5 3 2 3 2 2 5" xfId="55310"/>
    <cellStyle name="Tabelstandaard Totaal Negatief 5 3 2 3 2 3" xfId="16284"/>
    <cellStyle name="Tabelstandaard Totaal Negatief 5 3 2 3 2 4" xfId="28336"/>
    <cellStyle name="Tabelstandaard Totaal Negatief 5 3 2 3 2 5" xfId="44951"/>
    <cellStyle name="Tabelstandaard Totaal Negatief 5 3 2 3 2 6" xfId="49423"/>
    <cellStyle name="Tabelstandaard Totaal Negatief 5 3 2 3 3" xfId="5713"/>
    <cellStyle name="Tabelstandaard Totaal Negatief 5 3 2 3 3 2" xfId="16285"/>
    <cellStyle name="Tabelstandaard Totaal Negatief 5 3 2 3 3 3" xfId="28337"/>
    <cellStyle name="Tabelstandaard Totaal Negatief 5 3 2 3 3 4" xfId="38927"/>
    <cellStyle name="Tabelstandaard Totaal Negatief 5 3 2 3 3 5" xfId="49424"/>
    <cellStyle name="Tabelstandaard Totaal Negatief 5 3 2 3 4" xfId="7041"/>
    <cellStyle name="Tabelstandaard Totaal Negatief 5 3 2 3 4 2" xfId="19339"/>
    <cellStyle name="Tabelstandaard Totaal Negatief 5 3 2 3 4 3" xfId="41142"/>
    <cellStyle name="Tabelstandaard Totaal Negatief 5 3 2 3 4 4" xfId="37010"/>
    <cellStyle name="Tabelstandaard Totaal Negatief 5 3 2 3 4 5" xfId="52012"/>
    <cellStyle name="Tabelstandaard Totaal Negatief 5 3 2 3 5" xfId="16283"/>
    <cellStyle name="Tabelstandaard Totaal Negatief 5 3 2 4" xfId="2262"/>
    <cellStyle name="Tabelstandaard Totaal Negatief 5 3 2 4 2" xfId="10346"/>
    <cellStyle name="Tabelstandaard Totaal Negatief 5 3 2 4 2 2" xfId="22644"/>
    <cellStyle name="Tabelstandaard Totaal Negatief 5 3 2 4 2 3" xfId="34696"/>
    <cellStyle name="Tabelstandaard Totaal Negatief 5 3 2 4 2 4" xfId="42313"/>
    <cellStyle name="Tabelstandaard Totaal Negatief 5 3 2 4 2 5" xfId="55311"/>
    <cellStyle name="Tabelstandaard Totaal Negatief 5 3 2 4 3" xfId="16286"/>
    <cellStyle name="Tabelstandaard Totaal Negatief 5 3 2 4 4" xfId="28338"/>
    <cellStyle name="Tabelstandaard Totaal Negatief 5 3 2 4 5" xfId="44950"/>
    <cellStyle name="Tabelstandaard Totaal Negatief 5 3 2 4 6" xfId="49425"/>
    <cellStyle name="Tabelstandaard Totaal Negatief 5 3 2 5" xfId="5714"/>
    <cellStyle name="Tabelstandaard Totaal Negatief 5 3 2 5 2" xfId="16287"/>
    <cellStyle name="Tabelstandaard Totaal Negatief 5 3 2 5 3" xfId="28339"/>
    <cellStyle name="Tabelstandaard Totaal Negatief 5 3 2 5 4" xfId="38926"/>
    <cellStyle name="Tabelstandaard Totaal Negatief 5 3 2 5 5" xfId="49426"/>
    <cellStyle name="Tabelstandaard Totaal Negatief 5 3 2 6" xfId="7716"/>
    <cellStyle name="Tabelstandaard Totaal Negatief 5 3 2 6 2" xfId="20014"/>
    <cellStyle name="Tabelstandaard Totaal Negatief 5 3 2 6 3" xfId="41817"/>
    <cellStyle name="Tabelstandaard Totaal Negatief 5 3 2 6 4" xfId="43393"/>
    <cellStyle name="Tabelstandaard Totaal Negatief 5 3 2 6 5" xfId="52686"/>
    <cellStyle name="Tabelstandaard Totaal Negatief 5 3 2 7" xfId="16279"/>
    <cellStyle name="Tabelstandaard Totaal Negatief 5 3 3" xfId="5715"/>
    <cellStyle name="Tabelstandaard Totaal Negatief 5 3 3 2" xfId="10347"/>
    <cellStyle name="Tabelstandaard Totaal Negatief 5 3 3 2 2" xfId="22645"/>
    <cellStyle name="Tabelstandaard Totaal Negatief 5 3 3 2 3" xfId="34697"/>
    <cellStyle name="Tabelstandaard Totaal Negatief 5 3 3 2 4" xfId="29113"/>
    <cellStyle name="Tabelstandaard Totaal Negatief 5 3 3 2 5" xfId="55312"/>
    <cellStyle name="Tabelstandaard Totaal Negatief 5 3 3 3" xfId="16288"/>
    <cellStyle name="Tabelstandaard Totaal Negatief 5 3 3 4" xfId="28340"/>
    <cellStyle name="Tabelstandaard Totaal Negatief 5 3 3 5" xfId="38925"/>
    <cellStyle name="Tabelstandaard Totaal Negatief 5 3 3 6" xfId="49427"/>
    <cellStyle name="Tabelstandaard Totaal Negatief 5 3 4" xfId="5716"/>
    <cellStyle name="Tabelstandaard Totaal Negatief 5 3 4 2" xfId="16289"/>
    <cellStyle name="Tabelstandaard Totaal Negatief 5 3 4 3" xfId="28341"/>
    <cellStyle name="Tabelstandaard Totaal Negatief 5 3 4 4" xfId="38924"/>
    <cellStyle name="Tabelstandaard Totaal Negatief 5 3 4 5" xfId="49428"/>
    <cellStyle name="Tabelstandaard Totaal Negatief 5 3 5" xfId="7742"/>
    <cellStyle name="Tabelstandaard Totaal Negatief 5 3 5 2" xfId="20040"/>
    <cellStyle name="Tabelstandaard Totaal Negatief 5 3 5 3" xfId="41843"/>
    <cellStyle name="Tabelstandaard Totaal Negatief 5 3 5 4" xfId="43382"/>
    <cellStyle name="Tabelstandaard Totaal Negatief 5 3 5 5" xfId="52712"/>
    <cellStyle name="Tabelstandaard Totaal Negatief 5 3 6" xfId="16278"/>
    <cellStyle name="Tabelstandaard Totaal Negatief 5 4" xfId="751"/>
    <cellStyle name="Tabelstandaard Totaal Negatief 5 4 2" xfId="1247"/>
    <cellStyle name="Tabelstandaard Totaal Negatief 5 4 2 2" xfId="2205"/>
    <cellStyle name="Tabelstandaard Totaal Negatief 5 4 2 2 2" xfId="10350"/>
    <cellStyle name="Tabelstandaard Totaal Negatief 5 4 2 2 2 2" xfId="22648"/>
    <cellStyle name="Tabelstandaard Totaal Negatief 5 4 2 2 2 3" xfId="34700"/>
    <cellStyle name="Tabelstandaard Totaal Negatief 5 4 2 2 2 4" xfId="42311"/>
    <cellStyle name="Tabelstandaard Totaal Negatief 5 4 2 2 2 5" xfId="55315"/>
    <cellStyle name="Tabelstandaard Totaal Negatief 5 4 2 2 3" xfId="16292"/>
    <cellStyle name="Tabelstandaard Totaal Negatief 5 4 2 2 4" xfId="28344"/>
    <cellStyle name="Tabelstandaard Totaal Negatief 5 4 2 2 5" xfId="44948"/>
    <cellStyle name="Tabelstandaard Totaal Negatief 5 4 2 2 6" xfId="49429"/>
    <cellStyle name="Tabelstandaard Totaal Negatief 5 4 2 2 7" xfId="5717"/>
    <cellStyle name="Tabelstandaard Totaal Negatief 5 4 2 3" xfId="3258"/>
    <cellStyle name="Tabelstandaard Totaal Negatief 5 4 2 3 2" xfId="16293"/>
    <cellStyle name="Tabelstandaard Totaal Negatief 5 4 2 3 3" xfId="28345"/>
    <cellStyle name="Tabelstandaard Totaal Negatief 5 4 2 3 4" xfId="38923"/>
    <cellStyle name="Tabelstandaard Totaal Negatief 5 4 2 3 5" xfId="49430"/>
    <cellStyle name="Tabelstandaard Totaal Negatief 5 4 2 4" xfId="7127"/>
    <cellStyle name="Tabelstandaard Totaal Negatief 5 4 2 4 2" xfId="19425"/>
    <cellStyle name="Tabelstandaard Totaal Negatief 5 4 2 4 3" xfId="41228"/>
    <cellStyle name="Tabelstandaard Totaal Negatief 5 4 2 4 4" xfId="43639"/>
    <cellStyle name="Tabelstandaard Totaal Negatief 5 4 2 4 5" xfId="52098"/>
    <cellStyle name="Tabelstandaard Totaal Negatief 5 4 2 5" xfId="16291"/>
    <cellStyle name="Tabelstandaard Totaal Negatief 5 4 3" xfId="2432"/>
    <cellStyle name="Tabelstandaard Totaal Negatief 5 4 3 2" xfId="10351"/>
    <cellStyle name="Tabelstandaard Totaal Negatief 5 4 3 2 2" xfId="22649"/>
    <cellStyle name="Tabelstandaard Totaal Negatief 5 4 3 2 3" xfId="34701"/>
    <cellStyle name="Tabelstandaard Totaal Negatief 5 4 3 2 4" xfId="29120"/>
    <cellStyle name="Tabelstandaard Totaal Negatief 5 4 3 2 5" xfId="55316"/>
    <cellStyle name="Tabelstandaard Totaal Negatief 5 4 3 3" xfId="16294"/>
    <cellStyle name="Tabelstandaard Totaal Negatief 5 4 3 4" xfId="28346"/>
    <cellStyle name="Tabelstandaard Totaal Negatief 5 4 3 5" xfId="38922"/>
    <cellStyle name="Tabelstandaard Totaal Negatief 5 4 3 6" xfId="49431"/>
    <cellStyle name="Tabelstandaard Totaal Negatief 5 4 4" xfId="5718"/>
    <cellStyle name="Tabelstandaard Totaal Negatief 5 4 4 2" xfId="16295"/>
    <cellStyle name="Tabelstandaard Totaal Negatief 5 4 4 3" xfId="28347"/>
    <cellStyle name="Tabelstandaard Totaal Negatief 5 4 4 4" xfId="44947"/>
    <cellStyle name="Tabelstandaard Totaal Negatief 5 4 4 5" xfId="49432"/>
    <cellStyle name="Tabelstandaard Totaal Negatief 5 4 5" xfId="10164"/>
    <cellStyle name="Tabelstandaard Totaal Negatief 5 4 5 2" xfId="22462"/>
    <cellStyle name="Tabelstandaard Totaal Negatief 5 4 5 3" xfId="44226"/>
    <cellStyle name="Tabelstandaard Totaal Negatief 5 4 5 4" xfId="42389"/>
    <cellStyle name="Tabelstandaard Totaal Negatief 5 4 5 5" xfId="55129"/>
    <cellStyle name="Tabelstandaard Totaal Negatief 5 4 6" xfId="16290"/>
    <cellStyle name="Tabelstandaard Totaal Negatief 5 5" xfId="682"/>
    <cellStyle name="Tabelstandaard Totaal Negatief 5 5 2" xfId="1264"/>
    <cellStyle name="Tabelstandaard Totaal Negatief 5 5 2 2" xfId="2416"/>
    <cellStyle name="Tabelstandaard Totaal Negatief 5 5 2 2 2" xfId="10354"/>
    <cellStyle name="Tabelstandaard Totaal Negatief 5 5 2 2 2 2" xfId="22652"/>
    <cellStyle name="Tabelstandaard Totaal Negatief 5 5 2 2 2 3" xfId="34704"/>
    <cellStyle name="Tabelstandaard Totaal Negatief 5 5 2 2 2 4" xfId="29127"/>
    <cellStyle name="Tabelstandaard Totaal Negatief 5 5 2 2 2 5" xfId="55319"/>
    <cellStyle name="Tabelstandaard Totaal Negatief 5 5 2 2 3" xfId="16298"/>
    <cellStyle name="Tabelstandaard Totaal Negatief 5 5 2 2 4" xfId="28350"/>
    <cellStyle name="Tabelstandaard Totaal Negatief 5 5 2 2 5" xfId="38920"/>
    <cellStyle name="Tabelstandaard Totaal Negatief 5 5 2 2 6" xfId="49433"/>
    <cellStyle name="Tabelstandaard Totaal Negatief 5 5 2 2 7" xfId="5719"/>
    <cellStyle name="Tabelstandaard Totaal Negatief 5 5 2 3" xfId="3275"/>
    <cellStyle name="Tabelstandaard Totaal Negatief 5 5 2 3 2" xfId="16299"/>
    <cellStyle name="Tabelstandaard Totaal Negatief 5 5 2 3 3" xfId="28351"/>
    <cellStyle name="Tabelstandaard Totaal Negatief 5 5 2 3 4" xfId="44945"/>
    <cellStyle name="Tabelstandaard Totaal Negatief 5 5 2 3 5" xfId="49434"/>
    <cellStyle name="Tabelstandaard Totaal Negatief 5 5 2 4" xfId="7111"/>
    <cellStyle name="Tabelstandaard Totaal Negatief 5 5 2 4 2" xfId="19409"/>
    <cellStyle name="Tabelstandaard Totaal Negatief 5 5 2 4 3" xfId="41212"/>
    <cellStyle name="Tabelstandaard Totaal Negatief 5 5 2 4 4" xfId="36969"/>
    <cellStyle name="Tabelstandaard Totaal Negatief 5 5 2 4 5" xfId="52082"/>
    <cellStyle name="Tabelstandaard Totaal Negatief 5 5 2 5" xfId="16297"/>
    <cellStyle name="Tabelstandaard Totaal Negatief 5 5 3" xfId="1893"/>
    <cellStyle name="Tabelstandaard Totaal Negatief 5 5 3 2" xfId="10355"/>
    <cellStyle name="Tabelstandaard Totaal Negatief 5 5 3 2 2" xfId="22653"/>
    <cellStyle name="Tabelstandaard Totaal Negatief 5 5 3 2 3" xfId="34705"/>
    <cellStyle name="Tabelstandaard Totaal Negatief 5 5 3 2 4" xfId="31481"/>
    <cellStyle name="Tabelstandaard Totaal Negatief 5 5 3 2 5" xfId="55320"/>
    <cellStyle name="Tabelstandaard Totaal Negatief 5 5 3 3" xfId="16300"/>
    <cellStyle name="Tabelstandaard Totaal Negatief 5 5 3 4" xfId="28352"/>
    <cellStyle name="Tabelstandaard Totaal Negatief 5 5 3 5" xfId="38919"/>
    <cellStyle name="Tabelstandaard Totaal Negatief 5 5 3 6" xfId="49435"/>
    <cellStyle name="Tabelstandaard Totaal Negatief 5 5 4" xfId="5720"/>
    <cellStyle name="Tabelstandaard Totaal Negatief 5 5 4 2" xfId="16301"/>
    <cellStyle name="Tabelstandaard Totaal Negatief 5 5 4 3" xfId="28353"/>
    <cellStyle name="Tabelstandaard Totaal Negatief 5 5 4 4" xfId="38918"/>
    <cellStyle name="Tabelstandaard Totaal Negatief 5 5 4 5" xfId="49436"/>
    <cellStyle name="Tabelstandaard Totaal Negatief 5 5 5" xfId="10218"/>
    <cellStyle name="Tabelstandaard Totaal Negatief 5 5 5 2" xfId="22516"/>
    <cellStyle name="Tabelstandaard Totaal Negatief 5 5 5 3" xfId="44278"/>
    <cellStyle name="Tabelstandaard Totaal Negatief 5 5 5 4" xfId="42366"/>
    <cellStyle name="Tabelstandaard Totaal Negatief 5 5 5 5" xfId="55183"/>
    <cellStyle name="Tabelstandaard Totaal Negatief 5 5 6" xfId="16296"/>
    <cellStyle name="Tabelstandaard Totaal Negatief 5 6" xfId="792"/>
    <cellStyle name="Tabelstandaard Totaal Negatief 5 6 2" xfId="1166"/>
    <cellStyle name="Tabelstandaard Totaal Negatief 5 6 2 2" xfId="2380"/>
    <cellStyle name="Tabelstandaard Totaal Negatief 5 6 2 2 2" xfId="10358"/>
    <cellStyle name="Tabelstandaard Totaal Negatief 5 6 2 2 2 2" xfId="22656"/>
    <cellStyle name="Tabelstandaard Totaal Negatief 5 6 2 2 2 3" xfId="34708"/>
    <cellStyle name="Tabelstandaard Totaal Negatief 5 6 2 2 2 4" xfId="42308"/>
    <cellStyle name="Tabelstandaard Totaal Negatief 5 6 2 2 2 5" xfId="55323"/>
    <cellStyle name="Tabelstandaard Totaal Negatief 5 6 2 2 3" xfId="16304"/>
    <cellStyle name="Tabelstandaard Totaal Negatief 5 6 2 2 4" xfId="28356"/>
    <cellStyle name="Tabelstandaard Totaal Negatief 5 6 2 2 5" xfId="44943"/>
    <cellStyle name="Tabelstandaard Totaal Negatief 5 6 2 2 6" xfId="49437"/>
    <cellStyle name="Tabelstandaard Totaal Negatief 5 6 2 2 7" xfId="5721"/>
    <cellStyle name="Tabelstandaard Totaal Negatief 5 6 2 3" xfId="3177"/>
    <cellStyle name="Tabelstandaard Totaal Negatief 5 6 2 3 2" xfId="16305"/>
    <cellStyle name="Tabelstandaard Totaal Negatief 5 6 2 3 3" xfId="28357"/>
    <cellStyle name="Tabelstandaard Totaal Negatief 5 6 2 3 4" xfId="38916"/>
    <cellStyle name="Tabelstandaard Totaal Negatief 5 6 2 3 5" xfId="49438"/>
    <cellStyle name="Tabelstandaard Totaal Negatief 5 6 2 4" xfId="9885"/>
    <cellStyle name="Tabelstandaard Totaal Negatief 5 6 2 4 2" xfId="22183"/>
    <cellStyle name="Tabelstandaard Totaal Negatief 5 6 2 4 3" xfId="43950"/>
    <cellStyle name="Tabelstandaard Totaal Negatief 5 6 2 4 4" xfId="31434"/>
    <cellStyle name="Tabelstandaard Totaal Negatief 5 6 2 4 5" xfId="54850"/>
    <cellStyle name="Tabelstandaard Totaal Negatief 5 6 2 5" xfId="16303"/>
    <cellStyle name="Tabelstandaard Totaal Negatief 5 6 3" xfId="1468"/>
    <cellStyle name="Tabelstandaard Totaal Negatief 5 6 3 2" xfId="10359"/>
    <cellStyle name="Tabelstandaard Totaal Negatief 5 6 3 2 2" xfId="22657"/>
    <cellStyle name="Tabelstandaard Totaal Negatief 5 6 3 2 3" xfId="34709"/>
    <cellStyle name="Tabelstandaard Totaal Negatief 5 6 3 2 4" xfId="31438"/>
    <cellStyle name="Tabelstandaard Totaal Negatief 5 6 3 2 5" xfId="55324"/>
    <cellStyle name="Tabelstandaard Totaal Negatief 5 6 3 3" xfId="16306"/>
    <cellStyle name="Tabelstandaard Totaal Negatief 5 6 3 4" xfId="28358"/>
    <cellStyle name="Tabelstandaard Totaal Negatief 5 6 3 5" xfId="44942"/>
    <cellStyle name="Tabelstandaard Totaal Negatief 5 6 3 6" xfId="49439"/>
    <cellStyle name="Tabelstandaard Totaal Negatief 5 6 4" xfId="5722"/>
    <cellStyle name="Tabelstandaard Totaal Negatief 5 6 4 2" xfId="16307"/>
    <cellStyle name="Tabelstandaard Totaal Negatief 5 6 4 3" xfId="28359"/>
    <cellStyle name="Tabelstandaard Totaal Negatief 5 6 4 4" xfId="38915"/>
    <cellStyle name="Tabelstandaard Totaal Negatief 5 6 4 5" xfId="49440"/>
    <cellStyle name="Tabelstandaard Totaal Negatief 5 6 5" xfId="7452"/>
    <cellStyle name="Tabelstandaard Totaal Negatief 5 6 5 2" xfId="19750"/>
    <cellStyle name="Tabelstandaard Totaal Negatief 5 6 5 3" xfId="41553"/>
    <cellStyle name="Tabelstandaard Totaal Negatief 5 6 5 4" xfId="43503"/>
    <cellStyle name="Tabelstandaard Totaal Negatief 5 6 5 5" xfId="52422"/>
    <cellStyle name="Tabelstandaard Totaal Negatief 5 6 6" xfId="16302"/>
    <cellStyle name="Tabelstandaard Totaal Negatief 5 7" xfId="803"/>
    <cellStyle name="Tabelstandaard Totaal Negatief 5 7 2" xfId="1060"/>
    <cellStyle name="Tabelstandaard Totaal Negatief 5 7 2 2" xfId="1678"/>
    <cellStyle name="Tabelstandaard Totaal Negatief 5 7 2 2 2" xfId="10362"/>
    <cellStyle name="Tabelstandaard Totaal Negatief 5 7 2 2 2 2" xfId="22660"/>
    <cellStyle name="Tabelstandaard Totaal Negatief 5 7 2 2 2 3" xfId="34712"/>
    <cellStyle name="Tabelstandaard Totaal Negatief 5 7 2 2 2 4" xfId="42306"/>
    <cellStyle name="Tabelstandaard Totaal Negatief 5 7 2 2 2 5" xfId="55327"/>
    <cellStyle name="Tabelstandaard Totaal Negatief 5 7 2 2 3" xfId="16310"/>
    <cellStyle name="Tabelstandaard Totaal Negatief 5 7 2 2 4" xfId="28362"/>
    <cellStyle name="Tabelstandaard Totaal Negatief 5 7 2 2 5" xfId="44940"/>
    <cellStyle name="Tabelstandaard Totaal Negatief 5 7 2 2 6" xfId="49441"/>
    <cellStyle name="Tabelstandaard Totaal Negatief 5 7 2 2 7" xfId="5723"/>
    <cellStyle name="Tabelstandaard Totaal Negatief 5 7 2 3" xfId="3071"/>
    <cellStyle name="Tabelstandaard Totaal Negatief 5 7 2 3 2" xfId="16311"/>
    <cellStyle name="Tabelstandaard Totaal Negatief 5 7 2 3 3" xfId="28363"/>
    <cellStyle name="Tabelstandaard Totaal Negatief 5 7 2 3 4" xfId="38913"/>
    <cellStyle name="Tabelstandaard Totaal Negatief 5 7 2 3 5" xfId="49442"/>
    <cellStyle name="Tabelstandaard Totaal Negatief 5 7 2 4" xfId="7269"/>
    <cellStyle name="Tabelstandaard Totaal Negatief 5 7 2 4 2" xfId="19567"/>
    <cellStyle name="Tabelstandaard Totaal Negatief 5 7 2 4 3" xfId="41370"/>
    <cellStyle name="Tabelstandaard Totaal Negatief 5 7 2 4 4" xfId="36877"/>
    <cellStyle name="Tabelstandaard Totaal Negatief 5 7 2 4 5" xfId="52239"/>
    <cellStyle name="Tabelstandaard Totaal Negatief 5 7 2 5" xfId="16309"/>
    <cellStyle name="Tabelstandaard Totaal Negatief 5 7 3" xfId="1585"/>
    <cellStyle name="Tabelstandaard Totaal Negatief 5 7 3 2" xfId="10363"/>
    <cellStyle name="Tabelstandaard Totaal Negatief 5 7 3 2 2" xfId="22661"/>
    <cellStyle name="Tabelstandaard Totaal Negatief 5 7 3 2 3" xfId="34713"/>
    <cellStyle name="Tabelstandaard Totaal Negatief 5 7 3 2 4" xfId="31858"/>
    <cellStyle name="Tabelstandaard Totaal Negatief 5 7 3 2 5" xfId="55328"/>
    <cellStyle name="Tabelstandaard Totaal Negatief 5 7 3 3" xfId="16312"/>
    <cellStyle name="Tabelstandaard Totaal Negatief 5 7 3 4" xfId="28364"/>
    <cellStyle name="Tabelstandaard Totaal Negatief 5 7 3 5" xfId="38912"/>
    <cellStyle name="Tabelstandaard Totaal Negatief 5 7 3 6" xfId="49443"/>
    <cellStyle name="Tabelstandaard Totaal Negatief 5 7 4" xfId="5724"/>
    <cellStyle name="Tabelstandaard Totaal Negatief 5 7 4 2" xfId="16313"/>
    <cellStyle name="Tabelstandaard Totaal Negatief 5 7 4 3" xfId="28365"/>
    <cellStyle name="Tabelstandaard Totaal Negatief 5 7 4 4" xfId="38911"/>
    <cellStyle name="Tabelstandaard Totaal Negatief 5 7 4 5" xfId="49444"/>
    <cellStyle name="Tabelstandaard Totaal Negatief 5 7 5" xfId="7445"/>
    <cellStyle name="Tabelstandaard Totaal Negatief 5 7 5 2" xfId="19743"/>
    <cellStyle name="Tabelstandaard Totaal Negatief 5 7 5 3" xfId="41546"/>
    <cellStyle name="Tabelstandaard Totaal Negatief 5 7 5 4" xfId="43506"/>
    <cellStyle name="Tabelstandaard Totaal Negatief 5 7 5 5" xfId="52415"/>
    <cellStyle name="Tabelstandaard Totaal Negatief 5 7 6" xfId="16308"/>
    <cellStyle name="Tabelstandaard Totaal Negatief 5 8" xfId="728"/>
    <cellStyle name="Tabelstandaard Totaal Negatief 5 8 2" xfId="645"/>
    <cellStyle name="Tabelstandaard Totaal Negatief 5 8 2 2" xfId="1619"/>
    <cellStyle name="Tabelstandaard Totaal Negatief 5 8 2 2 2" xfId="10366"/>
    <cellStyle name="Tabelstandaard Totaal Negatief 5 8 2 2 2 2" xfId="22664"/>
    <cellStyle name="Tabelstandaard Totaal Negatief 5 8 2 2 2 3" xfId="34716"/>
    <cellStyle name="Tabelstandaard Totaal Negatief 5 8 2 2 2 4" xfId="31741"/>
    <cellStyle name="Tabelstandaard Totaal Negatief 5 8 2 2 2 5" xfId="55331"/>
    <cellStyle name="Tabelstandaard Totaal Negatief 5 8 2 2 3" xfId="16316"/>
    <cellStyle name="Tabelstandaard Totaal Negatief 5 8 2 2 4" xfId="28368"/>
    <cellStyle name="Tabelstandaard Totaal Negatief 5 8 2 2 5" xfId="44939"/>
    <cellStyle name="Tabelstandaard Totaal Negatief 5 8 2 2 6" xfId="49445"/>
    <cellStyle name="Tabelstandaard Totaal Negatief 5 8 2 2 7" xfId="5725"/>
    <cellStyle name="Tabelstandaard Totaal Negatief 5 8 2 3" xfId="2711"/>
    <cellStyle name="Tabelstandaard Totaal Negatief 5 8 2 3 2" xfId="16317"/>
    <cellStyle name="Tabelstandaard Totaal Negatief 5 8 2 3 3" xfId="28369"/>
    <cellStyle name="Tabelstandaard Totaal Negatief 5 8 2 3 4" xfId="38909"/>
    <cellStyle name="Tabelstandaard Totaal Negatief 5 8 2 3 5" xfId="49446"/>
    <cellStyle name="Tabelstandaard Totaal Negatief 5 8 2 4" xfId="7552"/>
    <cellStyle name="Tabelstandaard Totaal Negatief 5 8 2 4 2" xfId="19850"/>
    <cellStyle name="Tabelstandaard Totaal Negatief 5 8 2 4 3" xfId="41653"/>
    <cellStyle name="Tabelstandaard Totaal Negatief 5 8 2 4 4" xfId="43461"/>
    <cellStyle name="Tabelstandaard Totaal Negatief 5 8 2 4 5" xfId="52522"/>
    <cellStyle name="Tabelstandaard Totaal Negatief 5 8 2 5" xfId="16315"/>
    <cellStyle name="Tabelstandaard Totaal Negatief 5 8 3" xfId="1896"/>
    <cellStyle name="Tabelstandaard Totaal Negatief 5 8 3 2" xfId="10367"/>
    <cellStyle name="Tabelstandaard Totaal Negatief 5 8 3 2 2" xfId="22665"/>
    <cellStyle name="Tabelstandaard Totaal Negatief 5 8 3 2 3" xfId="34717"/>
    <cellStyle name="Tabelstandaard Totaal Negatief 5 8 3 2 4" xfId="29155"/>
    <cellStyle name="Tabelstandaard Totaal Negatief 5 8 3 2 5" xfId="55332"/>
    <cellStyle name="Tabelstandaard Totaal Negatief 5 8 3 3" xfId="16318"/>
    <cellStyle name="Tabelstandaard Totaal Negatief 5 8 3 4" xfId="28370"/>
    <cellStyle name="Tabelstandaard Totaal Negatief 5 8 3 5" xfId="44938"/>
    <cellStyle name="Tabelstandaard Totaal Negatief 5 8 3 6" xfId="49447"/>
    <cellStyle name="Tabelstandaard Totaal Negatief 5 8 4" xfId="5726"/>
    <cellStyle name="Tabelstandaard Totaal Negatief 5 8 4 2" xfId="16319"/>
    <cellStyle name="Tabelstandaard Totaal Negatief 5 8 4 3" xfId="28371"/>
    <cellStyle name="Tabelstandaard Totaal Negatief 5 8 4 4" xfId="38908"/>
    <cellStyle name="Tabelstandaard Totaal Negatief 5 8 4 5" xfId="49448"/>
    <cellStyle name="Tabelstandaard Totaal Negatief 5 8 5" xfId="10183"/>
    <cellStyle name="Tabelstandaard Totaal Negatief 5 8 5 2" xfId="22481"/>
    <cellStyle name="Tabelstandaard Totaal Negatief 5 8 5 3" xfId="44245"/>
    <cellStyle name="Tabelstandaard Totaal Negatief 5 8 5 4" xfId="28777"/>
    <cellStyle name="Tabelstandaard Totaal Negatief 5 8 5 5" xfId="55148"/>
    <cellStyle name="Tabelstandaard Totaal Negatief 5 8 6" xfId="16314"/>
    <cellStyle name="Tabelstandaard Totaal Negatief 5 9" xfId="820"/>
    <cellStyle name="Tabelstandaard Totaal Negatief 5 9 2" xfId="1287"/>
    <cellStyle name="Tabelstandaard Totaal Negatief 5 9 2 2" xfId="2328"/>
    <cellStyle name="Tabelstandaard Totaal Negatief 5 9 2 2 2" xfId="10370"/>
    <cellStyle name="Tabelstandaard Totaal Negatief 5 9 2 2 2 2" xfId="22668"/>
    <cellStyle name="Tabelstandaard Totaal Negatief 5 9 2 2 2 3" xfId="34720"/>
    <cellStyle name="Tabelstandaard Totaal Negatief 5 9 2 2 2 4" xfId="42303"/>
    <cellStyle name="Tabelstandaard Totaal Negatief 5 9 2 2 2 5" xfId="55335"/>
    <cellStyle name="Tabelstandaard Totaal Negatief 5 9 2 2 3" xfId="16322"/>
    <cellStyle name="Tabelstandaard Totaal Negatief 5 9 2 2 4" xfId="28374"/>
    <cellStyle name="Tabelstandaard Totaal Negatief 5 9 2 2 5" xfId="44936"/>
    <cellStyle name="Tabelstandaard Totaal Negatief 5 9 2 2 6" xfId="49449"/>
    <cellStyle name="Tabelstandaard Totaal Negatief 5 9 2 2 7" xfId="5727"/>
    <cellStyle name="Tabelstandaard Totaal Negatief 5 9 2 3" xfId="3298"/>
    <cellStyle name="Tabelstandaard Totaal Negatief 5 9 2 3 2" xfId="16323"/>
    <cellStyle name="Tabelstandaard Totaal Negatief 5 9 2 3 3" xfId="28375"/>
    <cellStyle name="Tabelstandaard Totaal Negatief 5 9 2 3 4" xfId="38906"/>
    <cellStyle name="Tabelstandaard Totaal Negatief 5 9 2 3 5" xfId="49450"/>
    <cellStyle name="Tabelstandaard Totaal Negatief 5 9 2 4" xfId="7089"/>
    <cellStyle name="Tabelstandaard Totaal Negatief 5 9 2 4 2" xfId="19387"/>
    <cellStyle name="Tabelstandaard Totaal Negatief 5 9 2 4 3" xfId="41190"/>
    <cellStyle name="Tabelstandaard Totaal Negatief 5 9 2 4 4" xfId="36982"/>
    <cellStyle name="Tabelstandaard Totaal Negatief 5 9 2 4 5" xfId="52060"/>
    <cellStyle name="Tabelstandaard Totaal Negatief 5 9 2 5" xfId="16321"/>
    <cellStyle name="Tabelstandaard Totaal Negatief 5 9 3" xfId="1575"/>
    <cellStyle name="Tabelstandaard Totaal Negatief 5 9 3 2" xfId="10371"/>
    <cellStyle name="Tabelstandaard Totaal Negatief 5 9 3 2 2" xfId="22669"/>
    <cellStyle name="Tabelstandaard Totaal Negatief 5 9 3 2 3" xfId="34721"/>
    <cellStyle name="Tabelstandaard Totaal Negatief 5 9 3 2 4" xfId="29162"/>
    <cellStyle name="Tabelstandaard Totaal Negatief 5 9 3 2 5" xfId="55336"/>
    <cellStyle name="Tabelstandaard Totaal Negatief 5 9 3 3" xfId="16324"/>
    <cellStyle name="Tabelstandaard Totaal Negatief 5 9 3 4" xfId="28376"/>
    <cellStyle name="Tabelstandaard Totaal Negatief 5 9 3 5" xfId="38905"/>
    <cellStyle name="Tabelstandaard Totaal Negatief 5 9 3 6" xfId="49451"/>
    <cellStyle name="Tabelstandaard Totaal Negatief 5 9 4" xfId="5728"/>
    <cellStyle name="Tabelstandaard Totaal Negatief 5 9 4 2" xfId="16325"/>
    <cellStyle name="Tabelstandaard Totaal Negatief 5 9 4 3" xfId="28377"/>
    <cellStyle name="Tabelstandaard Totaal Negatief 5 9 4 4" xfId="38904"/>
    <cellStyle name="Tabelstandaard Totaal Negatief 5 9 4 5" xfId="49452"/>
    <cellStyle name="Tabelstandaard Totaal Negatief 5 9 5" xfId="7434"/>
    <cellStyle name="Tabelstandaard Totaal Negatief 5 9 5 2" xfId="19732"/>
    <cellStyle name="Tabelstandaard Totaal Negatief 5 9 5 3" xfId="41535"/>
    <cellStyle name="Tabelstandaard Totaal Negatief 5 9 5 4" xfId="43510"/>
    <cellStyle name="Tabelstandaard Totaal Negatief 5 9 5 5" xfId="52404"/>
    <cellStyle name="Tabelstandaard Totaal Negatief 5 9 6" xfId="16320"/>
    <cellStyle name="Tabelstandaard Totaal Negatief 6" xfId="244"/>
    <cellStyle name="Tabelstandaard Totaal Negatief 6 2" xfId="362"/>
    <cellStyle name="Tabelstandaard Totaal Negatief 6 2 2" xfId="403"/>
    <cellStyle name="Tabelstandaard Totaal Negatief 6 2 2 2" xfId="516"/>
    <cellStyle name="Tabelstandaard Totaal Negatief 6 2 2 2 2" xfId="1917"/>
    <cellStyle name="Tabelstandaard Totaal Negatief 6 2 2 2 2 2" xfId="10376"/>
    <cellStyle name="Tabelstandaard Totaal Negatief 6 2 2 2 2 2 2" xfId="22674"/>
    <cellStyle name="Tabelstandaard Totaal Negatief 6 2 2 2 2 2 3" xfId="34726"/>
    <cellStyle name="Tabelstandaard Totaal Negatief 6 2 2 2 2 2 4" xfId="42300"/>
    <cellStyle name="Tabelstandaard Totaal Negatief 6 2 2 2 2 2 5" xfId="55341"/>
    <cellStyle name="Tabelstandaard Totaal Negatief 6 2 2 2 2 3" xfId="16330"/>
    <cellStyle name="Tabelstandaard Totaal Negatief 6 2 2 2 2 4" xfId="28382"/>
    <cellStyle name="Tabelstandaard Totaal Negatief 6 2 2 2 2 5" xfId="44933"/>
    <cellStyle name="Tabelstandaard Totaal Negatief 6 2 2 2 2 6" xfId="49453"/>
    <cellStyle name="Tabelstandaard Totaal Negatief 6 2 2 2 2 7" xfId="5729"/>
    <cellStyle name="Tabelstandaard Totaal Negatief 6 2 2 2 3" xfId="2587"/>
    <cellStyle name="Tabelstandaard Totaal Negatief 6 2 2 2 3 2" xfId="16331"/>
    <cellStyle name="Tabelstandaard Totaal Negatief 6 2 2 2 3 3" xfId="28383"/>
    <cellStyle name="Tabelstandaard Totaal Negatief 6 2 2 2 3 4" xfId="38902"/>
    <cellStyle name="Tabelstandaard Totaal Negatief 6 2 2 2 3 5" xfId="49454"/>
    <cellStyle name="Tabelstandaard Totaal Negatief 6 2 2 2 4" xfId="10325"/>
    <cellStyle name="Tabelstandaard Totaal Negatief 6 2 2 2 4 2" xfId="22623"/>
    <cellStyle name="Tabelstandaard Totaal Negatief 6 2 2 2 4 3" xfId="44384"/>
    <cellStyle name="Tabelstandaard Totaal Negatief 6 2 2 2 4 4" xfId="31743"/>
    <cellStyle name="Tabelstandaard Totaal Negatief 6 2 2 2 4 5" xfId="55290"/>
    <cellStyle name="Tabelstandaard Totaal Negatief 6 2 2 2 5" xfId="16329"/>
    <cellStyle name="Tabelstandaard Totaal Negatief 6 2 2 3" xfId="1342"/>
    <cellStyle name="Tabelstandaard Totaal Negatief 6 2 2 3 2" xfId="3353"/>
    <cellStyle name="Tabelstandaard Totaal Negatief 6 2 2 3 2 2" xfId="10378"/>
    <cellStyle name="Tabelstandaard Totaal Negatief 6 2 2 3 2 2 2" xfId="22676"/>
    <cellStyle name="Tabelstandaard Totaal Negatief 6 2 2 3 2 2 3" xfId="34728"/>
    <cellStyle name="Tabelstandaard Totaal Negatief 6 2 2 3 2 2 4" xfId="29176"/>
    <cellStyle name="Tabelstandaard Totaal Negatief 6 2 2 3 2 2 5" xfId="55343"/>
    <cellStyle name="Tabelstandaard Totaal Negatief 6 2 2 3 2 3" xfId="16333"/>
    <cellStyle name="Tabelstandaard Totaal Negatief 6 2 2 3 2 4" xfId="28385"/>
    <cellStyle name="Tabelstandaard Totaal Negatief 6 2 2 3 2 5" xfId="38901"/>
    <cellStyle name="Tabelstandaard Totaal Negatief 6 2 2 3 2 6" xfId="49455"/>
    <cellStyle name="Tabelstandaard Totaal Negatief 6 2 2 3 3" xfId="5730"/>
    <cellStyle name="Tabelstandaard Totaal Negatief 6 2 2 3 3 2" xfId="16334"/>
    <cellStyle name="Tabelstandaard Totaal Negatief 6 2 2 3 3 3" xfId="28386"/>
    <cellStyle name="Tabelstandaard Totaal Negatief 6 2 2 3 3 4" xfId="44931"/>
    <cellStyle name="Tabelstandaard Totaal Negatief 6 2 2 3 3 5" xfId="49456"/>
    <cellStyle name="Tabelstandaard Totaal Negatief 6 2 2 3 4" xfId="7039"/>
    <cellStyle name="Tabelstandaard Totaal Negatief 6 2 2 3 4 2" xfId="19337"/>
    <cellStyle name="Tabelstandaard Totaal Negatief 6 2 2 3 4 3" xfId="41140"/>
    <cellStyle name="Tabelstandaard Totaal Negatief 6 2 2 3 4 4" xfId="43675"/>
    <cellStyle name="Tabelstandaard Totaal Negatief 6 2 2 3 4 5" xfId="52010"/>
    <cellStyle name="Tabelstandaard Totaal Negatief 6 2 2 3 5" xfId="16332"/>
    <cellStyle name="Tabelstandaard Totaal Negatief 6 2 2 4" xfId="2091"/>
    <cellStyle name="Tabelstandaard Totaal Negatief 6 2 2 4 2" xfId="10379"/>
    <cellStyle name="Tabelstandaard Totaal Negatief 6 2 2 4 2 2" xfId="22677"/>
    <cellStyle name="Tabelstandaard Totaal Negatief 6 2 2 4 2 3" xfId="34729"/>
    <cellStyle name="Tabelstandaard Totaal Negatief 6 2 2 4 2 4" xfId="31569"/>
    <cellStyle name="Tabelstandaard Totaal Negatief 6 2 2 4 2 5" xfId="55344"/>
    <cellStyle name="Tabelstandaard Totaal Negatief 6 2 2 4 3" xfId="16335"/>
    <cellStyle name="Tabelstandaard Totaal Negatief 6 2 2 4 4" xfId="28387"/>
    <cellStyle name="Tabelstandaard Totaal Negatief 6 2 2 4 5" xfId="38900"/>
    <cellStyle name="Tabelstandaard Totaal Negatief 6 2 2 4 6" xfId="49457"/>
    <cellStyle name="Tabelstandaard Totaal Negatief 6 2 2 5" xfId="5731"/>
    <cellStyle name="Tabelstandaard Totaal Negatief 6 2 2 5 2" xfId="16336"/>
    <cellStyle name="Tabelstandaard Totaal Negatief 6 2 2 5 3" xfId="28388"/>
    <cellStyle name="Tabelstandaard Totaal Negatief 6 2 2 5 4" xfId="38899"/>
    <cellStyle name="Tabelstandaard Totaal Negatief 6 2 2 5 5" xfId="49458"/>
    <cellStyle name="Tabelstandaard Totaal Negatief 6 2 2 6" xfId="7714"/>
    <cellStyle name="Tabelstandaard Totaal Negatief 6 2 2 6 2" xfId="20012"/>
    <cellStyle name="Tabelstandaard Totaal Negatief 6 2 2 6 3" xfId="41815"/>
    <cellStyle name="Tabelstandaard Totaal Negatief 6 2 2 6 4" xfId="25125"/>
    <cellStyle name="Tabelstandaard Totaal Negatief 6 2 2 6 5" xfId="52684"/>
    <cellStyle name="Tabelstandaard Totaal Negatief 6 2 2 7" xfId="16328"/>
    <cellStyle name="Tabelstandaard Totaal Negatief 6 2 3" xfId="5732"/>
    <cellStyle name="Tabelstandaard Totaal Negatief 6 2 3 2" xfId="10380"/>
    <cellStyle name="Tabelstandaard Totaal Negatief 6 2 3 2 2" xfId="22678"/>
    <cellStyle name="Tabelstandaard Totaal Negatief 6 2 3 2 3" xfId="34730"/>
    <cellStyle name="Tabelstandaard Totaal Negatief 6 2 3 2 4" xfId="42299"/>
    <cellStyle name="Tabelstandaard Totaal Negatief 6 2 3 2 5" xfId="55345"/>
    <cellStyle name="Tabelstandaard Totaal Negatief 6 2 3 3" xfId="16337"/>
    <cellStyle name="Tabelstandaard Totaal Negatief 6 2 3 4" xfId="28389"/>
    <cellStyle name="Tabelstandaard Totaal Negatief 6 2 3 5" xfId="38898"/>
    <cellStyle name="Tabelstandaard Totaal Negatief 6 2 3 6" xfId="49459"/>
    <cellStyle name="Tabelstandaard Totaal Negatief 6 2 4" xfId="5733"/>
    <cellStyle name="Tabelstandaard Totaal Negatief 6 2 4 2" xfId="16338"/>
    <cellStyle name="Tabelstandaard Totaal Negatief 6 2 4 3" xfId="28390"/>
    <cellStyle name="Tabelstandaard Totaal Negatief 6 2 4 4" xfId="44930"/>
    <cellStyle name="Tabelstandaard Totaal Negatief 6 2 4 5" xfId="49460"/>
    <cellStyle name="Tabelstandaard Totaal Negatief 6 2 5" xfId="7739"/>
    <cellStyle name="Tabelstandaard Totaal Negatief 6 2 5 2" xfId="20037"/>
    <cellStyle name="Tabelstandaard Totaal Negatief 6 2 5 3" xfId="41840"/>
    <cellStyle name="Tabelstandaard Totaal Negatief 6 2 5 4" xfId="32026"/>
    <cellStyle name="Tabelstandaard Totaal Negatief 6 2 5 5" xfId="52709"/>
    <cellStyle name="Tabelstandaard Totaal Negatief 6 2 6" xfId="16327"/>
    <cellStyle name="Tabelstandaard Totaal Negatief 6 3" xfId="367"/>
    <cellStyle name="Tabelstandaard Totaal Negatief 6 3 2" xfId="408"/>
    <cellStyle name="Tabelstandaard Totaal Negatief 6 3 2 2" xfId="835"/>
    <cellStyle name="Tabelstandaard Totaal Negatief 6 3 2 2 2" xfId="1457"/>
    <cellStyle name="Tabelstandaard Totaal Negatief 6 3 2 2 2 2" xfId="10384"/>
    <cellStyle name="Tabelstandaard Totaal Negatief 6 3 2 2 2 2 2" xfId="22682"/>
    <cellStyle name="Tabelstandaard Totaal Negatief 6 3 2 2 2 2 3" xfId="34734"/>
    <cellStyle name="Tabelstandaard Totaal Negatief 6 3 2 2 2 2 4" xfId="42297"/>
    <cellStyle name="Tabelstandaard Totaal Negatief 6 3 2 2 2 2 5" xfId="55349"/>
    <cellStyle name="Tabelstandaard Totaal Negatief 6 3 2 2 2 3" xfId="16342"/>
    <cellStyle name="Tabelstandaard Totaal Negatief 6 3 2 2 2 4" xfId="28394"/>
    <cellStyle name="Tabelstandaard Totaal Negatief 6 3 2 2 2 5" xfId="44928"/>
    <cellStyle name="Tabelstandaard Totaal Negatief 6 3 2 2 2 6" xfId="49461"/>
    <cellStyle name="Tabelstandaard Totaal Negatief 6 3 2 2 2 7" xfId="5734"/>
    <cellStyle name="Tabelstandaard Totaal Negatief 6 3 2 2 3" xfId="2846"/>
    <cellStyle name="Tabelstandaard Totaal Negatief 6 3 2 2 3 2" xfId="16343"/>
    <cellStyle name="Tabelstandaard Totaal Negatief 6 3 2 2 3 3" xfId="28395"/>
    <cellStyle name="Tabelstandaard Totaal Negatief 6 3 2 2 3 4" xfId="38896"/>
    <cellStyle name="Tabelstandaard Totaal Negatief 6 3 2 2 3 5" xfId="49462"/>
    <cellStyle name="Tabelstandaard Totaal Negatief 6 3 2 2 4" xfId="10110"/>
    <cellStyle name="Tabelstandaard Totaal Negatief 6 3 2 2 4 2" xfId="22408"/>
    <cellStyle name="Tabelstandaard Totaal Negatief 6 3 2 2 4 3" xfId="44172"/>
    <cellStyle name="Tabelstandaard Totaal Negatief 6 3 2 2 4 4" xfId="42411"/>
    <cellStyle name="Tabelstandaard Totaal Negatief 6 3 2 2 4 5" xfId="55075"/>
    <cellStyle name="Tabelstandaard Totaal Negatief 6 3 2 2 5" xfId="16341"/>
    <cellStyle name="Tabelstandaard Totaal Negatief 6 3 2 3" xfId="1347"/>
    <cellStyle name="Tabelstandaard Totaal Negatief 6 3 2 3 2" xfId="3358"/>
    <cellStyle name="Tabelstandaard Totaal Negatief 6 3 2 3 2 2" xfId="10386"/>
    <cellStyle name="Tabelstandaard Totaal Negatief 6 3 2 3 2 2 2" xfId="22684"/>
    <cellStyle name="Tabelstandaard Totaal Negatief 6 3 2 3 2 2 3" xfId="34736"/>
    <cellStyle name="Tabelstandaard Totaal Negatief 6 3 2 3 2 2 4" xfId="42296"/>
    <cellStyle name="Tabelstandaard Totaal Negatief 6 3 2 3 2 2 5" xfId="55351"/>
    <cellStyle name="Tabelstandaard Totaal Negatief 6 3 2 3 2 3" xfId="16345"/>
    <cellStyle name="Tabelstandaard Totaal Negatief 6 3 2 3 2 4" xfId="28397"/>
    <cellStyle name="Tabelstandaard Totaal Negatief 6 3 2 3 2 5" xfId="38895"/>
    <cellStyle name="Tabelstandaard Totaal Negatief 6 3 2 3 2 6" xfId="49463"/>
    <cellStyle name="Tabelstandaard Totaal Negatief 6 3 2 3 3" xfId="5735"/>
    <cellStyle name="Tabelstandaard Totaal Negatief 6 3 2 3 3 2" xfId="16346"/>
    <cellStyle name="Tabelstandaard Totaal Negatief 6 3 2 3 3 3" xfId="28398"/>
    <cellStyle name="Tabelstandaard Totaal Negatief 6 3 2 3 3 4" xfId="44926"/>
    <cellStyle name="Tabelstandaard Totaal Negatief 6 3 2 3 3 5" xfId="49464"/>
    <cellStyle name="Tabelstandaard Totaal Negatief 6 3 2 3 4" xfId="7035"/>
    <cellStyle name="Tabelstandaard Totaal Negatief 6 3 2 3 4 2" xfId="19333"/>
    <cellStyle name="Tabelstandaard Totaal Negatief 6 3 2 3 4 3" xfId="41136"/>
    <cellStyle name="Tabelstandaard Totaal Negatief 6 3 2 3 4 4" xfId="43677"/>
    <cellStyle name="Tabelstandaard Totaal Negatief 6 3 2 3 4 5" xfId="52006"/>
    <cellStyle name="Tabelstandaard Totaal Negatief 6 3 2 3 5" xfId="16344"/>
    <cellStyle name="Tabelstandaard Totaal Negatief 6 3 2 4" xfId="2349"/>
    <cellStyle name="Tabelstandaard Totaal Negatief 6 3 2 4 2" xfId="10387"/>
    <cellStyle name="Tabelstandaard Totaal Negatief 6 3 2 4 2 2" xfId="22685"/>
    <cellStyle name="Tabelstandaard Totaal Negatief 6 3 2 4 2 3" xfId="34737"/>
    <cellStyle name="Tabelstandaard Totaal Negatief 6 3 2 4 2 4" xfId="31939"/>
    <cellStyle name="Tabelstandaard Totaal Negatief 6 3 2 4 2 5" xfId="55352"/>
    <cellStyle name="Tabelstandaard Totaal Negatief 6 3 2 4 3" xfId="16347"/>
    <cellStyle name="Tabelstandaard Totaal Negatief 6 3 2 4 4" xfId="28399"/>
    <cellStyle name="Tabelstandaard Totaal Negatief 6 3 2 4 5" xfId="38894"/>
    <cellStyle name="Tabelstandaard Totaal Negatief 6 3 2 4 6" xfId="49465"/>
    <cellStyle name="Tabelstandaard Totaal Negatief 6 3 2 5" xfId="5736"/>
    <cellStyle name="Tabelstandaard Totaal Negatief 6 3 2 5 2" xfId="16348"/>
    <cellStyle name="Tabelstandaard Totaal Negatief 6 3 2 5 3" xfId="28400"/>
    <cellStyle name="Tabelstandaard Totaal Negatief 6 3 2 5 4" xfId="38893"/>
    <cellStyle name="Tabelstandaard Totaal Negatief 6 3 2 5 5" xfId="49466"/>
    <cellStyle name="Tabelstandaard Totaal Negatief 6 3 2 6" xfId="10401"/>
    <cellStyle name="Tabelstandaard Totaal Negatief 6 3 2 6 2" xfId="22699"/>
    <cellStyle name="Tabelstandaard Totaal Negatief 6 3 2 6 3" xfId="44459"/>
    <cellStyle name="Tabelstandaard Totaal Negatief 6 3 2 6 4" xfId="32105"/>
    <cellStyle name="Tabelstandaard Totaal Negatief 6 3 2 6 5" xfId="55366"/>
    <cellStyle name="Tabelstandaard Totaal Negatief 6 3 2 7" xfId="16340"/>
    <cellStyle name="Tabelstandaard Totaal Negatief 6 3 3" xfId="5737"/>
    <cellStyle name="Tabelstandaard Totaal Negatief 6 3 3 2" xfId="10388"/>
    <cellStyle name="Tabelstandaard Totaal Negatief 6 3 3 2 2" xfId="22686"/>
    <cellStyle name="Tabelstandaard Totaal Negatief 6 3 3 2 3" xfId="34738"/>
    <cellStyle name="Tabelstandaard Totaal Negatief 6 3 3 2 4" xfId="42295"/>
    <cellStyle name="Tabelstandaard Totaal Negatief 6 3 3 2 5" xfId="55353"/>
    <cellStyle name="Tabelstandaard Totaal Negatief 6 3 3 3" xfId="16349"/>
    <cellStyle name="Tabelstandaard Totaal Negatief 6 3 3 4" xfId="28401"/>
    <cellStyle name="Tabelstandaard Totaal Negatief 6 3 3 5" xfId="38892"/>
    <cellStyle name="Tabelstandaard Totaal Negatief 6 3 3 6" xfId="49467"/>
    <cellStyle name="Tabelstandaard Totaal Negatief 6 3 4" xfId="5738"/>
    <cellStyle name="Tabelstandaard Totaal Negatief 6 3 4 2" xfId="16350"/>
    <cellStyle name="Tabelstandaard Totaal Negatief 6 3 4 3" xfId="28402"/>
    <cellStyle name="Tabelstandaard Totaal Negatief 6 3 4 4" xfId="44925"/>
    <cellStyle name="Tabelstandaard Totaal Negatief 6 3 4 5" xfId="49468"/>
    <cellStyle name="Tabelstandaard Totaal Negatief 6 3 5" xfId="7735"/>
    <cellStyle name="Tabelstandaard Totaal Negatief 6 3 5 2" xfId="20033"/>
    <cellStyle name="Tabelstandaard Totaal Negatief 6 3 5 3" xfId="41836"/>
    <cellStyle name="Tabelstandaard Totaal Negatief 6 3 5 4" xfId="34241"/>
    <cellStyle name="Tabelstandaard Totaal Negatief 6 3 5 5" xfId="52705"/>
    <cellStyle name="Tabelstandaard Totaal Negatief 6 3 6" xfId="16339"/>
    <cellStyle name="Tabelstandaard Totaal Negatief 6 4" xfId="1101"/>
    <cellStyle name="Tabelstandaard Totaal Negatief 6 4 2" xfId="1503"/>
    <cellStyle name="Tabelstandaard Totaal Negatief 6 4 2 2" xfId="10390"/>
    <cellStyle name="Tabelstandaard Totaal Negatief 6 4 2 2 2" xfId="22688"/>
    <cellStyle name="Tabelstandaard Totaal Negatief 6 4 2 2 3" xfId="34740"/>
    <cellStyle name="Tabelstandaard Totaal Negatief 6 4 2 2 4" xfId="31747"/>
    <cellStyle name="Tabelstandaard Totaal Negatief 6 4 2 2 5" xfId="55355"/>
    <cellStyle name="Tabelstandaard Totaal Negatief 6 4 2 3" xfId="16352"/>
    <cellStyle name="Tabelstandaard Totaal Negatief 6 4 2 4" xfId="28404"/>
    <cellStyle name="Tabelstandaard Totaal Negatief 6 4 2 5" xfId="44924"/>
    <cellStyle name="Tabelstandaard Totaal Negatief 6 4 2 6" xfId="49469"/>
    <cellStyle name="Tabelstandaard Totaal Negatief 6 4 2 7" xfId="5739"/>
    <cellStyle name="Tabelstandaard Totaal Negatief 6 4 3" xfId="3112"/>
    <cellStyle name="Tabelstandaard Totaal Negatief 6 4 3 2" xfId="16353"/>
    <cellStyle name="Tabelstandaard Totaal Negatief 6 4 3 3" xfId="28405"/>
    <cellStyle name="Tabelstandaard Totaal Negatief 6 4 3 4" xfId="38890"/>
    <cellStyle name="Tabelstandaard Totaal Negatief 6 4 3 5" xfId="49470"/>
    <cellStyle name="Tabelstandaard Totaal Negatief 6 4 4" xfId="7242"/>
    <cellStyle name="Tabelstandaard Totaal Negatief 6 4 4 2" xfId="19540"/>
    <cellStyle name="Tabelstandaard Totaal Negatief 6 4 4 3" xfId="41343"/>
    <cellStyle name="Tabelstandaard Totaal Negatief 6 4 4 4" xfId="43591"/>
    <cellStyle name="Tabelstandaard Totaal Negatief 6 4 4 5" xfId="52212"/>
    <cellStyle name="Tabelstandaard Totaal Negatief 6 4 5" xfId="16351"/>
    <cellStyle name="Tabelstandaard Totaal Negatief 6 5" xfId="1981"/>
    <cellStyle name="Tabelstandaard Totaal Negatief 6 5 2" xfId="10391"/>
    <cellStyle name="Tabelstandaard Totaal Negatief 6 5 2 2" xfId="22689"/>
    <cellStyle name="Tabelstandaard Totaal Negatief 6 5 2 3" xfId="34741"/>
    <cellStyle name="Tabelstandaard Totaal Negatief 6 5 2 4" xfId="29207"/>
    <cellStyle name="Tabelstandaard Totaal Negatief 6 5 2 5" xfId="55356"/>
    <cellStyle name="Tabelstandaard Totaal Negatief 6 5 3" xfId="16354"/>
    <cellStyle name="Tabelstandaard Totaal Negatief 6 5 4" xfId="28406"/>
    <cellStyle name="Tabelstandaard Totaal Negatief 6 5 5" xfId="44923"/>
    <cellStyle name="Tabelstandaard Totaal Negatief 6 5 6" xfId="49471"/>
    <cellStyle name="Tabelstandaard Totaal Negatief 6 6" xfId="5740"/>
    <cellStyle name="Tabelstandaard Totaal Negatief 6 6 2" xfId="16355"/>
    <cellStyle name="Tabelstandaard Totaal Negatief 6 6 3" xfId="28407"/>
    <cellStyle name="Tabelstandaard Totaal Negatief 6 6 4" xfId="38889"/>
    <cellStyle name="Tabelstandaard Totaal Negatief 6 6 5" xfId="49472"/>
    <cellStyle name="Tabelstandaard Totaal Negatief 6 7" xfId="7777"/>
    <cellStyle name="Tabelstandaard Totaal Negatief 6 7 2" xfId="20075"/>
    <cellStyle name="Tabelstandaard Totaal Negatief 6 7 3" xfId="41878"/>
    <cellStyle name="Tabelstandaard Totaal Negatief 6 7 4" xfId="31508"/>
    <cellStyle name="Tabelstandaard Totaal Negatief 6 7 5" xfId="52747"/>
    <cellStyle name="Tabelstandaard Totaal Negatief 6 8" xfId="16326"/>
    <cellStyle name="Tabelstandaard Totaal Negatief 7" xfId="718"/>
    <cellStyle name="Tabelstandaard Totaal Negatief 7 2" xfId="533"/>
    <cellStyle name="Tabelstandaard Totaal Negatief 7 2 2" xfId="2198"/>
    <cellStyle name="Tabelstandaard Totaal Negatief 7 2 2 2" xfId="10394"/>
    <cellStyle name="Tabelstandaard Totaal Negatief 7 2 2 2 2" xfId="22692"/>
    <cellStyle name="Tabelstandaard Totaal Negatief 7 2 2 2 3" xfId="34744"/>
    <cellStyle name="Tabelstandaard Totaal Negatief 7 2 2 2 4" xfId="42293"/>
    <cellStyle name="Tabelstandaard Totaal Negatief 7 2 2 2 5" xfId="55359"/>
    <cellStyle name="Tabelstandaard Totaal Negatief 7 2 2 3" xfId="16358"/>
    <cellStyle name="Tabelstandaard Totaal Negatief 7 2 2 4" xfId="28410"/>
    <cellStyle name="Tabelstandaard Totaal Negatief 7 2 2 5" xfId="44921"/>
    <cellStyle name="Tabelstandaard Totaal Negatief 7 2 2 6" xfId="49473"/>
    <cellStyle name="Tabelstandaard Totaal Negatief 7 2 2 7" xfId="5741"/>
    <cellStyle name="Tabelstandaard Totaal Negatief 7 2 3" xfId="2604"/>
    <cellStyle name="Tabelstandaard Totaal Negatief 7 2 3 2" xfId="16359"/>
    <cellStyle name="Tabelstandaard Totaal Negatief 7 2 3 3" xfId="28411"/>
    <cellStyle name="Tabelstandaard Totaal Negatief 7 2 3 4" xfId="38887"/>
    <cellStyle name="Tabelstandaard Totaal Negatief 7 2 3 5" xfId="49474"/>
    <cellStyle name="Tabelstandaard Totaal Negatief 7 2 4" xfId="7627"/>
    <cellStyle name="Tabelstandaard Totaal Negatief 7 2 4 2" xfId="19925"/>
    <cellStyle name="Tabelstandaard Totaal Negatief 7 2 4 3" xfId="41728"/>
    <cellStyle name="Tabelstandaard Totaal Negatief 7 2 4 4" xfId="34310"/>
    <cellStyle name="Tabelstandaard Totaal Negatief 7 2 4 5" xfId="52597"/>
    <cellStyle name="Tabelstandaard Totaal Negatief 7 2 5" xfId="16357"/>
    <cellStyle name="Tabelstandaard Totaal Negatief 7 3" xfId="1983"/>
    <cellStyle name="Tabelstandaard Totaal Negatief 7 3 2" xfId="10395"/>
    <cellStyle name="Tabelstandaard Totaal Negatief 7 3 2 2" xfId="22693"/>
    <cellStyle name="Tabelstandaard Totaal Negatief 7 3 2 3" xfId="34745"/>
    <cellStyle name="Tabelstandaard Totaal Negatief 7 3 2 4" xfId="29214"/>
    <cellStyle name="Tabelstandaard Totaal Negatief 7 3 2 5" xfId="55360"/>
    <cellStyle name="Tabelstandaard Totaal Negatief 7 3 3" xfId="16360"/>
    <cellStyle name="Tabelstandaard Totaal Negatief 7 3 4" xfId="28412"/>
    <cellStyle name="Tabelstandaard Totaal Negatief 7 3 5" xfId="38886"/>
    <cellStyle name="Tabelstandaard Totaal Negatief 7 3 6" xfId="49475"/>
    <cellStyle name="Tabelstandaard Totaal Negatief 7 4" xfId="5742"/>
    <cellStyle name="Tabelstandaard Totaal Negatief 7 4 2" xfId="16361"/>
    <cellStyle name="Tabelstandaard Totaal Negatief 7 4 3" xfId="28413"/>
    <cellStyle name="Tabelstandaard Totaal Negatief 7 4 4" xfId="38885"/>
    <cellStyle name="Tabelstandaard Totaal Negatief 7 4 5" xfId="49476"/>
    <cellStyle name="Tabelstandaard Totaal Negatief 7 5" xfId="10192"/>
    <cellStyle name="Tabelstandaard Totaal Negatief 7 5 2" xfId="22490"/>
    <cellStyle name="Tabelstandaard Totaal Negatief 7 5 3" xfId="44253"/>
    <cellStyle name="Tabelstandaard Totaal Negatief 7 5 4" xfId="28798"/>
    <cellStyle name="Tabelstandaard Totaal Negatief 7 5 5" xfId="55157"/>
    <cellStyle name="Tabelstandaard Totaal Negatief 7 6" xfId="16356"/>
    <cellStyle name="Tabelstandaard Totaal Negatief 8" xfId="721"/>
    <cellStyle name="Tabelstandaard Totaal Negatief 8 2" xfId="680"/>
    <cellStyle name="Tabelstandaard Totaal Negatief 8 2 2" xfId="1523"/>
    <cellStyle name="Tabelstandaard Totaal Negatief 8 2 2 2" xfId="10398"/>
    <cellStyle name="Tabelstandaard Totaal Negatief 8 2 2 2 2" xfId="22696"/>
    <cellStyle name="Tabelstandaard Totaal Negatief 8 2 2 2 3" xfId="34748"/>
    <cellStyle name="Tabelstandaard Totaal Negatief 8 2 2 2 4" xfId="42291"/>
    <cellStyle name="Tabelstandaard Totaal Negatief 8 2 2 2 5" xfId="55363"/>
    <cellStyle name="Tabelstandaard Totaal Negatief 8 2 2 3" xfId="16364"/>
    <cellStyle name="Tabelstandaard Totaal Negatief 8 2 2 4" xfId="28416"/>
    <cellStyle name="Tabelstandaard Totaal Negatief 8 2 2 5" xfId="44919"/>
    <cellStyle name="Tabelstandaard Totaal Negatief 8 2 2 6" xfId="49477"/>
    <cellStyle name="Tabelstandaard Totaal Negatief 8 2 2 7" xfId="5743"/>
    <cellStyle name="Tabelstandaard Totaal Negatief 8 2 3" xfId="2746"/>
    <cellStyle name="Tabelstandaard Totaal Negatief 8 2 3 2" xfId="16365"/>
    <cellStyle name="Tabelstandaard Totaal Negatief 8 2 3 3" xfId="28417"/>
    <cellStyle name="Tabelstandaard Totaal Negatief 8 2 3 4" xfId="38883"/>
    <cellStyle name="Tabelstandaard Totaal Negatief 8 2 3 5" xfId="49478"/>
    <cellStyle name="Tabelstandaard Totaal Negatief 8 2 4" xfId="7529"/>
    <cellStyle name="Tabelstandaard Totaal Negatief 8 2 4 2" xfId="19827"/>
    <cellStyle name="Tabelstandaard Totaal Negatief 8 2 4 3" xfId="41630"/>
    <cellStyle name="Tabelstandaard Totaal Negatief 8 2 4 4" xfId="12515"/>
    <cellStyle name="Tabelstandaard Totaal Negatief 8 2 4 5" xfId="52499"/>
    <cellStyle name="Tabelstandaard Totaal Negatief 8 2 5" xfId="16363"/>
    <cellStyle name="Tabelstandaard Totaal Negatief 8 3" xfId="1791"/>
    <cellStyle name="Tabelstandaard Totaal Negatief 8 3 2" xfId="10399"/>
    <cellStyle name="Tabelstandaard Totaal Negatief 8 3 2 2" xfId="22697"/>
    <cellStyle name="Tabelstandaard Totaal Negatief 8 3 2 3" xfId="34749"/>
    <cellStyle name="Tabelstandaard Totaal Negatief 8 3 2 4" xfId="29221"/>
    <cellStyle name="Tabelstandaard Totaal Negatief 8 3 2 5" xfId="55364"/>
    <cellStyle name="Tabelstandaard Totaal Negatief 8 3 3" xfId="16366"/>
    <cellStyle name="Tabelstandaard Totaal Negatief 8 3 4" xfId="28418"/>
    <cellStyle name="Tabelstandaard Totaal Negatief 8 3 5" xfId="38882"/>
    <cellStyle name="Tabelstandaard Totaal Negatief 8 3 6" xfId="49479"/>
    <cellStyle name="Tabelstandaard Totaal Negatief 8 4" xfId="5744"/>
    <cellStyle name="Tabelstandaard Totaal Negatief 8 4 2" xfId="16367"/>
    <cellStyle name="Tabelstandaard Totaal Negatief 8 4 3" xfId="28419"/>
    <cellStyle name="Tabelstandaard Totaal Negatief 8 4 4" xfId="44918"/>
    <cellStyle name="Tabelstandaard Totaal Negatief 8 4 5" xfId="49480"/>
    <cellStyle name="Tabelstandaard Totaal Negatief 8 5" xfId="7499"/>
    <cellStyle name="Tabelstandaard Totaal Negatief 8 5 2" xfId="19797"/>
    <cellStyle name="Tabelstandaard Totaal Negatief 8 5 3" xfId="41600"/>
    <cellStyle name="Tabelstandaard Totaal Negatief 8 5 4" xfId="31705"/>
    <cellStyle name="Tabelstandaard Totaal Negatief 8 5 5" xfId="52469"/>
    <cellStyle name="Tabelstandaard Totaal Negatief 8 6" xfId="16362"/>
    <cellStyle name="Tabelstandaard Totaal Negatief 9" xfId="700"/>
    <cellStyle name="Tabelstandaard Totaal Negatief 9 2" xfId="830"/>
    <cellStyle name="Tabelstandaard Totaal Negatief 9 2 2" xfId="1569"/>
    <cellStyle name="Tabelstandaard Totaal Negatief 9 2 2 2" xfId="10402"/>
    <cellStyle name="Tabelstandaard Totaal Negatief 9 2 2 2 2" xfId="22700"/>
    <cellStyle name="Tabelstandaard Totaal Negatief 9 2 2 2 3" xfId="34752"/>
    <cellStyle name="Tabelstandaard Totaal Negatief 9 2 2 2 4" xfId="29228"/>
    <cellStyle name="Tabelstandaard Totaal Negatief 9 2 2 2 5" xfId="55367"/>
    <cellStyle name="Tabelstandaard Totaal Negatief 9 2 2 3" xfId="16370"/>
    <cellStyle name="Tabelstandaard Totaal Negatief 9 2 2 4" xfId="28422"/>
    <cellStyle name="Tabelstandaard Totaal Negatief 9 2 2 5" xfId="38880"/>
    <cellStyle name="Tabelstandaard Totaal Negatief 9 2 2 6" xfId="49481"/>
    <cellStyle name="Tabelstandaard Totaal Negatief 9 2 2 7" xfId="5745"/>
    <cellStyle name="Tabelstandaard Totaal Negatief 9 2 3" xfId="2841"/>
    <cellStyle name="Tabelstandaard Totaal Negatief 9 2 3 2" xfId="16371"/>
    <cellStyle name="Tabelstandaard Totaal Negatief 9 2 3 3" xfId="28423"/>
    <cellStyle name="Tabelstandaard Totaal Negatief 9 2 3 4" xfId="44916"/>
    <cellStyle name="Tabelstandaard Totaal Negatief 9 2 3 5" xfId="49482"/>
    <cellStyle name="Tabelstandaard Totaal Negatief 9 2 4" xfId="7427"/>
    <cellStyle name="Tabelstandaard Totaal Negatief 9 2 4 2" xfId="19725"/>
    <cellStyle name="Tabelstandaard Totaal Negatief 9 2 4 3" xfId="41528"/>
    <cellStyle name="Tabelstandaard Totaal Negatief 9 2 4 4" xfId="15562"/>
    <cellStyle name="Tabelstandaard Totaal Negatief 9 2 4 5" xfId="52397"/>
    <cellStyle name="Tabelstandaard Totaal Negatief 9 2 5" xfId="16369"/>
    <cellStyle name="Tabelstandaard Totaal Negatief 9 3" xfId="1611"/>
    <cellStyle name="Tabelstandaard Totaal Negatief 9 3 2" xfId="10403"/>
    <cellStyle name="Tabelstandaard Totaal Negatief 9 3 2 2" xfId="22701"/>
    <cellStyle name="Tabelstandaard Totaal Negatief 9 3 2 3" xfId="34753"/>
    <cellStyle name="Tabelstandaard Totaal Negatief 9 3 2 4" xfId="31917"/>
    <cellStyle name="Tabelstandaard Totaal Negatief 9 3 2 5" xfId="55368"/>
    <cellStyle name="Tabelstandaard Totaal Negatief 9 3 3" xfId="16372"/>
    <cellStyle name="Tabelstandaard Totaal Negatief 9 3 4" xfId="28424"/>
    <cellStyle name="Tabelstandaard Totaal Negatief 9 3 5" xfId="38879"/>
    <cellStyle name="Tabelstandaard Totaal Negatief 9 3 6" xfId="49483"/>
    <cellStyle name="Tabelstandaard Totaal Negatief 9 4" xfId="5746"/>
    <cellStyle name="Tabelstandaard Totaal Negatief 9 4 2" xfId="16373"/>
    <cellStyle name="Tabelstandaard Totaal Negatief 9 4 3" xfId="28425"/>
    <cellStyle name="Tabelstandaard Totaal Negatief 9 4 4" xfId="38878"/>
    <cellStyle name="Tabelstandaard Totaal Negatief 9 4 5" xfId="49484"/>
    <cellStyle name="Tabelstandaard Totaal Negatief 9 5" xfId="10204"/>
    <cellStyle name="Tabelstandaard Totaal Negatief 9 5 2" xfId="22502"/>
    <cellStyle name="Tabelstandaard Totaal Negatief 9 5 3" xfId="44265"/>
    <cellStyle name="Tabelstandaard Totaal Negatief 9 5 4" xfId="42372"/>
    <cellStyle name="Tabelstandaard Totaal Negatief 9 5 5" xfId="55169"/>
    <cellStyle name="Tabelstandaard Totaal Negatief 9 6" xfId="16368"/>
    <cellStyle name="Tabelstandaard Totaal_1077029755_GGZ-01c nacalculatieformulier ribw 2003 versie 040217(1)" xfId="120"/>
    <cellStyle name="Tabelstandaard_1077029755_GGZ-01c nacalculatieformulier ribw 2003 versie 040217(1)" xfId="121"/>
    <cellStyle name="Table  - Opmaakprofiel6" xfId="122"/>
    <cellStyle name="Table  - Opmaakprofiel6 10" xfId="5747"/>
    <cellStyle name="Table  - Opmaakprofiel6 10 2" xfId="16376"/>
    <cellStyle name="Table  - Opmaakprofiel6 10 3" xfId="28428"/>
    <cellStyle name="Table  - Opmaakprofiel6 10 4" xfId="38876"/>
    <cellStyle name="Table  - Opmaakprofiel6 10 5" xfId="49485"/>
    <cellStyle name="Table  - Opmaakprofiel6 11" xfId="7790"/>
    <cellStyle name="Table  - Opmaakprofiel6 11 2" xfId="20088"/>
    <cellStyle name="Table  - Opmaakprofiel6 11 3" xfId="41891"/>
    <cellStyle name="Table  - Opmaakprofiel6 11 4" xfId="43362"/>
    <cellStyle name="Table  - Opmaakprofiel6 11 5" xfId="52759"/>
    <cellStyle name="Table  - Opmaakprofiel6 12" xfId="16375"/>
    <cellStyle name="Table  - Opmaakprofiel6 13" xfId="163"/>
    <cellStyle name="Table  - Opmaakprofiel6 2" xfId="138"/>
    <cellStyle name="Table  - Opmaakprofiel6 2 10" xfId="720"/>
    <cellStyle name="Table  - Opmaakprofiel6 2 10 10" xfId="5748"/>
    <cellStyle name="Table  - Opmaakprofiel6 2 10 10 2" xfId="10405"/>
    <cellStyle name="Table  - Opmaakprofiel6 2 10 10 2 2" xfId="22703"/>
    <cellStyle name="Table  - Opmaakprofiel6 2 10 10 2 3" xfId="34755"/>
    <cellStyle name="Table  - Opmaakprofiel6 2 10 10 2 4" xfId="29235"/>
    <cellStyle name="Table  - Opmaakprofiel6 2 10 10 2 5" xfId="55370"/>
    <cellStyle name="Table  - Opmaakprofiel6 2 10 10 3" xfId="16379"/>
    <cellStyle name="Table  - Opmaakprofiel6 2 10 10 4" xfId="28431"/>
    <cellStyle name="Table  - Opmaakprofiel6 2 10 10 5" xfId="44914"/>
    <cellStyle name="Table  - Opmaakprofiel6 2 10 10 6" xfId="49486"/>
    <cellStyle name="Table  - Opmaakprofiel6 2 10 11" xfId="5749"/>
    <cellStyle name="Table  - Opmaakprofiel6 2 10 11 2" xfId="10406"/>
    <cellStyle name="Table  - Opmaakprofiel6 2 10 11 2 2" xfId="22704"/>
    <cellStyle name="Table  - Opmaakprofiel6 2 10 11 2 3" xfId="34756"/>
    <cellStyle name="Table  - Opmaakprofiel6 2 10 11 2 4" xfId="42288"/>
    <cellStyle name="Table  - Opmaakprofiel6 2 10 11 2 5" xfId="55371"/>
    <cellStyle name="Table  - Opmaakprofiel6 2 10 11 3" xfId="16380"/>
    <cellStyle name="Table  - Opmaakprofiel6 2 10 11 4" xfId="28432"/>
    <cellStyle name="Table  - Opmaakprofiel6 2 10 11 5" xfId="38874"/>
    <cellStyle name="Table  - Opmaakprofiel6 2 10 11 6" xfId="49487"/>
    <cellStyle name="Table  - Opmaakprofiel6 2 10 12" xfId="5750"/>
    <cellStyle name="Table  - Opmaakprofiel6 2 10 12 2" xfId="16381"/>
    <cellStyle name="Table  - Opmaakprofiel6 2 10 12 3" xfId="28433"/>
    <cellStyle name="Table  - Opmaakprofiel6 2 10 12 4" xfId="44913"/>
    <cellStyle name="Table  - Opmaakprofiel6 2 10 12 5" xfId="49488"/>
    <cellStyle name="Table  - Opmaakprofiel6 2 10 13" xfId="7500"/>
    <cellStyle name="Table  - Opmaakprofiel6 2 10 13 2" xfId="19798"/>
    <cellStyle name="Table  - Opmaakprofiel6 2 10 13 3" xfId="41601"/>
    <cellStyle name="Table  - Opmaakprofiel6 2 10 13 4" xfId="43483"/>
    <cellStyle name="Table  - Opmaakprofiel6 2 10 13 5" xfId="52470"/>
    <cellStyle name="Table  - Opmaakprofiel6 2 10 14" xfId="16378"/>
    <cellStyle name="Table  - Opmaakprofiel6 2 10 2" xfId="892"/>
    <cellStyle name="Table  - Opmaakprofiel6 2 10 2 2" xfId="1799"/>
    <cellStyle name="Table  - Opmaakprofiel6 2 10 2 2 2" xfId="10407"/>
    <cellStyle name="Table  - Opmaakprofiel6 2 10 2 2 2 2" xfId="22705"/>
    <cellStyle name="Table  - Opmaakprofiel6 2 10 2 2 2 3" xfId="34757"/>
    <cellStyle name="Table  - Opmaakprofiel6 2 10 2 2 2 4" xfId="34723"/>
    <cellStyle name="Table  - Opmaakprofiel6 2 10 2 2 2 5" xfId="55372"/>
    <cellStyle name="Table  - Opmaakprofiel6 2 10 2 2 3" xfId="16383"/>
    <cellStyle name="Table  - Opmaakprofiel6 2 10 2 2 4" xfId="28435"/>
    <cellStyle name="Table  - Opmaakprofiel6 2 10 2 2 5" xfId="38872"/>
    <cellStyle name="Table  - Opmaakprofiel6 2 10 2 2 6" xfId="49489"/>
    <cellStyle name="Table  - Opmaakprofiel6 2 10 2 3" xfId="2903"/>
    <cellStyle name="Table  - Opmaakprofiel6 2 10 2 3 2" xfId="10408"/>
    <cellStyle name="Table  - Opmaakprofiel6 2 10 2 3 2 2" xfId="22706"/>
    <cellStyle name="Table  - Opmaakprofiel6 2 10 2 3 2 3" xfId="34758"/>
    <cellStyle name="Table  - Opmaakprofiel6 2 10 2 3 2 4" xfId="29242"/>
    <cellStyle name="Table  - Opmaakprofiel6 2 10 2 3 2 5" xfId="55373"/>
    <cellStyle name="Table  - Opmaakprofiel6 2 10 2 3 3" xfId="16384"/>
    <cellStyle name="Table  - Opmaakprofiel6 2 10 2 3 4" xfId="28436"/>
    <cellStyle name="Table  - Opmaakprofiel6 2 10 2 3 5" xfId="38871"/>
    <cellStyle name="Table  - Opmaakprofiel6 2 10 2 3 6" xfId="49490"/>
    <cellStyle name="Table  - Opmaakprofiel6 2 10 2 4" xfId="3756"/>
    <cellStyle name="Table  - Opmaakprofiel6 2 10 2 4 2" xfId="10409"/>
    <cellStyle name="Table  - Opmaakprofiel6 2 10 2 4 2 2" xfId="22707"/>
    <cellStyle name="Table  - Opmaakprofiel6 2 10 2 4 2 3" xfId="34759"/>
    <cellStyle name="Table  - Opmaakprofiel6 2 10 2 4 2 4" xfId="31950"/>
    <cellStyle name="Table  - Opmaakprofiel6 2 10 2 4 2 5" xfId="55374"/>
    <cellStyle name="Table  - Opmaakprofiel6 2 10 2 4 3" xfId="16385"/>
    <cellStyle name="Table  - Opmaakprofiel6 2 10 2 4 4" xfId="28437"/>
    <cellStyle name="Table  - Opmaakprofiel6 2 10 2 4 5" xfId="44912"/>
    <cellStyle name="Table  - Opmaakprofiel6 2 10 2 4 6" xfId="49491"/>
    <cellStyle name="Table  - Opmaakprofiel6 2 10 2 5" xfId="5751"/>
    <cellStyle name="Table  - Opmaakprofiel6 2 10 2 5 2" xfId="10410"/>
    <cellStyle name="Table  - Opmaakprofiel6 2 10 2 5 2 2" xfId="22708"/>
    <cellStyle name="Table  - Opmaakprofiel6 2 10 2 5 2 3" xfId="34760"/>
    <cellStyle name="Table  - Opmaakprofiel6 2 10 2 5 2 4" xfId="42287"/>
    <cellStyle name="Table  - Opmaakprofiel6 2 10 2 5 2 5" xfId="55375"/>
    <cellStyle name="Table  - Opmaakprofiel6 2 10 2 5 3" xfId="16386"/>
    <cellStyle name="Table  - Opmaakprofiel6 2 10 2 5 4" xfId="28438"/>
    <cellStyle name="Table  - Opmaakprofiel6 2 10 2 5 5" xfId="38870"/>
    <cellStyle name="Table  - Opmaakprofiel6 2 10 2 5 6" xfId="49492"/>
    <cellStyle name="Table  - Opmaakprofiel6 2 10 2 6" xfId="5752"/>
    <cellStyle name="Table  - Opmaakprofiel6 2 10 2 6 2" xfId="10411"/>
    <cellStyle name="Table  - Opmaakprofiel6 2 10 2 6 2 2" xfId="22709"/>
    <cellStyle name="Table  - Opmaakprofiel6 2 10 2 6 2 3" xfId="34761"/>
    <cellStyle name="Table  - Opmaakprofiel6 2 10 2 6 2 4" xfId="29249"/>
    <cellStyle name="Table  - Opmaakprofiel6 2 10 2 6 2 5" xfId="55376"/>
    <cellStyle name="Table  - Opmaakprofiel6 2 10 2 6 3" xfId="16387"/>
    <cellStyle name="Table  - Opmaakprofiel6 2 10 2 6 4" xfId="28439"/>
    <cellStyle name="Table  - Opmaakprofiel6 2 10 2 6 5" xfId="44911"/>
    <cellStyle name="Table  - Opmaakprofiel6 2 10 2 6 6" xfId="49493"/>
    <cellStyle name="Table  - Opmaakprofiel6 2 10 2 7" xfId="5753"/>
    <cellStyle name="Table  - Opmaakprofiel6 2 10 2 7 2" xfId="16388"/>
    <cellStyle name="Table  - Opmaakprofiel6 2 10 2 7 3" xfId="28440"/>
    <cellStyle name="Table  - Opmaakprofiel6 2 10 2 7 4" xfId="38869"/>
    <cellStyle name="Table  - Opmaakprofiel6 2 10 2 7 5" xfId="49494"/>
    <cellStyle name="Table  - Opmaakprofiel6 2 10 2 8" xfId="10056"/>
    <cellStyle name="Table  - Opmaakprofiel6 2 10 2 8 2" xfId="22354"/>
    <cellStyle name="Table  - Opmaakprofiel6 2 10 2 8 3" xfId="44118"/>
    <cellStyle name="Table  - Opmaakprofiel6 2 10 2 8 4" xfId="42434"/>
    <cellStyle name="Table  - Opmaakprofiel6 2 10 2 8 5" xfId="55021"/>
    <cellStyle name="Table  - Opmaakprofiel6 2 10 2 9" xfId="16382"/>
    <cellStyle name="Table  - Opmaakprofiel6 2 10 3" xfId="991"/>
    <cellStyle name="Table  - Opmaakprofiel6 2 10 3 2" xfId="2137"/>
    <cellStyle name="Table  - Opmaakprofiel6 2 10 3 2 2" xfId="10412"/>
    <cellStyle name="Table  - Opmaakprofiel6 2 10 3 2 2 2" xfId="22710"/>
    <cellStyle name="Table  - Opmaakprofiel6 2 10 3 2 2 3" xfId="34762"/>
    <cellStyle name="Table  - Opmaakprofiel6 2 10 3 2 2 4" xfId="42286"/>
    <cellStyle name="Table  - Opmaakprofiel6 2 10 3 2 2 5" xfId="55377"/>
    <cellStyle name="Table  - Opmaakprofiel6 2 10 3 2 3" xfId="16390"/>
    <cellStyle name="Table  - Opmaakprofiel6 2 10 3 2 4" xfId="28442"/>
    <cellStyle name="Table  - Opmaakprofiel6 2 10 3 2 5" xfId="38868"/>
    <cellStyle name="Table  - Opmaakprofiel6 2 10 3 2 6" xfId="49495"/>
    <cellStyle name="Table  - Opmaakprofiel6 2 10 3 3" xfId="3002"/>
    <cellStyle name="Table  - Opmaakprofiel6 2 10 3 3 2" xfId="10413"/>
    <cellStyle name="Table  - Opmaakprofiel6 2 10 3 3 2 2" xfId="22711"/>
    <cellStyle name="Table  - Opmaakprofiel6 2 10 3 3 2 3" xfId="34763"/>
    <cellStyle name="Table  - Opmaakprofiel6 2 10 3 3 2 4" xfId="31740"/>
    <cellStyle name="Table  - Opmaakprofiel6 2 10 3 3 2 5" xfId="55378"/>
    <cellStyle name="Table  - Opmaakprofiel6 2 10 3 3 3" xfId="16391"/>
    <cellStyle name="Table  - Opmaakprofiel6 2 10 3 3 4" xfId="28443"/>
    <cellStyle name="Table  - Opmaakprofiel6 2 10 3 3 5" xfId="44909"/>
    <cellStyle name="Table  - Opmaakprofiel6 2 10 3 3 6" xfId="49496"/>
    <cellStyle name="Table  - Opmaakprofiel6 2 10 3 4" xfId="3848"/>
    <cellStyle name="Table  - Opmaakprofiel6 2 10 3 4 2" xfId="10414"/>
    <cellStyle name="Table  - Opmaakprofiel6 2 10 3 4 2 2" xfId="22712"/>
    <cellStyle name="Table  - Opmaakprofiel6 2 10 3 4 2 3" xfId="34764"/>
    <cellStyle name="Table  - Opmaakprofiel6 2 10 3 4 2 4" xfId="42285"/>
    <cellStyle name="Table  - Opmaakprofiel6 2 10 3 4 2 5" xfId="55379"/>
    <cellStyle name="Table  - Opmaakprofiel6 2 10 3 4 3" xfId="16392"/>
    <cellStyle name="Table  - Opmaakprofiel6 2 10 3 4 4" xfId="28444"/>
    <cellStyle name="Table  - Opmaakprofiel6 2 10 3 4 5" xfId="38867"/>
    <cellStyle name="Table  - Opmaakprofiel6 2 10 3 4 6" xfId="49497"/>
    <cellStyle name="Table  - Opmaakprofiel6 2 10 3 5" xfId="5754"/>
    <cellStyle name="Table  - Opmaakprofiel6 2 10 3 5 2" xfId="10415"/>
    <cellStyle name="Table  - Opmaakprofiel6 2 10 3 5 2 2" xfId="22713"/>
    <cellStyle name="Table  - Opmaakprofiel6 2 10 3 5 2 3" xfId="34765"/>
    <cellStyle name="Table  - Opmaakprofiel6 2 10 3 5 2 4" xfId="29256"/>
    <cellStyle name="Table  - Opmaakprofiel6 2 10 3 5 2 5" xfId="55380"/>
    <cellStyle name="Table  - Opmaakprofiel6 2 10 3 5 3" xfId="16393"/>
    <cellStyle name="Table  - Opmaakprofiel6 2 10 3 5 4" xfId="28445"/>
    <cellStyle name="Table  - Opmaakprofiel6 2 10 3 5 5" xfId="44908"/>
    <cellStyle name="Table  - Opmaakprofiel6 2 10 3 5 6" xfId="49498"/>
    <cellStyle name="Table  - Opmaakprofiel6 2 10 3 6" xfId="5755"/>
    <cellStyle name="Table  - Opmaakprofiel6 2 10 3 6 2" xfId="10416"/>
    <cellStyle name="Table  - Opmaakprofiel6 2 10 3 6 2 2" xfId="22714"/>
    <cellStyle name="Table  - Opmaakprofiel6 2 10 3 6 2 3" xfId="34766"/>
    <cellStyle name="Table  - Opmaakprofiel6 2 10 3 6 2 4" xfId="42284"/>
    <cellStyle name="Table  - Opmaakprofiel6 2 10 3 6 2 5" xfId="55381"/>
    <cellStyle name="Table  - Opmaakprofiel6 2 10 3 6 3" xfId="16394"/>
    <cellStyle name="Table  - Opmaakprofiel6 2 10 3 6 4" xfId="28446"/>
    <cellStyle name="Table  - Opmaakprofiel6 2 10 3 6 5" xfId="38866"/>
    <cellStyle name="Table  - Opmaakprofiel6 2 10 3 6 6" xfId="49499"/>
    <cellStyle name="Table  - Opmaakprofiel6 2 10 3 7" xfId="5756"/>
    <cellStyle name="Table  - Opmaakprofiel6 2 10 3 7 2" xfId="16395"/>
    <cellStyle name="Table  - Opmaakprofiel6 2 10 3 7 3" xfId="28447"/>
    <cellStyle name="Table  - Opmaakprofiel6 2 10 3 7 4" xfId="38865"/>
    <cellStyle name="Table  - Opmaakprofiel6 2 10 3 7 5" xfId="49500"/>
    <cellStyle name="Table  - Opmaakprofiel6 2 10 3 8" xfId="7318"/>
    <cellStyle name="Table  - Opmaakprofiel6 2 10 3 8 2" xfId="19616"/>
    <cellStyle name="Table  - Opmaakprofiel6 2 10 3 8 3" xfId="41419"/>
    <cellStyle name="Table  - Opmaakprofiel6 2 10 3 8 4" xfId="43559"/>
    <cellStyle name="Table  - Opmaakprofiel6 2 10 3 8 5" xfId="52288"/>
    <cellStyle name="Table  - Opmaakprofiel6 2 10 3 9" xfId="16389"/>
    <cellStyle name="Table  - Opmaakprofiel6 2 10 4" xfId="1153"/>
    <cellStyle name="Table  - Opmaakprofiel6 2 10 4 2" xfId="1642"/>
    <cellStyle name="Table  - Opmaakprofiel6 2 10 4 2 2" xfId="10418"/>
    <cellStyle name="Table  - Opmaakprofiel6 2 10 4 2 2 2" xfId="22716"/>
    <cellStyle name="Table  - Opmaakprofiel6 2 10 4 2 2 3" xfId="34768"/>
    <cellStyle name="Table  - Opmaakprofiel6 2 10 4 2 2 4" xfId="42283"/>
    <cellStyle name="Table  - Opmaakprofiel6 2 10 4 2 2 5" xfId="55383"/>
    <cellStyle name="Table  - Opmaakprofiel6 2 10 4 2 3" xfId="16397"/>
    <cellStyle name="Table  - Opmaakprofiel6 2 10 4 2 4" xfId="28449"/>
    <cellStyle name="Table  - Opmaakprofiel6 2 10 4 2 5" xfId="44907"/>
    <cellStyle name="Table  - Opmaakprofiel6 2 10 4 2 6" xfId="49501"/>
    <cellStyle name="Table  - Opmaakprofiel6 2 10 4 3" xfId="3164"/>
    <cellStyle name="Table  - Opmaakprofiel6 2 10 4 3 2" xfId="10419"/>
    <cellStyle name="Table  - Opmaakprofiel6 2 10 4 3 2 2" xfId="22717"/>
    <cellStyle name="Table  - Opmaakprofiel6 2 10 4 3 2 3" xfId="34769"/>
    <cellStyle name="Table  - Opmaakprofiel6 2 10 4 3 2 4" xfId="29263"/>
    <cellStyle name="Table  - Opmaakprofiel6 2 10 4 3 2 5" xfId="55384"/>
    <cellStyle name="Table  - Opmaakprofiel6 2 10 4 3 3" xfId="16398"/>
    <cellStyle name="Table  - Opmaakprofiel6 2 10 4 3 4" xfId="28450"/>
    <cellStyle name="Table  - Opmaakprofiel6 2 10 4 3 5" xfId="38863"/>
    <cellStyle name="Table  - Opmaakprofiel6 2 10 4 3 6" xfId="49502"/>
    <cellStyle name="Table  - Opmaakprofiel6 2 10 4 4" xfId="3986"/>
    <cellStyle name="Table  - Opmaakprofiel6 2 10 4 4 2" xfId="10420"/>
    <cellStyle name="Table  - Opmaakprofiel6 2 10 4 4 2 2" xfId="22718"/>
    <cellStyle name="Table  - Opmaakprofiel6 2 10 4 4 2 3" xfId="34770"/>
    <cellStyle name="Table  - Opmaakprofiel6 2 10 4 4 2 4" xfId="34450"/>
    <cellStyle name="Table  - Opmaakprofiel6 2 10 4 4 2 5" xfId="55385"/>
    <cellStyle name="Table  - Opmaakprofiel6 2 10 4 4 3" xfId="16399"/>
    <cellStyle name="Table  - Opmaakprofiel6 2 10 4 4 4" xfId="28451"/>
    <cellStyle name="Table  - Opmaakprofiel6 2 10 4 4 5" xfId="44906"/>
    <cellStyle name="Table  - Opmaakprofiel6 2 10 4 4 6" xfId="49503"/>
    <cellStyle name="Table  - Opmaakprofiel6 2 10 4 5" xfId="5757"/>
    <cellStyle name="Table  - Opmaakprofiel6 2 10 4 5 2" xfId="10421"/>
    <cellStyle name="Table  - Opmaakprofiel6 2 10 4 5 2 2" xfId="22719"/>
    <cellStyle name="Table  - Opmaakprofiel6 2 10 4 5 2 3" xfId="34771"/>
    <cellStyle name="Table  - Opmaakprofiel6 2 10 4 5 2 4" xfId="29270"/>
    <cellStyle name="Table  - Opmaakprofiel6 2 10 4 5 2 5" xfId="55386"/>
    <cellStyle name="Table  - Opmaakprofiel6 2 10 4 5 3" xfId="16400"/>
    <cellStyle name="Table  - Opmaakprofiel6 2 10 4 5 4" xfId="28452"/>
    <cellStyle name="Table  - Opmaakprofiel6 2 10 4 5 5" xfId="38862"/>
    <cellStyle name="Table  - Opmaakprofiel6 2 10 4 5 6" xfId="49504"/>
    <cellStyle name="Table  - Opmaakprofiel6 2 10 4 6" xfId="5758"/>
    <cellStyle name="Table  - Opmaakprofiel6 2 10 4 6 2" xfId="10422"/>
    <cellStyle name="Table  - Opmaakprofiel6 2 10 4 6 2 2" xfId="22720"/>
    <cellStyle name="Table  - Opmaakprofiel6 2 10 4 6 2 3" xfId="34772"/>
    <cellStyle name="Table  - Opmaakprofiel6 2 10 4 6 2 4" xfId="42282"/>
    <cellStyle name="Table  - Opmaakprofiel6 2 10 4 6 2 5" xfId="55387"/>
    <cellStyle name="Table  - Opmaakprofiel6 2 10 4 6 3" xfId="16401"/>
    <cellStyle name="Table  - Opmaakprofiel6 2 10 4 6 4" xfId="28453"/>
    <cellStyle name="Table  - Opmaakprofiel6 2 10 4 6 5" xfId="44905"/>
    <cellStyle name="Table  - Opmaakprofiel6 2 10 4 6 6" xfId="49505"/>
    <cellStyle name="Table  - Opmaakprofiel6 2 10 4 7" xfId="5759"/>
    <cellStyle name="Table  - Opmaakprofiel6 2 10 4 7 2" xfId="16402"/>
    <cellStyle name="Table  - Opmaakprofiel6 2 10 4 7 3" xfId="28454"/>
    <cellStyle name="Table  - Opmaakprofiel6 2 10 4 7 4" xfId="38861"/>
    <cellStyle name="Table  - Opmaakprofiel6 2 10 4 7 5" xfId="49506"/>
    <cellStyle name="Table  - Opmaakprofiel6 2 10 4 8" xfId="7207"/>
    <cellStyle name="Table  - Opmaakprofiel6 2 10 4 8 2" xfId="19505"/>
    <cellStyle name="Table  - Opmaakprofiel6 2 10 4 8 3" xfId="41308"/>
    <cellStyle name="Table  - Opmaakprofiel6 2 10 4 8 4" xfId="36913"/>
    <cellStyle name="Table  - Opmaakprofiel6 2 10 4 8 5" xfId="52177"/>
    <cellStyle name="Table  - Opmaakprofiel6 2 10 4 9" xfId="16396"/>
    <cellStyle name="Table  - Opmaakprofiel6 2 10 5" xfId="1165"/>
    <cellStyle name="Table  - Opmaakprofiel6 2 10 5 2" xfId="2066"/>
    <cellStyle name="Table  - Opmaakprofiel6 2 10 5 2 2" xfId="10424"/>
    <cellStyle name="Table  - Opmaakprofiel6 2 10 5 2 2 2" xfId="22722"/>
    <cellStyle name="Table  - Opmaakprofiel6 2 10 5 2 2 3" xfId="34774"/>
    <cellStyle name="Table  - Opmaakprofiel6 2 10 5 2 2 4" xfId="42281"/>
    <cellStyle name="Table  - Opmaakprofiel6 2 10 5 2 2 5" xfId="55389"/>
    <cellStyle name="Table  - Opmaakprofiel6 2 10 5 2 3" xfId="16404"/>
    <cellStyle name="Table  - Opmaakprofiel6 2 10 5 2 4" xfId="28456"/>
    <cellStyle name="Table  - Opmaakprofiel6 2 10 5 2 5" xfId="38860"/>
    <cellStyle name="Table  - Opmaakprofiel6 2 10 5 2 6" xfId="49507"/>
    <cellStyle name="Table  - Opmaakprofiel6 2 10 5 3" xfId="3176"/>
    <cellStyle name="Table  - Opmaakprofiel6 2 10 5 3 2" xfId="10425"/>
    <cellStyle name="Table  - Opmaakprofiel6 2 10 5 3 2 2" xfId="22723"/>
    <cellStyle name="Table  - Opmaakprofiel6 2 10 5 3 2 3" xfId="34775"/>
    <cellStyle name="Table  - Opmaakprofiel6 2 10 5 3 2 4" xfId="29277"/>
    <cellStyle name="Table  - Opmaakprofiel6 2 10 5 3 2 5" xfId="55390"/>
    <cellStyle name="Table  - Opmaakprofiel6 2 10 5 3 3" xfId="16405"/>
    <cellStyle name="Table  - Opmaakprofiel6 2 10 5 3 4" xfId="28457"/>
    <cellStyle name="Table  - Opmaakprofiel6 2 10 5 3 5" xfId="44903"/>
    <cellStyle name="Table  - Opmaakprofiel6 2 10 5 3 6" xfId="49508"/>
    <cellStyle name="Table  - Opmaakprofiel6 2 10 5 4" xfId="3997"/>
    <cellStyle name="Table  - Opmaakprofiel6 2 10 5 4 2" xfId="10426"/>
    <cellStyle name="Table  - Opmaakprofiel6 2 10 5 4 2 2" xfId="22724"/>
    <cellStyle name="Table  - Opmaakprofiel6 2 10 5 4 2 3" xfId="34776"/>
    <cellStyle name="Table  - Opmaakprofiel6 2 10 5 4 2 4" xfId="42280"/>
    <cellStyle name="Table  - Opmaakprofiel6 2 10 5 4 2 5" xfId="55391"/>
    <cellStyle name="Table  - Opmaakprofiel6 2 10 5 4 3" xfId="16406"/>
    <cellStyle name="Table  - Opmaakprofiel6 2 10 5 4 4" xfId="28458"/>
    <cellStyle name="Table  - Opmaakprofiel6 2 10 5 4 5" xfId="38859"/>
    <cellStyle name="Table  - Opmaakprofiel6 2 10 5 4 6" xfId="49509"/>
    <cellStyle name="Table  - Opmaakprofiel6 2 10 5 5" xfId="5760"/>
    <cellStyle name="Table  - Opmaakprofiel6 2 10 5 5 2" xfId="10427"/>
    <cellStyle name="Table  - Opmaakprofiel6 2 10 5 5 2 2" xfId="22725"/>
    <cellStyle name="Table  - Opmaakprofiel6 2 10 5 5 2 3" xfId="34777"/>
    <cellStyle name="Table  - Opmaakprofiel6 2 10 5 5 2 4" xfId="31360"/>
    <cellStyle name="Table  - Opmaakprofiel6 2 10 5 5 2 5" xfId="55392"/>
    <cellStyle name="Table  - Opmaakprofiel6 2 10 5 5 3" xfId="16407"/>
    <cellStyle name="Table  - Opmaakprofiel6 2 10 5 5 4" xfId="28459"/>
    <cellStyle name="Table  - Opmaakprofiel6 2 10 5 5 5" xfId="38858"/>
    <cellStyle name="Table  - Opmaakprofiel6 2 10 5 5 6" xfId="49510"/>
    <cellStyle name="Table  - Opmaakprofiel6 2 10 5 6" xfId="5761"/>
    <cellStyle name="Table  - Opmaakprofiel6 2 10 5 6 2" xfId="10428"/>
    <cellStyle name="Table  - Opmaakprofiel6 2 10 5 6 2 2" xfId="22726"/>
    <cellStyle name="Table  - Opmaakprofiel6 2 10 5 6 2 3" xfId="34778"/>
    <cellStyle name="Table  - Opmaakprofiel6 2 10 5 6 2 4" xfId="42279"/>
    <cellStyle name="Table  - Opmaakprofiel6 2 10 5 6 2 5" xfId="55393"/>
    <cellStyle name="Table  - Opmaakprofiel6 2 10 5 6 3" xfId="16408"/>
    <cellStyle name="Table  - Opmaakprofiel6 2 10 5 6 4" xfId="28460"/>
    <cellStyle name="Table  - Opmaakprofiel6 2 10 5 6 5" xfId="38857"/>
    <cellStyle name="Table  - Opmaakprofiel6 2 10 5 6 6" xfId="49511"/>
    <cellStyle name="Table  - Opmaakprofiel6 2 10 5 7" xfId="5762"/>
    <cellStyle name="Table  - Opmaakprofiel6 2 10 5 7 2" xfId="16409"/>
    <cellStyle name="Table  - Opmaakprofiel6 2 10 5 7 3" xfId="28461"/>
    <cellStyle name="Table  - Opmaakprofiel6 2 10 5 7 4" xfId="44902"/>
    <cellStyle name="Table  - Opmaakprofiel6 2 10 5 7 5" xfId="49512"/>
    <cellStyle name="Table  - Opmaakprofiel6 2 10 5 8" xfId="7199"/>
    <cellStyle name="Table  - Opmaakprofiel6 2 10 5 8 2" xfId="19497"/>
    <cellStyle name="Table  - Opmaakprofiel6 2 10 5 8 3" xfId="41300"/>
    <cellStyle name="Table  - Opmaakprofiel6 2 10 5 8 4" xfId="36918"/>
    <cellStyle name="Table  - Opmaakprofiel6 2 10 5 8 5" xfId="52169"/>
    <cellStyle name="Table  - Opmaakprofiel6 2 10 5 9" xfId="16403"/>
    <cellStyle name="Table  - Opmaakprofiel6 2 10 6" xfId="664"/>
    <cellStyle name="Table  - Opmaakprofiel6 2 10 6 2" xfId="1955"/>
    <cellStyle name="Table  - Opmaakprofiel6 2 10 6 2 2" xfId="10430"/>
    <cellStyle name="Table  - Opmaakprofiel6 2 10 6 2 2 2" xfId="22728"/>
    <cellStyle name="Table  - Opmaakprofiel6 2 10 6 2 2 3" xfId="34780"/>
    <cellStyle name="Table  - Opmaakprofiel6 2 10 6 2 2 4" xfId="42278"/>
    <cellStyle name="Table  - Opmaakprofiel6 2 10 6 2 2 5" xfId="55395"/>
    <cellStyle name="Table  - Opmaakprofiel6 2 10 6 2 3" xfId="16411"/>
    <cellStyle name="Table  - Opmaakprofiel6 2 10 6 2 4" xfId="28463"/>
    <cellStyle name="Table  - Opmaakprofiel6 2 10 6 2 5" xfId="44901"/>
    <cellStyle name="Table  - Opmaakprofiel6 2 10 6 2 6" xfId="49513"/>
    <cellStyle name="Table  - Opmaakprofiel6 2 10 6 3" xfId="2730"/>
    <cellStyle name="Table  - Opmaakprofiel6 2 10 6 3 2" xfId="10431"/>
    <cellStyle name="Table  - Opmaakprofiel6 2 10 6 3 2 2" xfId="22729"/>
    <cellStyle name="Table  - Opmaakprofiel6 2 10 6 3 2 3" xfId="34781"/>
    <cellStyle name="Table  - Opmaakprofiel6 2 10 6 3 2 4" xfId="31944"/>
    <cellStyle name="Table  - Opmaakprofiel6 2 10 6 3 2 5" xfId="55396"/>
    <cellStyle name="Table  - Opmaakprofiel6 2 10 6 3 3" xfId="16412"/>
    <cellStyle name="Table  - Opmaakprofiel6 2 10 6 3 4" xfId="28464"/>
    <cellStyle name="Table  - Opmaakprofiel6 2 10 6 3 5" xfId="38856"/>
    <cellStyle name="Table  - Opmaakprofiel6 2 10 6 3 6" xfId="49514"/>
    <cellStyle name="Table  - Opmaakprofiel6 2 10 6 4" xfId="3597"/>
    <cellStyle name="Table  - Opmaakprofiel6 2 10 6 4 2" xfId="10432"/>
    <cellStyle name="Table  - Opmaakprofiel6 2 10 6 4 2 2" xfId="22730"/>
    <cellStyle name="Table  - Opmaakprofiel6 2 10 6 4 2 3" xfId="34782"/>
    <cellStyle name="Table  - Opmaakprofiel6 2 10 6 4 2 4" xfId="29291"/>
    <cellStyle name="Table  - Opmaakprofiel6 2 10 6 4 2 5" xfId="55397"/>
    <cellStyle name="Table  - Opmaakprofiel6 2 10 6 4 3" xfId="16413"/>
    <cellStyle name="Table  - Opmaakprofiel6 2 10 6 4 4" xfId="28465"/>
    <cellStyle name="Table  - Opmaakprofiel6 2 10 6 4 5" xfId="44900"/>
    <cellStyle name="Table  - Opmaakprofiel6 2 10 6 4 6" xfId="49515"/>
    <cellStyle name="Table  - Opmaakprofiel6 2 10 6 5" xfId="5763"/>
    <cellStyle name="Table  - Opmaakprofiel6 2 10 6 5 2" xfId="10433"/>
    <cellStyle name="Table  - Opmaakprofiel6 2 10 6 5 2 2" xfId="22731"/>
    <cellStyle name="Table  - Opmaakprofiel6 2 10 6 5 2 3" xfId="34783"/>
    <cellStyle name="Table  - Opmaakprofiel6 2 10 6 5 2 4" xfId="31468"/>
    <cellStyle name="Table  - Opmaakprofiel6 2 10 6 5 2 5" xfId="55398"/>
    <cellStyle name="Table  - Opmaakprofiel6 2 10 6 5 3" xfId="16414"/>
    <cellStyle name="Table  - Opmaakprofiel6 2 10 6 5 4" xfId="28466"/>
    <cellStyle name="Table  - Opmaakprofiel6 2 10 6 5 5" xfId="38855"/>
    <cellStyle name="Table  - Opmaakprofiel6 2 10 6 5 6" xfId="49516"/>
    <cellStyle name="Table  - Opmaakprofiel6 2 10 6 6" xfId="5764"/>
    <cellStyle name="Table  - Opmaakprofiel6 2 10 6 6 2" xfId="10434"/>
    <cellStyle name="Table  - Opmaakprofiel6 2 10 6 6 2 2" xfId="22732"/>
    <cellStyle name="Table  - Opmaakprofiel6 2 10 6 6 2 3" xfId="34784"/>
    <cellStyle name="Table  - Opmaakprofiel6 2 10 6 6 2 4" xfId="42277"/>
    <cellStyle name="Table  - Opmaakprofiel6 2 10 6 6 2 5" xfId="55399"/>
    <cellStyle name="Table  - Opmaakprofiel6 2 10 6 6 3" xfId="16415"/>
    <cellStyle name="Table  - Opmaakprofiel6 2 10 6 6 4" xfId="28467"/>
    <cellStyle name="Table  - Opmaakprofiel6 2 10 6 6 5" xfId="44899"/>
    <cellStyle name="Table  - Opmaakprofiel6 2 10 6 6 6" xfId="49517"/>
    <cellStyle name="Table  - Opmaakprofiel6 2 10 6 7" xfId="5765"/>
    <cellStyle name="Table  - Opmaakprofiel6 2 10 6 7 2" xfId="16416"/>
    <cellStyle name="Table  - Opmaakprofiel6 2 10 6 7 3" xfId="28468"/>
    <cellStyle name="Table  - Opmaakprofiel6 2 10 6 7 4" xfId="38854"/>
    <cellStyle name="Table  - Opmaakprofiel6 2 10 6 7 5" xfId="49518"/>
    <cellStyle name="Table  - Opmaakprofiel6 2 10 6 8" xfId="10230"/>
    <cellStyle name="Table  - Opmaakprofiel6 2 10 6 8 2" xfId="22528"/>
    <cellStyle name="Table  - Opmaakprofiel6 2 10 6 8 3" xfId="44290"/>
    <cellStyle name="Table  - Opmaakprofiel6 2 10 6 8 4" xfId="42361"/>
    <cellStyle name="Table  - Opmaakprofiel6 2 10 6 8 5" xfId="55195"/>
    <cellStyle name="Table  - Opmaakprofiel6 2 10 6 9" xfId="16410"/>
    <cellStyle name="Table  - Opmaakprofiel6 2 10 7" xfId="1966"/>
    <cellStyle name="Table  - Opmaakprofiel6 2 10 7 2" xfId="10435"/>
    <cellStyle name="Table  - Opmaakprofiel6 2 10 7 2 2" xfId="22733"/>
    <cellStyle name="Table  - Opmaakprofiel6 2 10 7 2 3" xfId="34785"/>
    <cellStyle name="Table  - Opmaakprofiel6 2 10 7 2 4" xfId="29298"/>
    <cellStyle name="Table  - Opmaakprofiel6 2 10 7 2 5" xfId="55400"/>
    <cellStyle name="Table  - Opmaakprofiel6 2 10 7 3" xfId="16417"/>
    <cellStyle name="Table  - Opmaakprofiel6 2 10 7 4" xfId="28469"/>
    <cellStyle name="Table  - Opmaakprofiel6 2 10 7 5" xfId="44898"/>
    <cellStyle name="Table  - Opmaakprofiel6 2 10 7 6" xfId="49519"/>
    <cellStyle name="Table  - Opmaakprofiel6 2 10 8" xfId="2776"/>
    <cellStyle name="Table  - Opmaakprofiel6 2 10 8 2" xfId="10436"/>
    <cellStyle name="Table  - Opmaakprofiel6 2 10 8 2 2" xfId="22734"/>
    <cellStyle name="Table  - Opmaakprofiel6 2 10 8 2 3" xfId="34786"/>
    <cellStyle name="Table  - Opmaakprofiel6 2 10 8 2 4" xfId="42276"/>
    <cellStyle name="Table  - Opmaakprofiel6 2 10 8 2 5" xfId="55401"/>
    <cellStyle name="Table  - Opmaakprofiel6 2 10 8 3" xfId="16418"/>
    <cellStyle name="Table  - Opmaakprofiel6 2 10 8 4" xfId="28470"/>
    <cellStyle name="Table  - Opmaakprofiel6 2 10 8 5" xfId="38853"/>
    <cellStyle name="Table  - Opmaakprofiel6 2 10 8 6" xfId="49520"/>
    <cellStyle name="Table  - Opmaakprofiel6 2 10 9" xfId="3638"/>
    <cellStyle name="Table  - Opmaakprofiel6 2 10 9 2" xfId="10437"/>
    <cellStyle name="Table  - Opmaakprofiel6 2 10 9 2 2" xfId="22735"/>
    <cellStyle name="Table  - Opmaakprofiel6 2 10 9 2 3" xfId="34787"/>
    <cellStyle name="Table  - Opmaakprofiel6 2 10 9 2 4" xfId="31885"/>
    <cellStyle name="Table  - Opmaakprofiel6 2 10 9 2 5" xfId="55402"/>
    <cellStyle name="Table  - Opmaakprofiel6 2 10 9 3" xfId="16419"/>
    <cellStyle name="Table  - Opmaakprofiel6 2 10 9 4" xfId="28471"/>
    <cellStyle name="Table  - Opmaakprofiel6 2 10 9 5" xfId="38852"/>
    <cellStyle name="Table  - Opmaakprofiel6 2 10 9 6" xfId="49521"/>
    <cellStyle name="Table  - Opmaakprofiel6 2 11" xfId="714"/>
    <cellStyle name="Table  - Opmaakprofiel6 2 11 10" xfId="5766"/>
    <cellStyle name="Table  - Opmaakprofiel6 2 11 10 2" xfId="10439"/>
    <cellStyle name="Table  - Opmaakprofiel6 2 11 10 2 2" xfId="22737"/>
    <cellStyle name="Table  - Opmaakprofiel6 2 11 10 2 3" xfId="34789"/>
    <cellStyle name="Table  - Opmaakprofiel6 2 11 10 2 4" xfId="29305"/>
    <cellStyle name="Table  - Opmaakprofiel6 2 11 10 2 5" xfId="55404"/>
    <cellStyle name="Table  - Opmaakprofiel6 2 11 10 3" xfId="16421"/>
    <cellStyle name="Table  - Opmaakprofiel6 2 11 10 4" xfId="28473"/>
    <cellStyle name="Table  - Opmaakprofiel6 2 11 10 5" xfId="44897"/>
    <cellStyle name="Table  - Opmaakprofiel6 2 11 10 6" xfId="49522"/>
    <cellStyle name="Table  - Opmaakprofiel6 2 11 11" xfId="5767"/>
    <cellStyle name="Table  - Opmaakprofiel6 2 11 11 2" xfId="10440"/>
    <cellStyle name="Table  - Opmaakprofiel6 2 11 11 2 2" xfId="22738"/>
    <cellStyle name="Table  - Opmaakprofiel6 2 11 11 2 3" xfId="34790"/>
    <cellStyle name="Table  - Opmaakprofiel6 2 11 11 2 4" xfId="42274"/>
    <cellStyle name="Table  - Opmaakprofiel6 2 11 11 2 5" xfId="55405"/>
    <cellStyle name="Table  - Opmaakprofiel6 2 11 11 3" xfId="16422"/>
    <cellStyle name="Table  - Opmaakprofiel6 2 11 11 4" xfId="28474"/>
    <cellStyle name="Table  - Opmaakprofiel6 2 11 11 5" xfId="38850"/>
    <cellStyle name="Table  - Opmaakprofiel6 2 11 11 6" xfId="49523"/>
    <cellStyle name="Table  - Opmaakprofiel6 2 11 12" xfId="5768"/>
    <cellStyle name="Table  - Opmaakprofiel6 2 11 12 2" xfId="16423"/>
    <cellStyle name="Table  - Opmaakprofiel6 2 11 12 3" xfId="28475"/>
    <cellStyle name="Table  - Opmaakprofiel6 2 11 12 4" xfId="44896"/>
    <cellStyle name="Table  - Opmaakprofiel6 2 11 12 5" xfId="49524"/>
    <cellStyle name="Table  - Opmaakprofiel6 2 11 13" xfId="7504"/>
    <cellStyle name="Table  - Opmaakprofiel6 2 11 13 2" xfId="19802"/>
    <cellStyle name="Table  - Opmaakprofiel6 2 11 13 3" xfId="41605"/>
    <cellStyle name="Table  - Opmaakprofiel6 2 11 13 4" xfId="43481"/>
    <cellStyle name="Table  - Opmaakprofiel6 2 11 13 5" xfId="52474"/>
    <cellStyle name="Table  - Opmaakprofiel6 2 11 14" xfId="16420"/>
    <cellStyle name="Table  - Opmaakprofiel6 2 11 2" xfId="887"/>
    <cellStyle name="Table  - Opmaakprofiel6 2 11 2 2" xfId="2467"/>
    <cellStyle name="Table  - Opmaakprofiel6 2 11 2 2 2" xfId="10442"/>
    <cellStyle name="Table  - Opmaakprofiel6 2 11 2 2 2 2" xfId="22740"/>
    <cellStyle name="Table  - Opmaakprofiel6 2 11 2 2 2 3" xfId="34792"/>
    <cellStyle name="Table  - Opmaakprofiel6 2 11 2 2 2 4" xfId="42273"/>
    <cellStyle name="Table  - Opmaakprofiel6 2 11 2 2 2 5" xfId="55407"/>
    <cellStyle name="Table  - Opmaakprofiel6 2 11 2 2 3" xfId="16425"/>
    <cellStyle name="Table  - Opmaakprofiel6 2 11 2 2 4" xfId="28477"/>
    <cellStyle name="Table  - Opmaakprofiel6 2 11 2 2 5" xfId="44895"/>
    <cellStyle name="Table  - Opmaakprofiel6 2 11 2 2 6" xfId="49525"/>
    <cellStyle name="Table  - Opmaakprofiel6 2 11 2 3" xfId="2898"/>
    <cellStyle name="Table  - Opmaakprofiel6 2 11 2 3 2" xfId="10443"/>
    <cellStyle name="Table  - Opmaakprofiel6 2 11 2 3 2 2" xfId="22741"/>
    <cellStyle name="Table  - Opmaakprofiel6 2 11 2 3 2 3" xfId="34793"/>
    <cellStyle name="Table  - Opmaakprofiel6 2 11 2 3 2 4" xfId="29312"/>
    <cellStyle name="Table  - Opmaakprofiel6 2 11 2 3 2 5" xfId="55408"/>
    <cellStyle name="Table  - Opmaakprofiel6 2 11 2 3 3" xfId="16426"/>
    <cellStyle name="Table  - Opmaakprofiel6 2 11 2 3 4" xfId="28478"/>
    <cellStyle name="Table  - Opmaakprofiel6 2 11 2 3 5" xfId="38848"/>
    <cellStyle name="Table  - Opmaakprofiel6 2 11 2 3 6" xfId="49526"/>
    <cellStyle name="Table  - Opmaakprofiel6 2 11 2 4" xfId="3751"/>
    <cellStyle name="Table  - Opmaakprofiel6 2 11 2 4 2" xfId="10444"/>
    <cellStyle name="Table  - Opmaakprofiel6 2 11 2 4 2 2" xfId="22742"/>
    <cellStyle name="Table  - Opmaakprofiel6 2 11 2 4 2 3" xfId="34794"/>
    <cellStyle name="Table  - Opmaakprofiel6 2 11 2 4 2 4" xfId="34181"/>
    <cellStyle name="Table  - Opmaakprofiel6 2 11 2 4 2 5" xfId="55409"/>
    <cellStyle name="Table  - Opmaakprofiel6 2 11 2 4 3" xfId="16427"/>
    <cellStyle name="Table  - Opmaakprofiel6 2 11 2 4 4" xfId="28479"/>
    <cellStyle name="Table  - Opmaakprofiel6 2 11 2 4 5" xfId="44894"/>
    <cellStyle name="Table  - Opmaakprofiel6 2 11 2 4 6" xfId="49527"/>
    <cellStyle name="Table  - Opmaakprofiel6 2 11 2 5" xfId="5769"/>
    <cellStyle name="Table  - Opmaakprofiel6 2 11 2 5 2" xfId="10445"/>
    <cellStyle name="Table  - Opmaakprofiel6 2 11 2 5 2 2" xfId="22743"/>
    <cellStyle name="Table  - Opmaakprofiel6 2 11 2 5 2 3" xfId="34795"/>
    <cellStyle name="Table  - Opmaakprofiel6 2 11 2 5 2 4" xfId="29319"/>
    <cellStyle name="Table  - Opmaakprofiel6 2 11 2 5 2 5" xfId="55410"/>
    <cellStyle name="Table  - Opmaakprofiel6 2 11 2 5 3" xfId="16428"/>
    <cellStyle name="Table  - Opmaakprofiel6 2 11 2 5 4" xfId="28480"/>
    <cellStyle name="Table  - Opmaakprofiel6 2 11 2 5 5" xfId="38847"/>
    <cellStyle name="Table  - Opmaakprofiel6 2 11 2 5 6" xfId="49528"/>
    <cellStyle name="Table  - Opmaakprofiel6 2 11 2 6" xfId="5770"/>
    <cellStyle name="Table  - Opmaakprofiel6 2 11 2 6 2" xfId="10446"/>
    <cellStyle name="Table  - Opmaakprofiel6 2 11 2 6 2 2" xfId="22744"/>
    <cellStyle name="Table  - Opmaakprofiel6 2 11 2 6 2 3" xfId="34796"/>
    <cellStyle name="Table  - Opmaakprofiel6 2 11 2 6 2 4" xfId="42272"/>
    <cellStyle name="Table  - Opmaakprofiel6 2 11 2 6 2 5" xfId="55411"/>
    <cellStyle name="Table  - Opmaakprofiel6 2 11 2 6 3" xfId="16429"/>
    <cellStyle name="Table  - Opmaakprofiel6 2 11 2 6 4" xfId="28481"/>
    <cellStyle name="Table  - Opmaakprofiel6 2 11 2 6 5" xfId="44893"/>
    <cellStyle name="Table  - Opmaakprofiel6 2 11 2 6 6" xfId="49529"/>
    <cellStyle name="Table  - Opmaakprofiel6 2 11 2 7" xfId="5771"/>
    <cellStyle name="Table  - Opmaakprofiel6 2 11 2 7 2" xfId="16430"/>
    <cellStyle name="Table  - Opmaakprofiel6 2 11 2 7 3" xfId="28482"/>
    <cellStyle name="Table  - Opmaakprofiel6 2 11 2 7 4" xfId="38846"/>
    <cellStyle name="Table  - Opmaakprofiel6 2 11 2 7 5" xfId="49530"/>
    <cellStyle name="Table  - Opmaakprofiel6 2 11 2 8" xfId="7387"/>
    <cellStyle name="Table  - Opmaakprofiel6 2 11 2 8 2" xfId="19685"/>
    <cellStyle name="Table  - Opmaakprofiel6 2 11 2 8 3" xfId="41488"/>
    <cellStyle name="Table  - Opmaakprofiel6 2 11 2 8 4" xfId="20092"/>
    <cellStyle name="Table  - Opmaakprofiel6 2 11 2 8 5" xfId="52357"/>
    <cellStyle name="Table  - Opmaakprofiel6 2 11 2 9" xfId="16424"/>
    <cellStyle name="Table  - Opmaakprofiel6 2 11 3" xfId="987"/>
    <cellStyle name="Table  - Opmaakprofiel6 2 11 3 2" xfId="1909"/>
    <cellStyle name="Table  - Opmaakprofiel6 2 11 3 2 2" xfId="10448"/>
    <cellStyle name="Table  - Opmaakprofiel6 2 11 3 2 2 2" xfId="22746"/>
    <cellStyle name="Table  - Opmaakprofiel6 2 11 3 2 2 3" xfId="34798"/>
    <cellStyle name="Table  - Opmaakprofiel6 2 11 3 2 2 4" xfId="42271"/>
    <cellStyle name="Table  - Opmaakprofiel6 2 11 3 2 2 5" xfId="55413"/>
    <cellStyle name="Table  - Opmaakprofiel6 2 11 3 2 3" xfId="16432"/>
    <cellStyle name="Table  - Opmaakprofiel6 2 11 3 2 4" xfId="28484"/>
    <cellStyle name="Table  - Opmaakprofiel6 2 11 3 2 5" xfId="38844"/>
    <cellStyle name="Table  - Opmaakprofiel6 2 11 3 2 6" xfId="49531"/>
    <cellStyle name="Table  - Opmaakprofiel6 2 11 3 3" xfId="2998"/>
    <cellStyle name="Table  - Opmaakprofiel6 2 11 3 3 2" xfId="10449"/>
    <cellStyle name="Table  - Opmaakprofiel6 2 11 3 3 2 2" xfId="22747"/>
    <cellStyle name="Table  - Opmaakprofiel6 2 11 3 3 2 3" xfId="34799"/>
    <cellStyle name="Table  - Opmaakprofiel6 2 11 3 3 2 4" xfId="29330"/>
    <cellStyle name="Table  - Opmaakprofiel6 2 11 3 3 2 5" xfId="55414"/>
    <cellStyle name="Table  - Opmaakprofiel6 2 11 3 3 3" xfId="16433"/>
    <cellStyle name="Table  - Opmaakprofiel6 2 11 3 3 4" xfId="28485"/>
    <cellStyle name="Table  - Opmaakprofiel6 2 11 3 3 5" xfId="44892"/>
    <cellStyle name="Table  - Opmaakprofiel6 2 11 3 3 6" xfId="49532"/>
    <cellStyle name="Table  - Opmaakprofiel6 2 11 3 4" xfId="3844"/>
    <cellStyle name="Table  - Opmaakprofiel6 2 11 3 4 2" xfId="10450"/>
    <cellStyle name="Table  - Opmaakprofiel6 2 11 3 4 2 2" xfId="22748"/>
    <cellStyle name="Table  - Opmaakprofiel6 2 11 3 4 2 3" xfId="34800"/>
    <cellStyle name="Table  - Opmaakprofiel6 2 11 3 4 2 4" xfId="42270"/>
    <cellStyle name="Table  - Opmaakprofiel6 2 11 3 4 2 5" xfId="55415"/>
    <cellStyle name="Table  - Opmaakprofiel6 2 11 3 4 3" xfId="16434"/>
    <cellStyle name="Table  - Opmaakprofiel6 2 11 3 4 4" xfId="28486"/>
    <cellStyle name="Table  - Opmaakprofiel6 2 11 3 4 5" xfId="38843"/>
    <cellStyle name="Table  - Opmaakprofiel6 2 11 3 4 6" xfId="49533"/>
    <cellStyle name="Table  - Opmaakprofiel6 2 11 3 5" xfId="5772"/>
    <cellStyle name="Table  - Opmaakprofiel6 2 11 3 5 2" xfId="10451"/>
    <cellStyle name="Table  - Opmaakprofiel6 2 11 3 5 2 2" xfId="22749"/>
    <cellStyle name="Table  - Opmaakprofiel6 2 11 3 5 2 3" xfId="34801"/>
    <cellStyle name="Table  - Opmaakprofiel6 2 11 3 5 2 4" xfId="31833"/>
    <cellStyle name="Table  - Opmaakprofiel6 2 11 3 5 2 5" xfId="55416"/>
    <cellStyle name="Table  - Opmaakprofiel6 2 11 3 5 3" xfId="16435"/>
    <cellStyle name="Table  - Opmaakprofiel6 2 11 3 5 4" xfId="28487"/>
    <cellStyle name="Table  - Opmaakprofiel6 2 11 3 5 5" xfId="44891"/>
    <cellStyle name="Table  - Opmaakprofiel6 2 11 3 5 6" xfId="49534"/>
    <cellStyle name="Table  - Opmaakprofiel6 2 11 3 6" xfId="5773"/>
    <cellStyle name="Table  - Opmaakprofiel6 2 11 3 6 2" xfId="10452"/>
    <cellStyle name="Table  - Opmaakprofiel6 2 11 3 6 2 2" xfId="22750"/>
    <cellStyle name="Table  - Opmaakprofiel6 2 11 3 6 2 3" xfId="34802"/>
    <cellStyle name="Table  - Opmaakprofiel6 2 11 3 6 2 4" xfId="42269"/>
    <cellStyle name="Table  - Opmaakprofiel6 2 11 3 6 2 5" xfId="55417"/>
    <cellStyle name="Table  - Opmaakprofiel6 2 11 3 6 3" xfId="16436"/>
    <cellStyle name="Table  - Opmaakprofiel6 2 11 3 6 4" xfId="28488"/>
    <cellStyle name="Table  - Opmaakprofiel6 2 11 3 6 5" xfId="38842"/>
    <cellStyle name="Table  - Opmaakprofiel6 2 11 3 6 6" xfId="49535"/>
    <cellStyle name="Table  - Opmaakprofiel6 2 11 3 7" xfId="5774"/>
    <cellStyle name="Table  - Opmaakprofiel6 2 11 3 7 2" xfId="16437"/>
    <cellStyle name="Table  - Opmaakprofiel6 2 11 3 7 3" xfId="28489"/>
    <cellStyle name="Table  - Opmaakprofiel6 2 11 3 7 4" xfId="38841"/>
    <cellStyle name="Table  - Opmaakprofiel6 2 11 3 7 5" xfId="49536"/>
    <cellStyle name="Table  - Opmaakprofiel6 2 11 3 8" xfId="7321"/>
    <cellStyle name="Table  - Opmaakprofiel6 2 11 3 8 2" xfId="19619"/>
    <cellStyle name="Table  - Opmaakprofiel6 2 11 3 8 3" xfId="41422"/>
    <cellStyle name="Table  - Opmaakprofiel6 2 11 3 8 4" xfId="36847"/>
    <cellStyle name="Table  - Opmaakprofiel6 2 11 3 8 5" xfId="52291"/>
    <cellStyle name="Table  - Opmaakprofiel6 2 11 3 9" xfId="16431"/>
    <cellStyle name="Table  - Opmaakprofiel6 2 11 4" xfId="1091"/>
    <cellStyle name="Table  - Opmaakprofiel6 2 11 4 2" xfId="1422"/>
    <cellStyle name="Table  - Opmaakprofiel6 2 11 4 2 2" xfId="10454"/>
    <cellStyle name="Table  - Opmaakprofiel6 2 11 4 2 2 2" xfId="22752"/>
    <cellStyle name="Table  - Opmaakprofiel6 2 11 4 2 2 3" xfId="34804"/>
    <cellStyle name="Table  - Opmaakprofiel6 2 11 4 2 2 4" xfId="42268"/>
    <cellStyle name="Table  - Opmaakprofiel6 2 11 4 2 2 5" xfId="55419"/>
    <cellStyle name="Table  - Opmaakprofiel6 2 11 4 2 3" xfId="16439"/>
    <cellStyle name="Table  - Opmaakprofiel6 2 11 4 2 4" xfId="28491"/>
    <cellStyle name="Table  - Opmaakprofiel6 2 11 4 2 5" xfId="38840"/>
    <cellStyle name="Table  - Opmaakprofiel6 2 11 4 2 6" xfId="49537"/>
    <cellStyle name="Table  - Opmaakprofiel6 2 11 4 3" xfId="3102"/>
    <cellStyle name="Table  - Opmaakprofiel6 2 11 4 3 2" xfId="10455"/>
    <cellStyle name="Table  - Opmaakprofiel6 2 11 4 3 2 2" xfId="22753"/>
    <cellStyle name="Table  - Opmaakprofiel6 2 11 4 3 2 3" xfId="34805"/>
    <cellStyle name="Table  - Opmaakprofiel6 2 11 4 3 2 4" xfId="31718"/>
    <cellStyle name="Table  - Opmaakprofiel6 2 11 4 3 2 5" xfId="55420"/>
    <cellStyle name="Table  - Opmaakprofiel6 2 11 4 3 3" xfId="16440"/>
    <cellStyle name="Table  - Opmaakprofiel6 2 11 4 3 4" xfId="28492"/>
    <cellStyle name="Table  - Opmaakprofiel6 2 11 4 3 5" xfId="44889"/>
    <cellStyle name="Table  - Opmaakprofiel6 2 11 4 3 6" xfId="49538"/>
    <cellStyle name="Table  - Opmaakprofiel6 2 11 4 4" xfId="3939"/>
    <cellStyle name="Table  - Opmaakprofiel6 2 11 4 4 2" xfId="10456"/>
    <cellStyle name="Table  - Opmaakprofiel6 2 11 4 4 2 2" xfId="22754"/>
    <cellStyle name="Table  - Opmaakprofiel6 2 11 4 4 2 3" xfId="34806"/>
    <cellStyle name="Table  - Opmaakprofiel6 2 11 4 4 2 4" xfId="29341"/>
    <cellStyle name="Table  - Opmaakprofiel6 2 11 4 4 2 5" xfId="55421"/>
    <cellStyle name="Table  - Opmaakprofiel6 2 11 4 4 3" xfId="16441"/>
    <cellStyle name="Table  - Opmaakprofiel6 2 11 4 4 4" xfId="28493"/>
    <cellStyle name="Table  - Opmaakprofiel6 2 11 4 4 5" xfId="38839"/>
    <cellStyle name="Table  - Opmaakprofiel6 2 11 4 4 6" xfId="49539"/>
    <cellStyle name="Table  - Opmaakprofiel6 2 11 4 5" xfId="5775"/>
    <cellStyle name="Table  - Opmaakprofiel6 2 11 4 5 2" xfId="10457"/>
    <cellStyle name="Table  - Opmaakprofiel6 2 11 4 5 2 2" xfId="22755"/>
    <cellStyle name="Table  - Opmaakprofiel6 2 11 4 5 2 3" xfId="34807"/>
    <cellStyle name="Table  - Opmaakprofiel6 2 11 4 5 2 4" xfId="34326"/>
    <cellStyle name="Table  - Opmaakprofiel6 2 11 4 5 2 5" xfId="55422"/>
    <cellStyle name="Table  - Opmaakprofiel6 2 11 4 5 3" xfId="16442"/>
    <cellStyle name="Table  - Opmaakprofiel6 2 11 4 5 4" xfId="28494"/>
    <cellStyle name="Table  - Opmaakprofiel6 2 11 4 5 5" xfId="44888"/>
    <cellStyle name="Table  - Opmaakprofiel6 2 11 4 5 6" xfId="49540"/>
    <cellStyle name="Table  - Opmaakprofiel6 2 11 4 6" xfId="5776"/>
    <cellStyle name="Table  - Opmaakprofiel6 2 11 4 6 2" xfId="10458"/>
    <cellStyle name="Table  - Opmaakprofiel6 2 11 4 6 2 2" xfId="22756"/>
    <cellStyle name="Table  - Opmaakprofiel6 2 11 4 6 2 3" xfId="34808"/>
    <cellStyle name="Table  - Opmaakprofiel6 2 11 4 6 2 4" xfId="42267"/>
    <cellStyle name="Table  - Opmaakprofiel6 2 11 4 6 2 5" xfId="55423"/>
    <cellStyle name="Table  - Opmaakprofiel6 2 11 4 6 3" xfId="16443"/>
    <cellStyle name="Table  - Opmaakprofiel6 2 11 4 6 4" xfId="28495"/>
    <cellStyle name="Table  - Opmaakprofiel6 2 11 4 6 5" xfId="38838"/>
    <cellStyle name="Table  - Opmaakprofiel6 2 11 4 6 6" xfId="49541"/>
    <cellStyle name="Table  - Opmaakprofiel6 2 11 4 7" xfId="5777"/>
    <cellStyle name="Table  - Opmaakprofiel6 2 11 4 7 2" xfId="16444"/>
    <cellStyle name="Table  - Opmaakprofiel6 2 11 4 7 3" xfId="28496"/>
    <cellStyle name="Table  - Opmaakprofiel6 2 11 4 7 4" xfId="38837"/>
    <cellStyle name="Table  - Opmaakprofiel6 2 11 4 7 5" xfId="49542"/>
    <cellStyle name="Table  - Opmaakprofiel6 2 11 4 8" xfId="9933"/>
    <cellStyle name="Table  - Opmaakprofiel6 2 11 4 8 2" xfId="22231"/>
    <cellStyle name="Table  - Opmaakprofiel6 2 11 4 8 3" xfId="43997"/>
    <cellStyle name="Table  - Opmaakprofiel6 2 11 4 8 4" xfId="31795"/>
    <cellStyle name="Table  - Opmaakprofiel6 2 11 4 8 5" xfId="54898"/>
    <cellStyle name="Table  - Opmaakprofiel6 2 11 4 9" xfId="16438"/>
    <cellStyle name="Table  - Opmaakprofiel6 2 11 5" xfId="1161"/>
    <cellStyle name="Table  - Opmaakprofiel6 2 11 5 2" xfId="1831"/>
    <cellStyle name="Table  - Opmaakprofiel6 2 11 5 2 2" xfId="10459"/>
    <cellStyle name="Table  - Opmaakprofiel6 2 11 5 2 2 2" xfId="22757"/>
    <cellStyle name="Table  - Opmaakprofiel6 2 11 5 2 2 3" xfId="34809"/>
    <cellStyle name="Table  - Opmaakprofiel6 2 11 5 2 2 4" xfId="29348"/>
    <cellStyle name="Table  - Opmaakprofiel6 2 11 5 2 2 5" xfId="55424"/>
    <cellStyle name="Table  - Opmaakprofiel6 2 11 5 2 3" xfId="16446"/>
    <cellStyle name="Table  - Opmaakprofiel6 2 11 5 2 4" xfId="28498"/>
    <cellStyle name="Table  - Opmaakprofiel6 2 11 5 2 5" xfId="38836"/>
    <cellStyle name="Table  - Opmaakprofiel6 2 11 5 2 6" xfId="49543"/>
    <cellStyle name="Table  - Opmaakprofiel6 2 11 5 3" xfId="3172"/>
    <cellStyle name="Table  - Opmaakprofiel6 2 11 5 3 2" xfId="10460"/>
    <cellStyle name="Table  - Opmaakprofiel6 2 11 5 3 2 2" xfId="22758"/>
    <cellStyle name="Table  - Opmaakprofiel6 2 11 5 3 2 3" xfId="34810"/>
    <cellStyle name="Table  - Opmaakprofiel6 2 11 5 3 2 4" xfId="42266"/>
    <cellStyle name="Table  - Opmaakprofiel6 2 11 5 3 2 5" xfId="55425"/>
    <cellStyle name="Table  - Opmaakprofiel6 2 11 5 3 3" xfId="16447"/>
    <cellStyle name="Table  - Opmaakprofiel6 2 11 5 3 4" xfId="28499"/>
    <cellStyle name="Table  - Opmaakprofiel6 2 11 5 3 5" xfId="44886"/>
    <cellStyle name="Table  - Opmaakprofiel6 2 11 5 3 6" xfId="49544"/>
    <cellStyle name="Table  - Opmaakprofiel6 2 11 5 4" xfId="3994"/>
    <cellStyle name="Table  - Opmaakprofiel6 2 11 5 4 2" xfId="10461"/>
    <cellStyle name="Table  - Opmaakprofiel6 2 11 5 4 2 2" xfId="22759"/>
    <cellStyle name="Table  - Opmaakprofiel6 2 11 5 4 2 3" xfId="34811"/>
    <cellStyle name="Table  - Opmaakprofiel6 2 11 5 4 2 4" xfId="31590"/>
    <cellStyle name="Table  - Opmaakprofiel6 2 11 5 4 2 5" xfId="55426"/>
    <cellStyle name="Table  - Opmaakprofiel6 2 11 5 4 3" xfId="16448"/>
    <cellStyle name="Table  - Opmaakprofiel6 2 11 5 4 4" xfId="28500"/>
    <cellStyle name="Table  - Opmaakprofiel6 2 11 5 4 5" xfId="38835"/>
    <cellStyle name="Table  - Opmaakprofiel6 2 11 5 4 6" xfId="49545"/>
    <cellStyle name="Table  - Opmaakprofiel6 2 11 5 5" xfId="5778"/>
    <cellStyle name="Table  - Opmaakprofiel6 2 11 5 5 2" xfId="10462"/>
    <cellStyle name="Table  - Opmaakprofiel6 2 11 5 5 2 2" xfId="22760"/>
    <cellStyle name="Table  - Opmaakprofiel6 2 11 5 5 2 3" xfId="34812"/>
    <cellStyle name="Table  - Opmaakprofiel6 2 11 5 5 2 4" xfId="42265"/>
    <cellStyle name="Table  - Opmaakprofiel6 2 11 5 5 2 5" xfId="55427"/>
    <cellStyle name="Table  - Opmaakprofiel6 2 11 5 5 3" xfId="16449"/>
    <cellStyle name="Table  - Opmaakprofiel6 2 11 5 5 4" xfId="28501"/>
    <cellStyle name="Table  - Opmaakprofiel6 2 11 5 5 5" xfId="44885"/>
    <cellStyle name="Table  - Opmaakprofiel6 2 11 5 5 6" xfId="49546"/>
    <cellStyle name="Table  - Opmaakprofiel6 2 11 5 6" xfId="5779"/>
    <cellStyle name="Table  - Opmaakprofiel6 2 11 5 6 2" xfId="10463"/>
    <cellStyle name="Table  - Opmaakprofiel6 2 11 5 6 2 2" xfId="22761"/>
    <cellStyle name="Table  - Opmaakprofiel6 2 11 5 6 2 3" xfId="34813"/>
    <cellStyle name="Table  - Opmaakprofiel6 2 11 5 6 2 4" xfId="29355"/>
    <cellStyle name="Table  - Opmaakprofiel6 2 11 5 6 2 5" xfId="55428"/>
    <cellStyle name="Table  - Opmaakprofiel6 2 11 5 6 3" xfId="16450"/>
    <cellStyle name="Table  - Opmaakprofiel6 2 11 5 6 4" xfId="28502"/>
    <cellStyle name="Table  - Opmaakprofiel6 2 11 5 6 5" xfId="38834"/>
    <cellStyle name="Table  - Opmaakprofiel6 2 11 5 6 6" xfId="49547"/>
    <cellStyle name="Table  - Opmaakprofiel6 2 11 5 7" xfId="5780"/>
    <cellStyle name="Table  - Opmaakprofiel6 2 11 5 7 2" xfId="16451"/>
    <cellStyle name="Table  - Opmaakprofiel6 2 11 5 7 3" xfId="28503"/>
    <cellStyle name="Table  - Opmaakprofiel6 2 11 5 7 4" xfId="44884"/>
    <cellStyle name="Table  - Opmaakprofiel6 2 11 5 7 5" xfId="49548"/>
    <cellStyle name="Table  - Opmaakprofiel6 2 11 5 8" xfId="7202"/>
    <cellStyle name="Table  - Opmaakprofiel6 2 11 5 8 2" xfId="19500"/>
    <cellStyle name="Table  - Opmaakprofiel6 2 11 5 8 3" xfId="41303"/>
    <cellStyle name="Table  - Opmaakprofiel6 2 11 5 8 4" xfId="43607"/>
    <cellStyle name="Table  - Opmaakprofiel6 2 11 5 8 5" xfId="52172"/>
    <cellStyle name="Table  - Opmaakprofiel6 2 11 5 9" xfId="16445"/>
    <cellStyle name="Table  - Opmaakprofiel6 2 11 6" xfId="515"/>
    <cellStyle name="Table  - Opmaakprofiel6 2 11 6 2" xfId="1880"/>
    <cellStyle name="Table  - Opmaakprofiel6 2 11 6 2 2" xfId="10464"/>
    <cellStyle name="Table  - Opmaakprofiel6 2 11 6 2 2 2" xfId="22762"/>
    <cellStyle name="Table  - Opmaakprofiel6 2 11 6 2 2 3" xfId="34814"/>
    <cellStyle name="Table  - Opmaakprofiel6 2 11 6 2 2 4" xfId="42264"/>
    <cellStyle name="Table  - Opmaakprofiel6 2 11 6 2 2 5" xfId="55429"/>
    <cellStyle name="Table  - Opmaakprofiel6 2 11 6 2 3" xfId="16453"/>
    <cellStyle name="Table  - Opmaakprofiel6 2 11 6 2 4" xfId="28505"/>
    <cellStyle name="Table  - Opmaakprofiel6 2 11 6 2 5" xfId="44883"/>
    <cellStyle name="Table  - Opmaakprofiel6 2 11 6 2 6" xfId="49549"/>
    <cellStyle name="Table  - Opmaakprofiel6 2 11 6 3" xfId="2586"/>
    <cellStyle name="Table  - Opmaakprofiel6 2 11 6 3 2" xfId="10465"/>
    <cellStyle name="Table  - Opmaakprofiel6 2 11 6 3 2 2" xfId="22763"/>
    <cellStyle name="Table  - Opmaakprofiel6 2 11 6 3 2 3" xfId="34815"/>
    <cellStyle name="Table  - Opmaakprofiel6 2 11 6 3 2 4" xfId="34224"/>
    <cellStyle name="Table  - Opmaakprofiel6 2 11 6 3 2 5" xfId="55430"/>
    <cellStyle name="Table  - Opmaakprofiel6 2 11 6 3 3" xfId="16454"/>
    <cellStyle name="Table  - Opmaakprofiel6 2 11 6 3 4" xfId="28506"/>
    <cellStyle name="Table  - Opmaakprofiel6 2 11 6 3 5" xfId="38832"/>
    <cellStyle name="Table  - Opmaakprofiel6 2 11 6 3 6" xfId="49550"/>
    <cellStyle name="Table  - Opmaakprofiel6 2 11 6 4" xfId="3468"/>
    <cellStyle name="Table  - Opmaakprofiel6 2 11 6 4 2" xfId="10466"/>
    <cellStyle name="Table  - Opmaakprofiel6 2 11 6 4 2 2" xfId="22764"/>
    <cellStyle name="Table  - Opmaakprofiel6 2 11 6 4 2 3" xfId="34816"/>
    <cellStyle name="Table  - Opmaakprofiel6 2 11 6 4 2 4" xfId="42263"/>
    <cellStyle name="Table  - Opmaakprofiel6 2 11 6 4 2 5" xfId="55431"/>
    <cellStyle name="Table  - Opmaakprofiel6 2 11 6 4 3" xfId="16455"/>
    <cellStyle name="Table  - Opmaakprofiel6 2 11 6 4 4" xfId="28507"/>
    <cellStyle name="Table  - Opmaakprofiel6 2 11 6 4 5" xfId="38831"/>
    <cellStyle name="Table  - Opmaakprofiel6 2 11 6 4 6" xfId="49551"/>
    <cellStyle name="Table  - Opmaakprofiel6 2 11 6 5" xfId="5781"/>
    <cellStyle name="Table  - Opmaakprofiel6 2 11 6 5 2" xfId="10467"/>
    <cellStyle name="Table  - Opmaakprofiel6 2 11 6 5 2 2" xfId="22765"/>
    <cellStyle name="Table  - Opmaakprofiel6 2 11 6 5 2 3" xfId="34817"/>
    <cellStyle name="Table  - Opmaakprofiel6 2 11 6 5 2 4" xfId="29362"/>
    <cellStyle name="Table  - Opmaakprofiel6 2 11 6 5 2 5" xfId="55432"/>
    <cellStyle name="Table  - Opmaakprofiel6 2 11 6 5 3" xfId="16456"/>
    <cellStyle name="Table  - Opmaakprofiel6 2 11 6 5 4" xfId="28508"/>
    <cellStyle name="Table  - Opmaakprofiel6 2 11 6 5 5" xfId="38830"/>
    <cellStyle name="Table  - Opmaakprofiel6 2 11 6 5 6" xfId="49552"/>
    <cellStyle name="Table  - Opmaakprofiel6 2 11 6 6" xfId="5782"/>
    <cellStyle name="Table  - Opmaakprofiel6 2 11 6 6 2" xfId="10468"/>
    <cellStyle name="Table  - Opmaakprofiel6 2 11 6 6 2 2" xfId="22766"/>
    <cellStyle name="Table  - Opmaakprofiel6 2 11 6 6 2 3" xfId="34818"/>
    <cellStyle name="Table  - Opmaakprofiel6 2 11 6 6 2 4" xfId="34694"/>
    <cellStyle name="Table  - Opmaakprofiel6 2 11 6 6 2 5" xfId="55433"/>
    <cellStyle name="Table  - Opmaakprofiel6 2 11 6 6 3" xfId="16457"/>
    <cellStyle name="Table  - Opmaakprofiel6 2 11 6 6 4" xfId="28509"/>
    <cellStyle name="Table  - Opmaakprofiel6 2 11 6 6 5" xfId="44882"/>
    <cellStyle name="Table  - Opmaakprofiel6 2 11 6 6 6" xfId="49553"/>
    <cellStyle name="Table  - Opmaakprofiel6 2 11 6 7" xfId="5783"/>
    <cellStyle name="Table  - Opmaakprofiel6 2 11 6 7 2" xfId="16458"/>
    <cellStyle name="Table  - Opmaakprofiel6 2 11 6 7 3" xfId="28510"/>
    <cellStyle name="Table  - Opmaakprofiel6 2 11 6 7 4" xfId="38829"/>
    <cellStyle name="Table  - Opmaakprofiel6 2 11 6 7 5" xfId="49554"/>
    <cellStyle name="Table  - Opmaakprofiel6 2 11 6 8" xfId="7639"/>
    <cellStyle name="Table  - Opmaakprofiel6 2 11 6 8 2" xfId="19937"/>
    <cellStyle name="Table  - Opmaakprofiel6 2 11 6 8 3" xfId="41740"/>
    <cellStyle name="Table  - Opmaakprofiel6 2 11 6 8 4" xfId="24971"/>
    <cellStyle name="Table  - Opmaakprofiel6 2 11 6 8 5" xfId="52609"/>
    <cellStyle name="Table  - Opmaakprofiel6 2 11 6 9" xfId="16452"/>
    <cellStyle name="Table  - Opmaakprofiel6 2 11 7" xfId="2361"/>
    <cellStyle name="Table  - Opmaakprofiel6 2 11 7 2" xfId="10469"/>
    <cellStyle name="Table  - Opmaakprofiel6 2 11 7 2 2" xfId="22767"/>
    <cellStyle name="Table  - Opmaakprofiel6 2 11 7 2 3" xfId="34819"/>
    <cellStyle name="Table  - Opmaakprofiel6 2 11 7 2 4" xfId="32132"/>
    <cellStyle name="Table  - Opmaakprofiel6 2 11 7 2 5" xfId="55434"/>
    <cellStyle name="Table  - Opmaakprofiel6 2 11 7 3" xfId="16459"/>
    <cellStyle name="Table  - Opmaakprofiel6 2 11 7 4" xfId="28511"/>
    <cellStyle name="Table  - Opmaakprofiel6 2 11 7 5" xfId="44881"/>
    <cellStyle name="Table  - Opmaakprofiel6 2 11 7 6" xfId="49555"/>
    <cellStyle name="Table  - Opmaakprofiel6 2 11 8" xfId="2773"/>
    <cellStyle name="Table  - Opmaakprofiel6 2 11 8 2" xfId="10470"/>
    <cellStyle name="Table  - Opmaakprofiel6 2 11 8 2 2" xfId="22768"/>
    <cellStyle name="Table  - Opmaakprofiel6 2 11 8 2 3" xfId="34820"/>
    <cellStyle name="Table  - Opmaakprofiel6 2 11 8 2 4" xfId="42262"/>
    <cellStyle name="Table  - Opmaakprofiel6 2 11 8 2 5" xfId="55435"/>
    <cellStyle name="Table  - Opmaakprofiel6 2 11 8 3" xfId="16460"/>
    <cellStyle name="Table  - Opmaakprofiel6 2 11 8 4" xfId="28512"/>
    <cellStyle name="Table  - Opmaakprofiel6 2 11 8 5" xfId="38828"/>
    <cellStyle name="Table  - Opmaakprofiel6 2 11 8 6" xfId="49556"/>
    <cellStyle name="Table  - Opmaakprofiel6 2 11 9" xfId="3635"/>
    <cellStyle name="Table  - Opmaakprofiel6 2 11 9 2" xfId="10471"/>
    <cellStyle name="Table  - Opmaakprofiel6 2 11 9 2 2" xfId="22769"/>
    <cellStyle name="Table  - Opmaakprofiel6 2 11 9 2 3" xfId="34821"/>
    <cellStyle name="Table  - Opmaakprofiel6 2 11 9 2 4" xfId="29375"/>
    <cellStyle name="Table  - Opmaakprofiel6 2 11 9 2 5" xfId="55436"/>
    <cellStyle name="Table  - Opmaakprofiel6 2 11 9 3" xfId="16461"/>
    <cellStyle name="Table  - Opmaakprofiel6 2 11 9 4" xfId="28513"/>
    <cellStyle name="Table  - Opmaakprofiel6 2 11 9 5" xfId="44880"/>
    <cellStyle name="Table  - Opmaakprofiel6 2 11 9 6" xfId="49557"/>
    <cellStyle name="Table  - Opmaakprofiel6 2 12" xfId="776"/>
    <cellStyle name="Table  - Opmaakprofiel6 2 12 10" xfId="5784"/>
    <cellStyle name="Table  - Opmaakprofiel6 2 12 10 2" xfId="10472"/>
    <cellStyle name="Table  - Opmaakprofiel6 2 12 10 2 2" xfId="22770"/>
    <cellStyle name="Table  - Opmaakprofiel6 2 12 10 2 3" xfId="34822"/>
    <cellStyle name="Table  - Opmaakprofiel6 2 12 10 2 4" xfId="42261"/>
    <cellStyle name="Table  - Opmaakprofiel6 2 12 10 2 5" xfId="55437"/>
    <cellStyle name="Table  - Opmaakprofiel6 2 12 10 3" xfId="16463"/>
    <cellStyle name="Table  - Opmaakprofiel6 2 12 10 4" xfId="28515"/>
    <cellStyle name="Table  - Opmaakprofiel6 2 12 10 5" xfId="44879"/>
    <cellStyle name="Table  - Opmaakprofiel6 2 12 10 6" xfId="49558"/>
    <cellStyle name="Table  - Opmaakprofiel6 2 12 11" xfId="5785"/>
    <cellStyle name="Table  - Opmaakprofiel6 2 12 11 2" xfId="10473"/>
    <cellStyle name="Table  - Opmaakprofiel6 2 12 11 2 2" xfId="22771"/>
    <cellStyle name="Table  - Opmaakprofiel6 2 12 11 2 3" xfId="34823"/>
    <cellStyle name="Table  - Opmaakprofiel6 2 12 11 2 4" xfId="34562"/>
    <cellStyle name="Table  - Opmaakprofiel6 2 12 11 2 5" xfId="55438"/>
    <cellStyle name="Table  - Opmaakprofiel6 2 12 11 3" xfId="16464"/>
    <cellStyle name="Table  - Opmaakprofiel6 2 12 11 4" xfId="28516"/>
    <cellStyle name="Table  - Opmaakprofiel6 2 12 11 5" xfId="38827"/>
    <cellStyle name="Table  - Opmaakprofiel6 2 12 11 6" xfId="49559"/>
    <cellStyle name="Table  - Opmaakprofiel6 2 12 12" xfId="5786"/>
    <cellStyle name="Table  - Opmaakprofiel6 2 12 12 2" xfId="16465"/>
    <cellStyle name="Table  - Opmaakprofiel6 2 12 12 3" xfId="28517"/>
    <cellStyle name="Table  - Opmaakprofiel6 2 12 12 4" xfId="44878"/>
    <cellStyle name="Table  - Opmaakprofiel6 2 12 12 5" xfId="49560"/>
    <cellStyle name="Table  - Opmaakprofiel6 2 12 13" xfId="10151"/>
    <cellStyle name="Table  - Opmaakprofiel6 2 12 13 2" xfId="22449"/>
    <cellStyle name="Table  - Opmaakprofiel6 2 12 13 3" xfId="44213"/>
    <cellStyle name="Table  - Opmaakprofiel6 2 12 13 4" xfId="28714"/>
    <cellStyle name="Table  - Opmaakprofiel6 2 12 13 5" xfId="55116"/>
    <cellStyle name="Table  - Opmaakprofiel6 2 12 14" xfId="16462"/>
    <cellStyle name="Table  - Opmaakprofiel6 2 12 2" xfId="939"/>
    <cellStyle name="Table  - Opmaakprofiel6 2 12 2 2" xfId="1862"/>
    <cellStyle name="Table  - Opmaakprofiel6 2 12 2 2 2" xfId="10474"/>
    <cellStyle name="Table  - Opmaakprofiel6 2 12 2 2 2 2" xfId="22772"/>
    <cellStyle name="Table  - Opmaakprofiel6 2 12 2 2 2 3" xfId="34824"/>
    <cellStyle name="Table  - Opmaakprofiel6 2 12 2 2 2 4" xfId="42260"/>
    <cellStyle name="Table  - Opmaakprofiel6 2 12 2 2 2 5" xfId="55439"/>
    <cellStyle name="Table  - Opmaakprofiel6 2 12 2 2 3" xfId="16467"/>
    <cellStyle name="Table  - Opmaakprofiel6 2 12 2 2 4" xfId="28519"/>
    <cellStyle name="Table  - Opmaakprofiel6 2 12 2 2 5" xfId="38825"/>
    <cellStyle name="Table  - Opmaakprofiel6 2 12 2 2 6" xfId="49561"/>
    <cellStyle name="Table  - Opmaakprofiel6 2 12 2 3" xfId="2950"/>
    <cellStyle name="Table  - Opmaakprofiel6 2 12 2 3 2" xfId="10475"/>
    <cellStyle name="Table  - Opmaakprofiel6 2 12 2 3 2 2" xfId="22773"/>
    <cellStyle name="Table  - Opmaakprofiel6 2 12 2 3 2 3" xfId="34825"/>
    <cellStyle name="Table  - Opmaakprofiel6 2 12 2 3 2 4" xfId="29379"/>
    <cellStyle name="Table  - Opmaakprofiel6 2 12 2 3 2 5" xfId="55440"/>
    <cellStyle name="Table  - Opmaakprofiel6 2 12 2 3 3" xfId="16468"/>
    <cellStyle name="Table  - Opmaakprofiel6 2 12 2 3 4" xfId="28520"/>
    <cellStyle name="Table  - Opmaakprofiel6 2 12 2 3 5" xfId="38824"/>
    <cellStyle name="Table  - Opmaakprofiel6 2 12 2 3 6" xfId="49562"/>
    <cellStyle name="Table  - Opmaakprofiel6 2 12 2 4" xfId="3798"/>
    <cellStyle name="Table  - Opmaakprofiel6 2 12 2 4 2" xfId="10476"/>
    <cellStyle name="Table  - Opmaakprofiel6 2 12 2 4 2 2" xfId="22774"/>
    <cellStyle name="Table  - Opmaakprofiel6 2 12 2 4 2 3" xfId="34826"/>
    <cellStyle name="Table  - Opmaakprofiel6 2 12 2 4 2 4" xfId="42259"/>
    <cellStyle name="Table  - Opmaakprofiel6 2 12 2 4 2 5" xfId="55441"/>
    <cellStyle name="Table  - Opmaakprofiel6 2 12 2 4 3" xfId="16469"/>
    <cellStyle name="Table  - Opmaakprofiel6 2 12 2 4 4" xfId="28521"/>
    <cellStyle name="Table  - Opmaakprofiel6 2 12 2 4 5" xfId="44877"/>
    <cellStyle name="Table  - Opmaakprofiel6 2 12 2 4 6" xfId="49563"/>
    <cellStyle name="Table  - Opmaakprofiel6 2 12 2 5" xfId="5787"/>
    <cellStyle name="Table  - Opmaakprofiel6 2 12 2 5 2" xfId="10477"/>
    <cellStyle name="Table  - Opmaakprofiel6 2 12 2 5 2 2" xfId="22775"/>
    <cellStyle name="Table  - Opmaakprofiel6 2 12 2 5 2 3" xfId="34827"/>
    <cellStyle name="Table  - Opmaakprofiel6 2 12 2 5 2 4" xfId="31755"/>
    <cellStyle name="Table  - Opmaakprofiel6 2 12 2 5 2 5" xfId="55442"/>
    <cellStyle name="Table  - Opmaakprofiel6 2 12 2 5 3" xfId="16470"/>
    <cellStyle name="Table  - Opmaakprofiel6 2 12 2 5 4" xfId="28522"/>
    <cellStyle name="Table  - Opmaakprofiel6 2 12 2 5 5" xfId="38823"/>
    <cellStyle name="Table  - Opmaakprofiel6 2 12 2 5 6" xfId="49564"/>
    <cellStyle name="Table  - Opmaakprofiel6 2 12 2 6" xfId="5788"/>
    <cellStyle name="Table  - Opmaakprofiel6 2 12 2 6 2" xfId="10478"/>
    <cellStyle name="Table  - Opmaakprofiel6 2 12 2 6 2 2" xfId="22776"/>
    <cellStyle name="Table  - Opmaakprofiel6 2 12 2 6 2 3" xfId="34828"/>
    <cellStyle name="Table  - Opmaakprofiel6 2 12 2 6 2 4" xfId="42258"/>
    <cellStyle name="Table  - Opmaakprofiel6 2 12 2 6 2 5" xfId="55443"/>
    <cellStyle name="Table  - Opmaakprofiel6 2 12 2 6 3" xfId="16471"/>
    <cellStyle name="Table  - Opmaakprofiel6 2 12 2 6 4" xfId="28523"/>
    <cellStyle name="Table  - Opmaakprofiel6 2 12 2 6 5" xfId="44876"/>
    <cellStyle name="Table  - Opmaakprofiel6 2 12 2 6 6" xfId="49565"/>
    <cellStyle name="Table  - Opmaakprofiel6 2 12 2 7" xfId="5789"/>
    <cellStyle name="Table  - Opmaakprofiel6 2 12 2 7 2" xfId="16472"/>
    <cellStyle name="Table  - Opmaakprofiel6 2 12 2 7 3" xfId="28524"/>
    <cellStyle name="Table  - Opmaakprofiel6 2 12 2 7 4" xfId="38822"/>
    <cellStyle name="Table  - Opmaakprofiel6 2 12 2 7 5" xfId="49566"/>
    <cellStyle name="Table  - Opmaakprofiel6 2 12 2 8" xfId="7352"/>
    <cellStyle name="Table  - Opmaakprofiel6 2 12 2 8 2" xfId="19650"/>
    <cellStyle name="Table  - Opmaakprofiel6 2 12 2 8 3" xfId="41453"/>
    <cellStyle name="Table  - Opmaakprofiel6 2 12 2 8 4" xfId="43545"/>
    <cellStyle name="Table  - Opmaakprofiel6 2 12 2 8 5" xfId="52322"/>
    <cellStyle name="Table  - Opmaakprofiel6 2 12 2 9" xfId="16466"/>
    <cellStyle name="Table  - Opmaakprofiel6 2 12 3" xfId="1036"/>
    <cellStyle name="Table  - Opmaakprofiel6 2 12 3 2" xfId="1770"/>
    <cellStyle name="Table  - Opmaakprofiel6 2 12 3 2 2" xfId="10479"/>
    <cellStyle name="Table  - Opmaakprofiel6 2 12 3 2 2 2" xfId="22777"/>
    <cellStyle name="Table  - Opmaakprofiel6 2 12 3 2 2 3" xfId="34829"/>
    <cellStyle name="Table  - Opmaakprofiel6 2 12 3 2 2 4" xfId="29386"/>
    <cellStyle name="Table  - Opmaakprofiel6 2 12 3 2 2 5" xfId="55444"/>
    <cellStyle name="Table  - Opmaakprofiel6 2 12 3 2 3" xfId="16474"/>
    <cellStyle name="Table  - Opmaakprofiel6 2 12 3 2 4" xfId="28526"/>
    <cellStyle name="Table  - Opmaakprofiel6 2 12 3 2 5" xfId="38821"/>
    <cellStyle name="Table  - Opmaakprofiel6 2 12 3 2 6" xfId="49567"/>
    <cellStyle name="Table  - Opmaakprofiel6 2 12 3 3" xfId="3047"/>
    <cellStyle name="Table  - Opmaakprofiel6 2 12 3 3 2" xfId="10480"/>
    <cellStyle name="Table  - Opmaakprofiel6 2 12 3 3 2 2" xfId="22778"/>
    <cellStyle name="Table  - Opmaakprofiel6 2 12 3 3 2 3" xfId="34830"/>
    <cellStyle name="Table  - Opmaakprofiel6 2 12 3 3 2 4" xfId="32001"/>
    <cellStyle name="Table  - Opmaakprofiel6 2 12 3 3 2 5" xfId="55445"/>
    <cellStyle name="Table  - Opmaakprofiel6 2 12 3 3 3" xfId="16475"/>
    <cellStyle name="Table  - Opmaakprofiel6 2 12 3 3 4" xfId="28527"/>
    <cellStyle name="Table  - Opmaakprofiel6 2 12 3 3 5" xfId="44874"/>
    <cellStyle name="Table  - Opmaakprofiel6 2 12 3 3 6" xfId="49568"/>
    <cellStyle name="Table  - Opmaakprofiel6 2 12 3 4" xfId="3888"/>
    <cellStyle name="Table  - Opmaakprofiel6 2 12 3 4 2" xfId="10481"/>
    <cellStyle name="Table  - Opmaakprofiel6 2 12 3 4 2 2" xfId="22779"/>
    <cellStyle name="Table  - Opmaakprofiel6 2 12 3 4 2 3" xfId="34831"/>
    <cellStyle name="Table  - Opmaakprofiel6 2 12 3 4 2 4" xfId="29393"/>
    <cellStyle name="Table  - Opmaakprofiel6 2 12 3 4 2 5" xfId="55446"/>
    <cellStyle name="Table  - Opmaakprofiel6 2 12 3 4 3" xfId="16476"/>
    <cellStyle name="Table  - Opmaakprofiel6 2 12 3 4 4" xfId="28528"/>
    <cellStyle name="Table  - Opmaakprofiel6 2 12 3 4 5" xfId="38820"/>
    <cellStyle name="Table  - Opmaakprofiel6 2 12 3 4 6" xfId="49569"/>
    <cellStyle name="Table  - Opmaakprofiel6 2 12 3 5" xfId="5790"/>
    <cellStyle name="Table  - Opmaakprofiel6 2 12 3 5 2" xfId="10482"/>
    <cellStyle name="Table  - Opmaakprofiel6 2 12 3 5 2 2" xfId="22780"/>
    <cellStyle name="Table  - Opmaakprofiel6 2 12 3 5 2 3" xfId="34832"/>
    <cellStyle name="Table  - Opmaakprofiel6 2 12 3 5 2 4" xfId="42257"/>
    <cellStyle name="Table  - Opmaakprofiel6 2 12 3 5 2 5" xfId="55447"/>
    <cellStyle name="Table  - Opmaakprofiel6 2 12 3 5 3" xfId="16477"/>
    <cellStyle name="Table  - Opmaakprofiel6 2 12 3 5 4" xfId="28529"/>
    <cellStyle name="Table  - Opmaakprofiel6 2 12 3 5 5" xfId="44873"/>
    <cellStyle name="Table  - Opmaakprofiel6 2 12 3 5 6" xfId="49570"/>
    <cellStyle name="Table  - Opmaakprofiel6 2 12 3 6" xfId="5791"/>
    <cellStyle name="Table  - Opmaakprofiel6 2 12 3 6 2" xfId="10483"/>
    <cellStyle name="Table  - Opmaakprofiel6 2 12 3 6 2 2" xfId="22781"/>
    <cellStyle name="Table  - Opmaakprofiel6 2 12 3 6 2 3" xfId="34833"/>
    <cellStyle name="Table  - Opmaakprofiel6 2 12 3 6 2 4" xfId="31992"/>
    <cellStyle name="Table  - Opmaakprofiel6 2 12 3 6 2 5" xfId="55448"/>
    <cellStyle name="Table  - Opmaakprofiel6 2 12 3 6 3" xfId="16478"/>
    <cellStyle name="Table  - Opmaakprofiel6 2 12 3 6 4" xfId="28530"/>
    <cellStyle name="Table  - Opmaakprofiel6 2 12 3 6 5" xfId="38819"/>
    <cellStyle name="Table  - Opmaakprofiel6 2 12 3 6 6" xfId="49571"/>
    <cellStyle name="Table  - Opmaakprofiel6 2 12 3 7" xfId="5792"/>
    <cellStyle name="Table  - Opmaakprofiel6 2 12 3 7 2" xfId="16479"/>
    <cellStyle name="Table  - Opmaakprofiel6 2 12 3 7 3" xfId="28531"/>
    <cellStyle name="Table  - Opmaakprofiel6 2 12 3 7 4" xfId="38818"/>
    <cellStyle name="Table  - Opmaakprofiel6 2 12 3 7 5" xfId="49572"/>
    <cellStyle name="Table  - Opmaakprofiel6 2 12 3 8" xfId="7285"/>
    <cellStyle name="Table  - Opmaakprofiel6 2 12 3 8 2" xfId="19583"/>
    <cellStyle name="Table  - Opmaakprofiel6 2 12 3 8 3" xfId="41386"/>
    <cellStyle name="Table  - Opmaakprofiel6 2 12 3 8 4" xfId="36868"/>
    <cellStyle name="Table  - Opmaakprofiel6 2 12 3 8 5" xfId="52255"/>
    <cellStyle name="Table  - Opmaakprofiel6 2 12 3 9" xfId="16473"/>
    <cellStyle name="Table  - Opmaakprofiel6 2 12 4" xfId="496"/>
    <cellStyle name="Table  - Opmaakprofiel6 2 12 4 2" xfId="1964"/>
    <cellStyle name="Table  - Opmaakprofiel6 2 12 4 2 2" xfId="10484"/>
    <cellStyle name="Table  - Opmaakprofiel6 2 12 4 2 2 2" xfId="22782"/>
    <cellStyle name="Table  - Opmaakprofiel6 2 12 4 2 2 3" xfId="34834"/>
    <cellStyle name="Table  - Opmaakprofiel6 2 12 4 2 2 4" xfId="42256"/>
    <cellStyle name="Table  - Opmaakprofiel6 2 12 4 2 2 5" xfId="55449"/>
    <cellStyle name="Table  - Opmaakprofiel6 2 12 4 2 3" xfId="16481"/>
    <cellStyle name="Table  - Opmaakprofiel6 2 12 4 2 4" xfId="28533"/>
    <cellStyle name="Table  - Opmaakprofiel6 2 12 4 2 5" xfId="44872"/>
    <cellStyle name="Table  - Opmaakprofiel6 2 12 4 2 6" xfId="49573"/>
    <cellStyle name="Table  - Opmaakprofiel6 2 12 4 3" xfId="2567"/>
    <cellStyle name="Table  - Opmaakprofiel6 2 12 4 3 2" xfId="10485"/>
    <cellStyle name="Table  - Opmaakprofiel6 2 12 4 3 2 2" xfId="22783"/>
    <cellStyle name="Table  - Opmaakprofiel6 2 12 4 3 2 3" xfId="34835"/>
    <cellStyle name="Table  - Opmaakprofiel6 2 12 4 3 2 4" xfId="29400"/>
    <cellStyle name="Table  - Opmaakprofiel6 2 12 4 3 2 5" xfId="55450"/>
    <cellStyle name="Table  - Opmaakprofiel6 2 12 4 3 3" xfId="16482"/>
    <cellStyle name="Table  - Opmaakprofiel6 2 12 4 3 4" xfId="28534"/>
    <cellStyle name="Table  - Opmaakprofiel6 2 12 4 3 5" xfId="38816"/>
    <cellStyle name="Table  - Opmaakprofiel6 2 12 4 3 6" xfId="49574"/>
    <cellStyle name="Table  - Opmaakprofiel6 2 12 4 4" xfId="3451"/>
    <cellStyle name="Table  - Opmaakprofiel6 2 12 4 4 2" xfId="10486"/>
    <cellStyle name="Table  - Opmaakprofiel6 2 12 4 4 2 2" xfId="22784"/>
    <cellStyle name="Table  - Opmaakprofiel6 2 12 4 4 2 3" xfId="34836"/>
    <cellStyle name="Table  - Opmaakprofiel6 2 12 4 4 2 4" xfId="42255"/>
    <cellStyle name="Table  - Opmaakprofiel6 2 12 4 4 2 5" xfId="55451"/>
    <cellStyle name="Table  - Opmaakprofiel6 2 12 4 4 3" xfId="16483"/>
    <cellStyle name="Table  - Opmaakprofiel6 2 12 4 4 4" xfId="28535"/>
    <cellStyle name="Table  - Opmaakprofiel6 2 12 4 4 5" xfId="44871"/>
    <cellStyle name="Table  - Opmaakprofiel6 2 12 4 4 6" xfId="49575"/>
    <cellStyle name="Table  - Opmaakprofiel6 2 12 4 5" xfId="5793"/>
    <cellStyle name="Table  - Opmaakprofiel6 2 12 4 5 2" xfId="10487"/>
    <cellStyle name="Table  - Opmaakprofiel6 2 12 4 5 2 2" xfId="22785"/>
    <cellStyle name="Table  - Opmaakprofiel6 2 12 4 5 2 3" xfId="34837"/>
    <cellStyle name="Table  - Opmaakprofiel6 2 12 4 5 2 4" xfId="31925"/>
    <cellStyle name="Table  - Opmaakprofiel6 2 12 4 5 2 5" xfId="55452"/>
    <cellStyle name="Table  - Opmaakprofiel6 2 12 4 5 3" xfId="16484"/>
    <cellStyle name="Table  - Opmaakprofiel6 2 12 4 5 4" xfId="28536"/>
    <cellStyle name="Table  - Opmaakprofiel6 2 12 4 5 5" xfId="38815"/>
    <cellStyle name="Table  - Opmaakprofiel6 2 12 4 5 6" xfId="49576"/>
    <cellStyle name="Table  - Opmaakprofiel6 2 12 4 6" xfId="5794"/>
    <cellStyle name="Table  - Opmaakprofiel6 2 12 4 6 2" xfId="10488"/>
    <cellStyle name="Table  - Opmaakprofiel6 2 12 4 6 2 2" xfId="22786"/>
    <cellStyle name="Table  - Opmaakprofiel6 2 12 4 6 2 3" xfId="34838"/>
    <cellStyle name="Table  - Opmaakprofiel6 2 12 4 6 2 4" xfId="42254"/>
    <cellStyle name="Table  - Opmaakprofiel6 2 12 4 6 2 5" xfId="55453"/>
    <cellStyle name="Table  - Opmaakprofiel6 2 12 4 6 3" xfId="16485"/>
    <cellStyle name="Table  - Opmaakprofiel6 2 12 4 6 4" xfId="28537"/>
    <cellStyle name="Table  - Opmaakprofiel6 2 12 4 6 5" xfId="44870"/>
    <cellStyle name="Table  - Opmaakprofiel6 2 12 4 6 6" xfId="49577"/>
    <cellStyle name="Table  - Opmaakprofiel6 2 12 4 7" xfId="5795"/>
    <cellStyle name="Table  - Opmaakprofiel6 2 12 4 7 2" xfId="16486"/>
    <cellStyle name="Table  - Opmaakprofiel6 2 12 4 7 3" xfId="28538"/>
    <cellStyle name="Table  - Opmaakprofiel6 2 12 4 7 4" xfId="38814"/>
    <cellStyle name="Table  - Opmaakprofiel6 2 12 4 7 5" xfId="49578"/>
    <cellStyle name="Table  - Opmaakprofiel6 2 12 4 8" xfId="7652"/>
    <cellStyle name="Table  - Opmaakprofiel6 2 12 4 8 2" xfId="19950"/>
    <cellStyle name="Table  - Opmaakprofiel6 2 12 4 8 3" xfId="41753"/>
    <cellStyle name="Table  - Opmaakprofiel6 2 12 4 8 4" xfId="43419"/>
    <cellStyle name="Table  - Opmaakprofiel6 2 12 4 8 5" xfId="52622"/>
    <cellStyle name="Table  - Opmaakprofiel6 2 12 4 9" xfId="16480"/>
    <cellStyle name="Table  - Opmaakprofiel6 2 12 5" xfId="1208"/>
    <cellStyle name="Table  - Opmaakprofiel6 2 12 5 2" xfId="2449"/>
    <cellStyle name="Table  - Opmaakprofiel6 2 12 5 2 2" xfId="10489"/>
    <cellStyle name="Table  - Opmaakprofiel6 2 12 5 2 2 2" xfId="22787"/>
    <cellStyle name="Table  - Opmaakprofiel6 2 12 5 2 2 3" xfId="34839"/>
    <cellStyle name="Table  - Opmaakprofiel6 2 12 5 2 2 4" xfId="29407"/>
    <cellStyle name="Table  - Opmaakprofiel6 2 12 5 2 2 5" xfId="55454"/>
    <cellStyle name="Table  - Opmaakprofiel6 2 12 5 2 3" xfId="16488"/>
    <cellStyle name="Table  - Opmaakprofiel6 2 12 5 2 4" xfId="28540"/>
    <cellStyle name="Table  - Opmaakprofiel6 2 12 5 2 5" xfId="38813"/>
    <cellStyle name="Table  - Opmaakprofiel6 2 12 5 2 6" xfId="49579"/>
    <cellStyle name="Table  - Opmaakprofiel6 2 12 5 3" xfId="3219"/>
    <cellStyle name="Table  - Opmaakprofiel6 2 12 5 3 2" xfId="10490"/>
    <cellStyle name="Table  - Opmaakprofiel6 2 12 5 3 2 2" xfId="22788"/>
    <cellStyle name="Table  - Opmaakprofiel6 2 12 5 3 2 3" xfId="34840"/>
    <cellStyle name="Table  - Opmaakprofiel6 2 12 5 3 2 4" xfId="42253"/>
    <cellStyle name="Table  - Opmaakprofiel6 2 12 5 3 2 5" xfId="55455"/>
    <cellStyle name="Table  - Opmaakprofiel6 2 12 5 3 3" xfId="16489"/>
    <cellStyle name="Table  - Opmaakprofiel6 2 12 5 3 4" xfId="28541"/>
    <cellStyle name="Table  - Opmaakprofiel6 2 12 5 3 5" xfId="44868"/>
    <cellStyle name="Table  - Opmaakprofiel6 2 12 5 3 6" xfId="49580"/>
    <cellStyle name="Table  - Opmaakprofiel6 2 12 5 4" xfId="4034"/>
    <cellStyle name="Table  - Opmaakprofiel6 2 12 5 4 2" xfId="10491"/>
    <cellStyle name="Table  - Opmaakprofiel6 2 12 5 4 2 2" xfId="22789"/>
    <cellStyle name="Table  - Opmaakprofiel6 2 12 5 4 2 3" xfId="34841"/>
    <cellStyle name="Table  - Opmaakprofiel6 2 12 5 4 2 4" xfId="34271"/>
    <cellStyle name="Table  - Opmaakprofiel6 2 12 5 4 2 5" xfId="55456"/>
    <cellStyle name="Table  - Opmaakprofiel6 2 12 5 4 3" xfId="16490"/>
    <cellStyle name="Table  - Opmaakprofiel6 2 12 5 4 4" xfId="28542"/>
    <cellStyle name="Table  - Opmaakprofiel6 2 12 5 4 5" xfId="38812"/>
    <cellStyle name="Table  - Opmaakprofiel6 2 12 5 4 6" xfId="49581"/>
    <cellStyle name="Table  - Opmaakprofiel6 2 12 5 5" xfId="5796"/>
    <cellStyle name="Table  - Opmaakprofiel6 2 12 5 5 2" xfId="10492"/>
    <cellStyle name="Table  - Opmaakprofiel6 2 12 5 5 2 2" xfId="22790"/>
    <cellStyle name="Table  - Opmaakprofiel6 2 12 5 5 2 3" xfId="34842"/>
    <cellStyle name="Table  - Opmaakprofiel6 2 12 5 5 2 4" xfId="29417"/>
    <cellStyle name="Table  - Opmaakprofiel6 2 12 5 5 2 5" xfId="55457"/>
    <cellStyle name="Table  - Opmaakprofiel6 2 12 5 5 3" xfId="16491"/>
    <cellStyle name="Table  - Opmaakprofiel6 2 12 5 5 4" xfId="28543"/>
    <cellStyle name="Table  - Opmaakprofiel6 2 12 5 5 5" xfId="38811"/>
    <cellStyle name="Table  - Opmaakprofiel6 2 12 5 5 6" xfId="49582"/>
    <cellStyle name="Table  - Opmaakprofiel6 2 12 5 6" xfId="5797"/>
    <cellStyle name="Table  - Opmaakprofiel6 2 12 5 6 2" xfId="10493"/>
    <cellStyle name="Table  - Opmaakprofiel6 2 12 5 6 2 2" xfId="22791"/>
    <cellStyle name="Table  - Opmaakprofiel6 2 12 5 6 2 3" xfId="34843"/>
    <cellStyle name="Table  - Opmaakprofiel6 2 12 5 6 2 4" xfId="31842"/>
    <cellStyle name="Table  - Opmaakprofiel6 2 12 5 6 2 5" xfId="55458"/>
    <cellStyle name="Table  - Opmaakprofiel6 2 12 5 6 3" xfId="16492"/>
    <cellStyle name="Table  - Opmaakprofiel6 2 12 5 6 4" xfId="28544"/>
    <cellStyle name="Table  - Opmaakprofiel6 2 12 5 6 5" xfId="38810"/>
    <cellStyle name="Table  - Opmaakprofiel6 2 12 5 6 6" xfId="49583"/>
    <cellStyle name="Table  - Opmaakprofiel6 2 12 5 7" xfId="5798"/>
    <cellStyle name="Table  - Opmaakprofiel6 2 12 5 7 2" xfId="16493"/>
    <cellStyle name="Table  - Opmaakprofiel6 2 12 5 7 3" xfId="28545"/>
    <cellStyle name="Table  - Opmaakprofiel6 2 12 5 7 4" xfId="44867"/>
    <cellStyle name="Table  - Opmaakprofiel6 2 12 5 7 5" xfId="49584"/>
    <cellStyle name="Table  - Opmaakprofiel6 2 12 5 8" xfId="7166"/>
    <cellStyle name="Table  - Opmaakprofiel6 2 12 5 8 2" xfId="19464"/>
    <cellStyle name="Table  - Opmaakprofiel6 2 12 5 8 3" xfId="41267"/>
    <cellStyle name="Table  - Opmaakprofiel6 2 12 5 8 4" xfId="43622"/>
    <cellStyle name="Table  - Opmaakprofiel6 2 12 5 8 5" xfId="52136"/>
    <cellStyle name="Table  - Opmaakprofiel6 2 12 5 9" xfId="16487"/>
    <cellStyle name="Table  - Opmaakprofiel6 2 12 6" xfId="596"/>
    <cellStyle name="Table  - Opmaakprofiel6 2 12 6 2" xfId="2395"/>
    <cellStyle name="Table  - Opmaakprofiel6 2 12 6 2 2" xfId="10494"/>
    <cellStyle name="Table  - Opmaakprofiel6 2 12 6 2 2 2" xfId="22792"/>
    <cellStyle name="Table  - Opmaakprofiel6 2 12 6 2 2 3" xfId="34844"/>
    <cellStyle name="Table  - Opmaakprofiel6 2 12 6 2 2 4" xfId="42252"/>
    <cellStyle name="Table  - Opmaakprofiel6 2 12 6 2 2 5" xfId="55459"/>
    <cellStyle name="Table  - Opmaakprofiel6 2 12 6 2 3" xfId="16495"/>
    <cellStyle name="Table  - Opmaakprofiel6 2 12 6 2 4" xfId="28547"/>
    <cellStyle name="Table  - Opmaakprofiel6 2 12 6 2 5" xfId="44866"/>
    <cellStyle name="Table  - Opmaakprofiel6 2 12 6 2 6" xfId="49585"/>
    <cellStyle name="Table  - Opmaakprofiel6 2 12 6 3" xfId="2667"/>
    <cellStyle name="Table  - Opmaakprofiel6 2 12 6 3 2" xfId="10495"/>
    <cellStyle name="Table  - Opmaakprofiel6 2 12 6 3 2 2" xfId="22793"/>
    <cellStyle name="Table  - Opmaakprofiel6 2 12 6 3 2 3" xfId="34845"/>
    <cellStyle name="Table  - Opmaakprofiel6 2 12 6 3 2 4" xfId="29421"/>
    <cellStyle name="Table  - Opmaakprofiel6 2 12 6 3 2 5" xfId="55460"/>
    <cellStyle name="Table  - Opmaakprofiel6 2 12 6 3 3" xfId="16496"/>
    <cellStyle name="Table  - Opmaakprofiel6 2 12 6 3 4" xfId="28548"/>
    <cellStyle name="Table  - Opmaakprofiel6 2 12 6 3 5" xfId="38808"/>
    <cellStyle name="Table  - Opmaakprofiel6 2 12 6 3 6" xfId="49586"/>
    <cellStyle name="Table  - Opmaakprofiel6 2 12 6 4" xfId="3540"/>
    <cellStyle name="Table  - Opmaakprofiel6 2 12 6 4 2" xfId="10496"/>
    <cellStyle name="Table  - Opmaakprofiel6 2 12 6 4 2 2" xfId="22794"/>
    <cellStyle name="Table  - Opmaakprofiel6 2 12 6 4 2 3" xfId="34846"/>
    <cellStyle name="Table  - Opmaakprofiel6 2 12 6 4 2 4" xfId="42251"/>
    <cellStyle name="Table  - Opmaakprofiel6 2 12 6 4 2 5" xfId="55461"/>
    <cellStyle name="Table  - Opmaakprofiel6 2 12 6 4 3" xfId="16497"/>
    <cellStyle name="Table  - Opmaakprofiel6 2 12 6 4 4" xfId="28549"/>
    <cellStyle name="Table  - Opmaakprofiel6 2 12 6 4 5" xfId="44865"/>
    <cellStyle name="Table  - Opmaakprofiel6 2 12 6 4 6" xfId="49587"/>
    <cellStyle name="Table  - Opmaakprofiel6 2 12 6 5" xfId="5799"/>
    <cellStyle name="Table  - Opmaakprofiel6 2 12 6 5 2" xfId="10497"/>
    <cellStyle name="Table  - Opmaakprofiel6 2 12 6 5 2 2" xfId="22795"/>
    <cellStyle name="Table  - Opmaakprofiel6 2 12 6 5 2 3" xfId="34847"/>
    <cellStyle name="Table  - Opmaakprofiel6 2 12 6 5 2 4" xfId="31728"/>
    <cellStyle name="Table  - Opmaakprofiel6 2 12 6 5 2 5" xfId="55462"/>
    <cellStyle name="Table  - Opmaakprofiel6 2 12 6 5 3" xfId="16498"/>
    <cellStyle name="Table  - Opmaakprofiel6 2 12 6 5 4" xfId="28550"/>
    <cellStyle name="Table  - Opmaakprofiel6 2 12 6 5 5" xfId="38807"/>
    <cellStyle name="Table  - Opmaakprofiel6 2 12 6 5 6" xfId="49588"/>
    <cellStyle name="Table  - Opmaakprofiel6 2 12 6 6" xfId="5800"/>
    <cellStyle name="Table  - Opmaakprofiel6 2 12 6 6 2" xfId="10498"/>
    <cellStyle name="Table  - Opmaakprofiel6 2 12 6 6 2 2" xfId="22796"/>
    <cellStyle name="Table  - Opmaakprofiel6 2 12 6 6 2 3" xfId="34848"/>
    <cellStyle name="Table  - Opmaakprofiel6 2 12 6 6 2 4" xfId="42250"/>
    <cellStyle name="Table  - Opmaakprofiel6 2 12 6 6 2 5" xfId="55463"/>
    <cellStyle name="Table  - Opmaakprofiel6 2 12 6 6 3" xfId="16499"/>
    <cellStyle name="Table  - Opmaakprofiel6 2 12 6 6 4" xfId="28551"/>
    <cellStyle name="Table  - Opmaakprofiel6 2 12 6 6 5" xfId="44864"/>
    <cellStyle name="Table  - Opmaakprofiel6 2 12 6 6 6" xfId="49589"/>
    <cellStyle name="Table  - Opmaakprofiel6 2 12 6 7" xfId="5801"/>
    <cellStyle name="Table  - Opmaakprofiel6 2 12 6 7 2" xfId="16500"/>
    <cellStyle name="Table  - Opmaakprofiel6 2 12 6 7 3" xfId="28552"/>
    <cellStyle name="Table  - Opmaakprofiel6 2 12 6 7 4" xfId="38806"/>
    <cellStyle name="Table  - Opmaakprofiel6 2 12 6 7 5" xfId="49590"/>
    <cellStyle name="Table  - Opmaakprofiel6 2 12 6 8" xfId="7585"/>
    <cellStyle name="Table  - Opmaakprofiel6 2 12 6 8 2" xfId="19883"/>
    <cellStyle name="Table  - Opmaakprofiel6 2 12 6 8 3" xfId="41686"/>
    <cellStyle name="Table  - Opmaakprofiel6 2 12 6 8 4" xfId="34318"/>
    <cellStyle name="Table  - Opmaakprofiel6 2 12 6 8 5" xfId="52555"/>
    <cellStyle name="Table  - Opmaakprofiel6 2 12 6 9" xfId="16494"/>
    <cellStyle name="Table  - Opmaakprofiel6 2 12 7" xfId="1486"/>
    <cellStyle name="Table  - Opmaakprofiel6 2 12 7 2" xfId="10499"/>
    <cellStyle name="Table  - Opmaakprofiel6 2 12 7 2 2" xfId="22797"/>
    <cellStyle name="Table  - Opmaakprofiel6 2 12 7 2 3" xfId="34849"/>
    <cellStyle name="Table  - Opmaakprofiel6 2 12 7 2 4" xfId="29428"/>
    <cellStyle name="Table  - Opmaakprofiel6 2 12 7 2 5" xfId="55464"/>
    <cellStyle name="Table  - Opmaakprofiel6 2 12 7 3" xfId="16501"/>
    <cellStyle name="Table  - Opmaakprofiel6 2 12 7 4" xfId="28553"/>
    <cellStyle name="Table  - Opmaakprofiel6 2 12 7 5" xfId="44863"/>
    <cellStyle name="Table  - Opmaakprofiel6 2 12 7 6" xfId="49591"/>
    <cellStyle name="Table  - Opmaakprofiel6 2 12 8" xfId="2807"/>
    <cellStyle name="Table  - Opmaakprofiel6 2 12 8 2" xfId="10500"/>
    <cellStyle name="Table  - Opmaakprofiel6 2 12 8 2 2" xfId="22798"/>
    <cellStyle name="Table  - Opmaakprofiel6 2 12 8 2 3" xfId="34850"/>
    <cellStyle name="Table  - Opmaakprofiel6 2 12 8 2 4" xfId="42249"/>
    <cellStyle name="Table  - Opmaakprofiel6 2 12 8 2 5" xfId="55465"/>
    <cellStyle name="Table  - Opmaakprofiel6 2 12 8 3" xfId="16502"/>
    <cellStyle name="Table  - Opmaakprofiel6 2 12 8 4" xfId="28554"/>
    <cellStyle name="Table  - Opmaakprofiel6 2 12 8 5" xfId="38805"/>
    <cellStyle name="Table  - Opmaakprofiel6 2 12 8 6" xfId="49592"/>
    <cellStyle name="Table  - Opmaakprofiel6 2 12 9" xfId="3666"/>
    <cellStyle name="Table  - Opmaakprofiel6 2 12 9 2" xfId="10501"/>
    <cellStyle name="Table  - Opmaakprofiel6 2 12 9 2 2" xfId="22799"/>
    <cellStyle name="Table  - Opmaakprofiel6 2 12 9 2 3" xfId="34851"/>
    <cellStyle name="Table  - Opmaakprofiel6 2 12 9 2 4" xfId="31661"/>
    <cellStyle name="Table  - Opmaakprofiel6 2 12 9 2 5" xfId="55466"/>
    <cellStyle name="Table  - Opmaakprofiel6 2 12 9 3" xfId="16503"/>
    <cellStyle name="Table  - Opmaakprofiel6 2 12 9 4" xfId="28555"/>
    <cellStyle name="Table  - Opmaakprofiel6 2 12 9 5" xfId="38804"/>
    <cellStyle name="Table  - Opmaakprofiel6 2 12 9 6" xfId="49593"/>
    <cellStyle name="Table  - Opmaakprofiel6 2 13" xfId="781"/>
    <cellStyle name="Table  - Opmaakprofiel6 2 13 10" xfId="5802"/>
    <cellStyle name="Table  - Opmaakprofiel6 2 13 10 2" xfId="10502"/>
    <cellStyle name="Table  - Opmaakprofiel6 2 13 10 2 2" xfId="22800"/>
    <cellStyle name="Table  - Opmaakprofiel6 2 13 10 2 3" xfId="34852"/>
    <cellStyle name="Table  - Opmaakprofiel6 2 13 10 2 4" xfId="42248"/>
    <cellStyle name="Table  - Opmaakprofiel6 2 13 10 2 5" xfId="55467"/>
    <cellStyle name="Table  - Opmaakprofiel6 2 13 10 3" xfId="16505"/>
    <cellStyle name="Table  - Opmaakprofiel6 2 13 10 4" xfId="28557"/>
    <cellStyle name="Table  - Opmaakprofiel6 2 13 10 5" xfId="44862"/>
    <cellStyle name="Table  - Opmaakprofiel6 2 13 10 6" xfId="49594"/>
    <cellStyle name="Table  - Opmaakprofiel6 2 13 11" xfId="5803"/>
    <cellStyle name="Table  - Opmaakprofiel6 2 13 11 2" xfId="10503"/>
    <cellStyle name="Table  - Opmaakprofiel6 2 13 11 2 2" xfId="22801"/>
    <cellStyle name="Table  - Opmaakprofiel6 2 13 11 2 3" xfId="34853"/>
    <cellStyle name="Table  - Opmaakprofiel6 2 13 11 2 4" xfId="29435"/>
    <cellStyle name="Table  - Opmaakprofiel6 2 13 11 2 5" xfId="55468"/>
    <cellStyle name="Table  - Opmaakprofiel6 2 13 11 3" xfId="16506"/>
    <cellStyle name="Table  - Opmaakprofiel6 2 13 11 4" xfId="28558"/>
    <cellStyle name="Table  - Opmaakprofiel6 2 13 11 5" xfId="38802"/>
    <cellStyle name="Table  - Opmaakprofiel6 2 13 11 6" xfId="49595"/>
    <cellStyle name="Table  - Opmaakprofiel6 2 13 12" xfId="5804"/>
    <cellStyle name="Table  - Opmaakprofiel6 2 13 12 2" xfId="16507"/>
    <cellStyle name="Table  - Opmaakprofiel6 2 13 12 3" xfId="28559"/>
    <cellStyle name="Table  - Opmaakprofiel6 2 13 12 4" xfId="44861"/>
    <cellStyle name="Table  - Opmaakprofiel6 2 13 12 5" xfId="49596"/>
    <cellStyle name="Table  - Opmaakprofiel6 2 13 13" xfId="7459"/>
    <cellStyle name="Table  - Opmaakprofiel6 2 13 13 2" xfId="19757"/>
    <cellStyle name="Table  - Opmaakprofiel6 2 13 13 3" xfId="41560"/>
    <cellStyle name="Table  - Opmaakprofiel6 2 13 13 4" xfId="31713"/>
    <cellStyle name="Table  - Opmaakprofiel6 2 13 13 5" xfId="52429"/>
    <cellStyle name="Table  - Opmaakprofiel6 2 13 14" xfId="16504"/>
    <cellStyle name="Table  - Opmaakprofiel6 2 13 2" xfId="944"/>
    <cellStyle name="Table  - Opmaakprofiel6 2 13 2 2" xfId="2233"/>
    <cellStyle name="Table  - Opmaakprofiel6 2 13 2 2 2" xfId="10504"/>
    <cellStyle name="Table  - Opmaakprofiel6 2 13 2 2 2 2" xfId="22802"/>
    <cellStyle name="Table  - Opmaakprofiel6 2 13 2 2 2 3" xfId="34854"/>
    <cellStyle name="Table  - Opmaakprofiel6 2 13 2 2 2 4" xfId="31575"/>
    <cellStyle name="Table  - Opmaakprofiel6 2 13 2 2 2 5" xfId="55469"/>
    <cellStyle name="Table  - Opmaakprofiel6 2 13 2 2 3" xfId="16509"/>
    <cellStyle name="Table  - Opmaakprofiel6 2 13 2 2 4" xfId="28561"/>
    <cellStyle name="Table  - Opmaakprofiel6 2 13 2 2 5" xfId="38801"/>
    <cellStyle name="Table  - Opmaakprofiel6 2 13 2 2 6" xfId="49597"/>
    <cellStyle name="Table  - Opmaakprofiel6 2 13 2 3" xfId="2955"/>
    <cellStyle name="Table  - Opmaakprofiel6 2 13 2 3 2" xfId="10505"/>
    <cellStyle name="Table  - Opmaakprofiel6 2 13 2 3 2 2" xfId="22803"/>
    <cellStyle name="Table  - Opmaakprofiel6 2 13 2 3 2 3" xfId="34855"/>
    <cellStyle name="Table  - Opmaakprofiel6 2 13 2 3 2 4" xfId="29442"/>
    <cellStyle name="Table  - Opmaakprofiel6 2 13 2 3 2 5" xfId="55470"/>
    <cellStyle name="Table  - Opmaakprofiel6 2 13 2 3 3" xfId="16510"/>
    <cellStyle name="Table  - Opmaakprofiel6 2 13 2 3 4" xfId="28562"/>
    <cellStyle name="Table  - Opmaakprofiel6 2 13 2 3 5" xfId="38800"/>
    <cellStyle name="Table  - Opmaakprofiel6 2 13 2 3 6" xfId="49598"/>
    <cellStyle name="Table  - Opmaakprofiel6 2 13 2 4" xfId="3802"/>
    <cellStyle name="Table  - Opmaakprofiel6 2 13 2 4 2" xfId="10506"/>
    <cellStyle name="Table  - Opmaakprofiel6 2 13 2 4 2 2" xfId="22804"/>
    <cellStyle name="Table  - Opmaakprofiel6 2 13 2 4 2 3" xfId="34856"/>
    <cellStyle name="Table  - Opmaakprofiel6 2 13 2 4 2 4" xfId="42247"/>
    <cellStyle name="Table  - Opmaakprofiel6 2 13 2 4 2 5" xfId="55471"/>
    <cellStyle name="Table  - Opmaakprofiel6 2 13 2 4 3" xfId="16511"/>
    <cellStyle name="Table  - Opmaakprofiel6 2 13 2 4 4" xfId="28563"/>
    <cellStyle name="Table  - Opmaakprofiel6 2 13 2 4 5" xfId="44860"/>
    <cellStyle name="Table  - Opmaakprofiel6 2 13 2 4 6" xfId="49599"/>
    <cellStyle name="Table  - Opmaakprofiel6 2 13 2 5" xfId="5805"/>
    <cellStyle name="Table  - Opmaakprofiel6 2 13 2 5 2" xfId="10507"/>
    <cellStyle name="Table  - Opmaakprofiel6 2 13 2 5 2 2" xfId="22805"/>
    <cellStyle name="Table  - Opmaakprofiel6 2 13 2 5 2 3" xfId="34857"/>
    <cellStyle name="Table  - Opmaakprofiel6 2 13 2 5 2 4" xfId="31543"/>
    <cellStyle name="Table  - Opmaakprofiel6 2 13 2 5 2 5" xfId="55472"/>
    <cellStyle name="Table  - Opmaakprofiel6 2 13 2 5 3" xfId="16512"/>
    <cellStyle name="Table  - Opmaakprofiel6 2 13 2 5 4" xfId="28564"/>
    <cellStyle name="Table  - Opmaakprofiel6 2 13 2 5 5" xfId="38799"/>
    <cellStyle name="Table  - Opmaakprofiel6 2 13 2 5 6" xfId="49600"/>
    <cellStyle name="Table  - Opmaakprofiel6 2 13 2 6" xfId="5806"/>
    <cellStyle name="Table  - Opmaakprofiel6 2 13 2 6 2" xfId="10508"/>
    <cellStyle name="Table  - Opmaakprofiel6 2 13 2 6 2 2" xfId="22806"/>
    <cellStyle name="Table  - Opmaakprofiel6 2 13 2 6 2 3" xfId="34858"/>
    <cellStyle name="Table  - Opmaakprofiel6 2 13 2 6 2 4" xfId="42246"/>
    <cellStyle name="Table  - Opmaakprofiel6 2 13 2 6 2 5" xfId="55473"/>
    <cellStyle name="Table  - Opmaakprofiel6 2 13 2 6 3" xfId="16513"/>
    <cellStyle name="Table  - Opmaakprofiel6 2 13 2 6 4" xfId="28565"/>
    <cellStyle name="Table  - Opmaakprofiel6 2 13 2 6 5" xfId="44859"/>
    <cellStyle name="Table  - Opmaakprofiel6 2 13 2 6 6" xfId="49601"/>
    <cellStyle name="Table  - Opmaakprofiel6 2 13 2 7" xfId="5807"/>
    <cellStyle name="Table  - Opmaakprofiel6 2 13 2 7 2" xfId="16514"/>
    <cellStyle name="Table  - Opmaakprofiel6 2 13 2 7 3" xfId="28566"/>
    <cellStyle name="Table  - Opmaakprofiel6 2 13 2 7 4" xfId="38798"/>
    <cellStyle name="Table  - Opmaakprofiel6 2 13 2 7 5" xfId="49602"/>
    <cellStyle name="Table  - Opmaakprofiel6 2 13 2 8" xfId="7349"/>
    <cellStyle name="Table  - Opmaakprofiel6 2 13 2 8 2" xfId="19647"/>
    <cellStyle name="Table  - Opmaakprofiel6 2 13 2 8 3" xfId="41450"/>
    <cellStyle name="Table  - Opmaakprofiel6 2 13 2 8 4" xfId="36830"/>
    <cellStyle name="Table  - Opmaakprofiel6 2 13 2 8 5" xfId="52319"/>
    <cellStyle name="Table  - Opmaakprofiel6 2 13 2 9" xfId="16508"/>
    <cellStyle name="Table  - Opmaakprofiel6 2 13 3" xfId="1041"/>
    <cellStyle name="Table  - Opmaakprofiel6 2 13 3 2" xfId="1913"/>
    <cellStyle name="Table  - Opmaakprofiel6 2 13 3 2 2" xfId="10509"/>
    <cellStyle name="Table  - Opmaakprofiel6 2 13 3 2 2 2" xfId="22807"/>
    <cellStyle name="Table  - Opmaakprofiel6 2 13 3 2 2 3" xfId="34859"/>
    <cellStyle name="Table  - Opmaakprofiel6 2 13 3 2 2 4" xfId="29449"/>
    <cellStyle name="Table  - Opmaakprofiel6 2 13 3 2 2 5" xfId="55474"/>
    <cellStyle name="Table  - Opmaakprofiel6 2 13 3 2 3" xfId="16516"/>
    <cellStyle name="Table  - Opmaakprofiel6 2 13 3 2 4" xfId="28568"/>
    <cellStyle name="Table  - Opmaakprofiel6 2 13 3 2 5" xfId="38797"/>
    <cellStyle name="Table  - Opmaakprofiel6 2 13 3 2 6" xfId="49603"/>
    <cellStyle name="Table  - Opmaakprofiel6 2 13 3 3" xfId="3052"/>
    <cellStyle name="Table  - Opmaakprofiel6 2 13 3 3 2" xfId="10510"/>
    <cellStyle name="Table  - Opmaakprofiel6 2 13 3 3 2 2" xfId="22808"/>
    <cellStyle name="Table  - Opmaakprofiel6 2 13 3 3 2 3" xfId="34860"/>
    <cellStyle name="Table  - Opmaakprofiel6 2 13 3 3 2 4" xfId="42245"/>
    <cellStyle name="Table  - Opmaakprofiel6 2 13 3 3 2 5" xfId="55475"/>
    <cellStyle name="Table  - Opmaakprofiel6 2 13 3 3 3" xfId="16517"/>
    <cellStyle name="Table  - Opmaakprofiel6 2 13 3 3 4" xfId="28569"/>
    <cellStyle name="Table  - Opmaakprofiel6 2 13 3 3 5" xfId="44857"/>
    <cellStyle name="Table  - Opmaakprofiel6 2 13 3 3 6" xfId="49604"/>
    <cellStyle name="Table  - Opmaakprofiel6 2 13 3 4" xfId="3893"/>
    <cellStyle name="Table  - Opmaakprofiel6 2 13 3 4 2" xfId="10511"/>
    <cellStyle name="Table  - Opmaakprofiel6 2 13 3 4 2 2" xfId="22809"/>
    <cellStyle name="Table  - Opmaakprofiel6 2 13 3 4 2 3" xfId="34861"/>
    <cellStyle name="Table  - Opmaakprofiel6 2 13 3 4 2 4" xfId="31517"/>
    <cellStyle name="Table  - Opmaakprofiel6 2 13 3 4 2 5" xfId="55476"/>
    <cellStyle name="Table  - Opmaakprofiel6 2 13 3 4 3" xfId="16518"/>
    <cellStyle name="Table  - Opmaakprofiel6 2 13 3 4 4" xfId="28570"/>
    <cellStyle name="Table  - Opmaakprofiel6 2 13 3 4 5" xfId="38796"/>
    <cellStyle name="Table  - Opmaakprofiel6 2 13 3 4 6" xfId="49605"/>
    <cellStyle name="Table  - Opmaakprofiel6 2 13 3 5" xfId="5808"/>
    <cellStyle name="Table  - Opmaakprofiel6 2 13 3 5 2" xfId="10512"/>
    <cellStyle name="Table  - Opmaakprofiel6 2 13 3 5 2 2" xfId="22810"/>
    <cellStyle name="Table  - Opmaakprofiel6 2 13 3 5 2 3" xfId="34862"/>
    <cellStyle name="Table  - Opmaakprofiel6 2 13 3 5 2 4" xfId="42244"/>
    <cellStyle name="Table  - Opmaakprofiel6 2 13 3 5 2 5" xfId="55477"/>
    <cellStyle name="Table  - Opmaakprofiel6 2 13 3 5 3" xfId="16519"/>
    <cellStyle name="Table  - Opmaakprofiel6 2 13 3 5 4" xfId="28571"/>
    <cellStyle name="Table  - Opmaakprofiel6 2 13 3 5 5" xfId="44856"/>
    <cellStyle name="Table  - Opmaakprofiel6 2 13 3 5 6" xfId="49606"/>
    <cellStyle name="Table  - Opmaakprofiel6 2 13 3 6" xfId="5809"/>
    <cellStyle name="Table  - Opmaakprofiel6 2 13 3 6 2" xfId="10513"/>
    <cellStyle name="Table  - Opmaakprofiel6 2 13 3 6 2 2" xfId="22811"/>
    <cellStyle name="Table  - Opmaakprofiel6 2 13 3 6 2 3" xfId="34863"/>
    <cellStyle name="Table  - Opmaakprofiel6 2 13 3 6 2 4" xfId="29459"/>
    <cellStyle name="Table  - Opmaakprofiel6 2 13 3 6 2 5" xfId="55478"/>
    <cellStyle name="Table  - Opmaakprofiel6 2 13 3 6 3" xfId="16520"/>
    <cellStyle name="Table  - Opmaakprofiel6 2 13 3 6 4" xfId="28572"/>
    <cellStyle name="Table  - Opmaakprofiel6 2 13 3 6 5" xfId="38795"/>
    <cellStyle name="Table  - Opmaakprofiel6 2 13 3 6 6" xfId="49607"/>
    <cellStyle name="Table  - Opmaakprofiel6 2 13 3 7" xfId="5810"/>
    <cellStyle name="Table  - Opmaakprofiel6 2 13 3 7 2" xfId="16521"/>
    <cellStyle name="Table  - Opmaakprofiel6 2 13 3 7 3" xfId="28573"/>
    <cellStyle name="Table  - Opmaakprofiel6 2 13 3 7 4" xfId="38794"/>
    <cellStyle name="Table  - Opmaakprofiel6 2 13 3 7 5" xfId="49608"/>
    <cellStyle name="Table  - Opmaakprofiel6 2 13 3 8" xfId="7282"/>
    <cellStyle name="Table  - Opmaakprofiel6 2 13 3 8 2" xfId="19580"/>
    <cellStyle name="Table  - Opmaakprofiel6 2 13 3 8 3" xfId="41383"/>
    <cellStyle name="Table  - Opmaakprofiel6 2 13 3 8 4" xfId="43574"/>
    <cellStyle name="Table  - Opmaakprofiel6 2 13 3 8 5" xfId="52252"/>
    <cellStyle name="Table  - Opmaakprofiel6 2 13 3 9" xfId="16515"/>
    <cellStyle name="Table  - Opmaakprofiel6 2 13 4" xfId="439"/>
    <cellStyle name="Table  - Opmaakprofiel6 2 13 4 2" xfId="2413"/>
    <cellStyle name="Table  - Opmaakprofiel6 2 13 4 2 2" xfId="10515"/>
    <cellStyle name="Table  - Opmaakprofiel6 2 13 4 2 2 2" xfId="22813"/>
    <cellStyle name="Table  - Opmaakprofiel6 2 13 4 2 2 3" xfId="34865"/>
    <cellStyle name="Table  - Opmaakprofiel6 2 13 4 2 2 4" xfId="31829"/>
    <cellStyle name="Table  - Opmaakprofiel6 2 13 4 2 2 5" xfId="55480"/>
    <cellStyle name="Table  - Opmaakprofiel6 2 13 4 2 3" xfId="16523"/>
    <cellStyle name="Table  - Opmaakprofiel6 2 13 4 2 4" xfId="28575"/>
    <cellStyle name="Table  - Opmaakprofiel6 2 13 4 2 5" xfId="44855"/>
    <cellStyle name="Table  - Opmaakprofiel6 2 13 4 2 6" xfId="49609"/>
    <cellStyle name="Table  - Opmaakprofiel6 2 13 4 3" xfId="2510"/>
    <cellStyle name="Table  - Opmaakprofiel6 2 13 4 3 2" xfId="10516"/>
    <cellStyle name="Table  - Opmaakprofiel6 2 13 4 3 2 2" xfId="22814"/>
    <cellStyle name="Table  - Opmaakprofiel6 2 13 4 3 2 3" xfId="34866"/>
    <cellStyle name="Table  - Opmaakprofiel6 2 13 4 3 2 4" xfId="29463"/>
    <cellStyle name="Table  - Opmaakprofiel6 2 13 4 3 2 5" xfId="55481"/>
    <cellStyle name="Table  - Opmaakprofiel6 2 13 4 3 3" xfId="16524"/>
    <cellStyle name="Table  - Opmaakprofiel6 2 13 4 3 4" xfId="28576"/>
    <cellStyle name="Table  - Opmaakprofiel6 2 13 4 3 5" xfId="38792"/>
    <cellStyle name="Table  - Opmaakprofiel6 2 13 4 3 6" xfId="49610"/>
    <cellStyle name="Table  - Opmaakprofiel6 2 13 4 4" xfId="2056"/>
    <cellStyle name="Table  - Opmaakprofiel6 2 13 4 4 2" xfId="10517"/>
    <cellStyle name="Table  - Opmaakprofiel6 2 13 4 4 2 2" xfId="22815"/>
    <cellStyle name="Table  - Opmaakprofiel6 2 13 4 4 2 3" xfId="34867"/>
    <cellStyle name="Table  - Opmaakprofiel6 2 13 4 4 2 4" xfId="31715"/>
    <cellStyle name="Table  - Opmaakprofiel6 2 13 4 4 2 5" xfId="55482"/>
    <cellStyle name="Table  - Opmaakprofiel6 2 13 4 4 3" xfId="16525"/>
    <cellStyle name="Table  - Opmaakprofiel6 2 13 4 4 4" xfId="28577"/>
    <cellStyle name="Table  - Opmaakprofiel6 2 13 4 4 5" xfId="44854"/>
    <cellStyle name="Table  - Opmaakprofiel6 2 13 4 4 6" xfId="49611"/>
    <cellStyle name="Table  - Opmaakprofiel6 2 13 4 5" xfId="5811"/>
    <cellStyle name="Table  - Opmaakprofiel6 2 13 4 5 2" xfId="10518"/>
    <cellStyle name="Table  - Opmaakprofiel6 2 13 4 5 2 2" xfId="22816"/>
    <cellStyle name="Table  - Opmaakprofiel6 2 13 4 5 2 3" xfId="34868"/>
    <cellStyle name="Table  - Opmaakprofiel6 2 13 4 5 2 4" xfId="42242"/>
    <cellStyle name="Table  - Opmaakprofiel6 2 13 4 5 2 5" xfId="55483"/>
    <cellStyle name="Table  - Opmaakprofiel6 2 13 4 5 3" xfId="16526"/>
    <cellStyle name="Table  - Opmaakprofiel6 2 13 4 5 4" xfId="28578"/>
    <cellStyle name="Table  - Opmaakprofiel6 2 13 4 5 5" xfId="38791"/>
    <cellStyle name="Table  - Opmaakprofiel6 2 13 4 5 6" xfId="49612"/>
    <cellStyle name="Table  - Opmaakprofiel6 2 13 4 6" xfId="5812"/>
    <cellStyle name="Table  - Opmaakprofiel6 2 13 4 6 2" xfId="10519"/>
    <cellStyle name="Table  - Opmaakprofiel6 2 13 4 6 2 2" xfId="22817"/>
    <cellStyle name="Table  - Opmaakprofiel6 2 13 4 6 2 3" xfId="34869"/>
    <cellStyle name="Table  - Opmaakprofiel6 2 13 4 6 2 4" xfId="29470"/>
    <cellStyle name="Table  - Opmaakprofiel6 2 13 4 6 2 5" xfId="55484"/>
    <cellStyle name="Table  - Opmaakprofiel6 2 13 4 6 3" xfId="16527"/>
    <cellStyle name="Table  - Opmaakprofiel6 2 13 4 6 4" xfId="28579"/>
    <cellStyle name="Table  - Opmaakprofiel6 2 13 4 6 5" xfId="44853"/>
    <cellStyle name="Table  - Opmaakprofiel6 2 13 4 6 6" xfId="49613"/>
    <cellStyle name="Table  - Opmaakprofiel6 2 13 4 7" xfId="5813"/>
    <cellStyle name="Table  - Opmaakprofiel6 2 13 4 7 2" xfId="16528"/>
    <cellStyle name="Table  - Opmaakprofiel6 2 13 4 7 3" xfId="28580"/>
    <cellStyle name="Table  - Opmaakprofiel6 2 13 4 7 4" xfId="38790"/>
    <cellStyle name="Table  - Opmaakprofiel6 2 13 4 7 5" xfId="49614"/>
    <cellStyle name="Table  - Opmaakprofiel6 2 13 4 8" xfId="7690"/>
    <cellStyle name="Table  - Opmaakprofiel6 2 13 4 8 2" xfId="19988"/>
    <cellStyle name="Table  - Opmaakprofiel6 2 13 4 8 3" xfId="41791"/>
    <cellStyle name="Table  - Opmaakprofiel6 2 13 4 8 4" xfId="25076"/>
    <cellStyle name="Table  - Opmaakprofiel6 2 13 4 8 5" xfId="52660"/>
    <cellStyle name="Table  - Opmaakprofiel6 2 13 4 9" xfId="16522"/>
    <cellStyle name="Table  - Opmaakprofiel6 2 13 5" xfId="1212"/>
    <cellStyle name="Table  - Opmaakprofiel6 2 13 5 2" xfId="2469"/>
    <cellStyle name="Table  - Opmaakprofiel6 2 13 5 2 2" xfId="10521"/>
    <cellStyle name="Table  - Opmaakprofiel6 2 13 5 2 2 2" xfId="22819"/>
    <cellStyle name="Table  - Opmaakprofiel6 2 13 5 2 2 3" xfId="34871"/>
    <cellStyle name="Table  - Opmaakprofiel6 2 13 5 2 2 4" xfId="34335"/>
    <cellStyle name="Table  - Opmaakprofiel6 2 13 5 2 2 5" xfId="55486"/>
    <cellStyle name="Table  - Opmaakprofiel6 2 13 5 2 3" xfId="16530"/>
    <cellStyle name="Table  - Opmaakprofiel6 2 13 5 2 4" xfId="28582"/>
    <cellStyle name="Table  - Opmaakprofiel6 2 13 5 2 5" xfId="38789"/>
    <cellStyle name="Table  - Opmaakprofiel6 2 13 5 2 6" xfId="49615"/>
    <cellStyle name="Table  - Opmaakprofiel6 2 13 5 3" xfId="3223"/>
    <cellStyle name="Table  - Opmaakprofiel6 2 13 5 3 2" xfId="10522"/>
    <cellStyle name="Table  - Opmaakprofiel6 2 13 5 3 2 2" xfId="22820"/>
    <cellStyle name="Table  - Opmaakprofiel6 2 13 5 3 2 3" xfId="34872"/>
    <cellStyle name="Table  - Opmaakprofiel6 2 13 5 3 2 4" xfId="42240"/>
    <cellStyle name="Table  - Opmaakprofiel6 2 13 5 3 2 5" xfId="55487"/>
    <cellStyle name="Table  - Opmaakprofiel6 2 13 5 3 3" xfId="16531"/>
    <cellStyle name="Table  - Opmaakprofiel6 2 13 5 3 4" xfId="28583"/>
    <cellStyle name="Table  - Opmaakprofiel6 2 13 5 3 5" xfId="44851"/>
    <cellStyle name="Table  - Opmaakprofiel6 2 13 5 3 6" xfId="49616"/>
    <cellStyle name="Table  - Opmaakprofiel6 2 13 5 4" xfId="4038"/>
    <cellStyle name="Table  - Opmaakprofiel6 2 13 5 4 2" xfId="10523"/>
    <cellStyle name="Table  - Opmaakprofiel6 2 13 5 4 2 2" xfId="22821"/>
    <cellStyle name="Table  - Opmaakprofiel6 2 13 5 4 2 3" xfId="34873"/>
    <cellStyle name="Table  - Opmaakprofiel6 2 13 5 4 2 4" xfId="29477"/>
    <cellStyle name="Table  - Opmaakprofiel6 2 13 5 4 2 5" xfId="55488"/>
    <cellStyle name="Table  - Opmaakprofiel6 2 13 5 4 3" xfId="16532"/>
    <cellStyle name="Table  - Opmaakprofiel6 2 13 5 4 4" xfId="28584"/>
    <cellStyle name="Table  - Opmaakprofiel6 2 13 5 4 5" xfId="38788"/>
    <cellStyle name="Table  - Opmaakprofiel6 2 13 5 4 6" xfId="49617"/>
    <cellStyle name="Table  - Opmaakprofiel6 2 13 5 5" xfId="5814"/>
    <cellStyle name="Table  - Opmaakprofiel6 2 13 5 5 2" xfId="10524"/>
    <cellStyle name="Table  - Opmaakprofiel6 2 13 5 5 2 2" xfId="22822"/>
    <cellStyle name="Table  - Opmaakprofiel6 2 13 5 5 2 3" xfId="34874"/>
    <cellStyle name="Table  - Opmaakprofiel6 2 13 5 5 2 4" xfId="42239"/>
    <cellStyle name="Table  - Opmaakprofiel6 2 13 5 5 2 5" xfId="55489"/>
    <cellStyle name="Table  - Opmaakprofiel6 2 13 5 5 3" xfId="16533"/>
    <cellStyle name="Table  - Opmaakprofiel6 2 13 5 5 4" xfId="28585"/>
    <cellStyle name="Table  - Opmaakprofiel6 2 13 5 5 5" xfId="38787"/>
    <cellStyle name="Table  - Opmaakprofiel6 2 13 5 5 6" xfId="49618"/>
    <cellStyle name="Table  - Opmaakprofiel6 2 13 5 6" xfId="5815"/>
    <cellStyle name="Table  - Opmaakprofiel6 2 13 5 6 2" xfId="10525"/>
    <cellStyle name="Table  - Opmaakprofiel6 2 13 5 6 2 2" xfId="22823"/>
    <cellStyle name="Table  - Opmaakprofiel6 2 13 5 6 2 3" xfId="34875"/>
    <cellStyle name="Table  - Opmaakprofiel6 2 13 5 6 2 4" xfId="34292"/>
    <cellStyle name="Table  - Opmaakprofiel6 2 13 5 6 2 5" xfId="55490"/>
    <cellStyle name="Table  - Opmaakprofiel6 2 13 5 6 3" xfId="16534"/>
    <cellStyle name="Table  - Opmaakprofiel6 2 13 5 6 4" xfId="28586"/>
    <cellStyle name="Table  - Opmaakprofiel6 2 13 5 6 5" xfId="38786"/>
    <cellStyle name="Table  - Opmaakprofiel6 2 13 5 6 6" xfId="49619"/>
    <cellStyle name="Table  - Opmaakprofiel6 2 13 5 7" xfId="5816"/>
    <cellStyle name="Table  - Opmaakprofiel6 2 13 5 7 2" xfId="16535"/>
    <cellStyle name="Table  - Opmaakprofiel6 2 13 5 7 3" xfId="28587"/>
    <cellStyle name="Table  - Opmaakprofiel6 2 13 5 7 4" xfId="44850"/>
    <cellStyle name="Table  - Opmaakprofiel6 2 13 5 7 5" xfId="49620"/>
    <cellStyle name="Table  - Opmaakprofiel6 2 13 5 8" xfId="7162"/>
    <cellStyle name="Table  - Opmaakprofiel6 2 13 5 8 2" xfId="19460"/>
    <cellStyle name="Table  - Opmaakprofiel6 2 13 5 8 3" xfId="41263"/>
    <cellStyle name="Table  - Opmaakprofiel6 2 13 5 8 4" xfId="43624"/>
    <cellStyle name="Table  - Opmaakprofiel6 2 13 5 8 5" xfId="52132"/>
    <cellStyle name="Table  - Opmaakprofiel6 2 13 5 9" xfId="16529"/>
    <cellStyle name="Table  - Opmaakprofiel6 2 13 6" xfId="1221"/>
    <cellStyle name="Table  - Opmaakprofiel6 2 13 6 2" xfId="1745"/>
    <cellStyle name="Table  - Opmaakprofiel6 2 13 6 2 2" xfId="10526"/>
    <cellStyle name="Table  - Opmaakprofiel6 2 13 6 2 2 2" xfId="22824"/>
    <cellStyle name="Table  - Opmaakprofiel6 2 13 6 2 2 3" xfId="34876"/>
    <cellStyle name="Table  - Opmaakprofiel6 2 13 6 2 2 4" xfId="42238"/>
    <cellStyle name="Table  - Opmaakprofiel6 2 13 6 2 2 5" xfId="55491"/>
    <cellStyle name="Table  - Opmaakprofiel6 2 13 6 2 3" xfId="16537"/>
    <cellStyle name="Table  - Opmaakprofiel6 2 13 6 2 4" xfId="28589"/>
    <cellStyle name="Table  - Opmaakprofiel6 2 13 6 2 5" xfId="44849"/>
    <cellStyle name="Table  - Opmaakprofiel6 2 13 6 2 6" xfId="49621"/>
    <cellStyle name="Table  - Opmaakprofiel6 2 13 6 3" xfId="3232"/>
    <cellStyle name="Table  - Opmaakprofiel6 2 13 6 3 2" xfId="10527"/>
    <cellStyle name="Table  - Opmaakprofiel6 2 13 6 3 2 2" xfId="22825"/>
    <cellStyle name="Table  - Opmaakprofiel6 2 13 6 3 2 3" xfId="34877"/>
    <cellStyle name="Table  - Opmaakprofiel6 2 13 6 3 2 4" xfId="29484"/>
    <cellStyle name="Table  - Opmaakprofiel6 2 13 6 3 2 5" xfId="55492"/>
    <cellStyle name="Table  - Opmaakprofiel6 2 13 6 3 3" xfId="16538"/>
    <cellStyle name="Table  - Opmaakprofiel6 2 13 6 3 4" xfId="28590"/>
    <cellStyle name="Table  - Opmaakprofiel6 2 13 6 3 5" xfId="38784"/>
    <cellStyle name="Table  - Opmaakprofiel6 2 13 6 3 6" xfId="49622"/>
    <cellStyle name="Table  - Opmaakprofiel6 2 13 6 4" xfId="4047"/>
    <cellStyle name="Table  - Opmaakprofiel6 2 13 6 4 2" xfId="10528"/>
    <cellStyle name="Table  - Opmaakprofiel6 2 13 6 4 2 2" xfId="22826"/>
    <cellStyle name="Table  - Opmaakprofiel6 2 13 6 4 2 3" xfId="34878"/>
    <cellStyle name="Table  - Opmaakprofiel6 2 13 6 4 2 4" xfId="34219"/>
    <cellStyle name="Table  - Opmaakprofiel6 2 13 6 4 2 5" xfId="55493"/>
    <cellStyle name="Table  - Opmaakprofiel6 2 13 6 4 3" xfId="16539"/>
    <cellStyle name="Table  - Opmaakprofiel6 2 13 6 4 4" xfId="28591"/>
    <cellStyle name="Table  - Opmaakprofiel6 2 13 6 4 5" xfId="44848"/>
    <cellStyle name="Table  - Opmaakprofiel6 2 13 6 4 6" xfId="49623"/>
    <cellStyle name="Table  - Opmaakprofiel6 2 13 6 5" xfId="5817"/>
    <cellStyle name="Table  - Opmaakprofiel6 2 13 6 5 2" xfId="10529"/>
    <cellStyle name="Table  - Opmaakprofiel6 2 13 6 5 2 2" xfId="22827"/>
    <cellStyle name="Table  - Opmaakprofiel6 2 13 6 5 2 3" xfId="34879"/>
    <cellStyle name="Table  - Opmaakprofiel6 2 13 6 5 2 4" xfId="29491"/>
    <cellStyle name="Table  - Opmaakprofiel6 2 13 6 5 2 5" xfId="55494"/>
    <cellStyle name="Table  - Opmaakprofiel6 2 13 6 5 3" xfId="16540"/>
    <cellStyle name="Table  - Opmaakprofiel6 2 13 6 5 4" xfId="28592"/>
    <cellStyle name="Table  - Opmaakprofiel6 2 13 6 5 5" xfId="38783"/>
    <cellStyle name="Table  - Opmaakprofiel6 2 13 6 5 6" xfId="49624"/>
    <cellStyle name="Table  - Opmaakprofiel6 2 13 6 6" xfId="5818"/>
    <cellStyle name="Table  - Opmaakprofiel6 2 13 6 6 2" xfId="10530"/>
    <cellStyle name="Table  - Opmaakprofiel6 2 13 6 6 2 2" xfId="22828"/>
    <cellStyle name="Table  - Opmaakprofiel6 2 13 6 6 2 3" xfId="34880"/>
    <cellStyle name="Table  - Opmaakprofiel6 2 13 6 6 2 4" xfId="42237"/>
    <cellStyle name="Table  - Opmaakprofiel6 2 13 6 6 2 5" xfId="55495"/>
    <cellStyle name="Table  - Opmaakprofiel6 2 13 6 6 3" xfId="16541"/>
    <cellStyle name="Table  - Opmaakprofiel6 2 13 6 6 4" xfId="28593"/>
    <cellStyle name="Table  - Opmaakprofiel6 2 13 6 6 5" xfId="44847"/>
    <cellStyle name="Table  - Opmaakprofiel6 2 13 6 6 6" xfId="49625"/>
    <cellStyle name="Table  - Opmaakprofiel6 2 13 6 7" xfId="5819"/>
    <cellStyle name="Table  - Opmaakprofiel6 2 13 6 7 2" xfId="16542"/>
    <cellStyle name="Table  - Opmaakprofiel6 2 13 6 7 3" xfId="28594"/>
    <cellStyle name="Table  - Opmaakprofiel6 2 13 6 7 4" xfId="38782"/>
    <cellStyle name="Table  - Opmaakprofiel6 2 13 6 7 5" xfId="49626"/>
    <cellStyle name="Table  - Opmaakprofiel6 2 13 6 8" xfId="7153"/>
    <cellStyle name="Table  - Opmaakprofiel6 2 13 6 8 2" xfId="19451"/>
    <cellStyle name="Table  - Opmaakprofiel6 2 13 6 8 3" xfId="41254"/>
    <cellStyle name="Table  - Opmaakprofiel6 2 13 6 8 4" xfId="36945"/>
    <cellStyle name="Table  - Opmaakprofiel6 2 13 6 8 5" xfId="52123"/>
    <cellStyle name="Table  - Opmaakprofiel6 2 13 6 9" xfId="16536"/>
    <cellStyle name="Table  - Opmaakprofiel6 2 13 7" xfId="1635"/>
    <cellStyle name="Table  - Opmaakprofiel6 2 13 7 2" xfId="10531"/>
    <cellStyle name="Table  - Opmaakprofiel6 2 13 7 2 2" xfId="22829"/>
    <cellStyle name="Table  - Opmaakprofiel6 2 13 7 2 3" xfId="34881"/>
    <cellStyle name="Table  - Opmaakprofiel6 2 13 7 2 4" xfId="31724"/>
    <cellStyle name="Table  - Opmaakprofiel6 2 13 7 2 5" xfId="55496"/>
    <cellStyle name="Table  - Opmaakprofiel6 2 13 7 3" xfId="16543"/>
    <cellStyle name="Table  - Opmaakprofiel6 2 13 7 4" xfId="28595"/>
    <cellStyle name="Table  - Opmaakprofiel6 2 13 7 5" xfId="44846"/>
    <cellStyle name="Table  - Opmaakprofiel6 2 13 7 6" xfId="49627"/>
    <cellStyle name="Table  - Opmaakprofiel6 2 13 8" xfId="2811"/>
    <cellStyle name="Table  - Opmaakprofiel6 2 13 8 2" xfId="10532"/>
    <cellStyle name="Table  - Opmaakprofiel6 2 13 8 2 2" xfId="22830"/>
    <cellStyle name="Table  - Opmaakprofiel6 2 13 8 2 3" xfId="34882"/>
    <cellStyle name="Table  - Opmaakprofiel6 2 13 8 2 4" xfId="42236"/>
    <cellStyle name="Table  - Opmaakprofiel6 2 13 8 2 5" xfId="55497"/>
    <cellStyle name="Table  - Opmaakprofiel6 2 13 8 3" xfId="16544"/>
    <cellStyle name="Table  - Opmaakprofiel6 2 13 8 4" xfId="28596"/>
    <cellStyle name="Table  - Opmaakprofiel6 2 13 8 5" xfId="38781"/>
    <cellStyle name="Table  - Opmaakprofiel6 2 13 8 6" xfId="49628"/>
    <cellStyle name="Table  - Opmaakprofiel6 2 13 9" xfId="3670"/>
    <cellStyle name="Table  - Opmaakprofiel6 2 13 9 2" xfId="10533"/>
    <cellStyle name="Table  - Opmaakprofiel6 2 13 9 2 2" xfId="22831"/>
    <cellStyle name="Table  - Opmaakprofiel6 2 13 9 2 3" xfId="34883"/>
    <cellStyle name="Table  - Opmaakprofiel6 2 13 9 2 4" xfId="29501"/>
    <cellStyle name="Table  - Opmaakprofiel6 2 13 9 2 5" xfId="55498"/>
    <cellStyle name="Table  - Opmaakprofiel6 2 13 9 3" xfId="16545"/>
    <cellStyle name="Table  - Opmaakprofiel6 2 13 9 4" xfId="28597"/>
    <cellStyle name="Table  - Opmaakprofiel6 2 13 9 5" xfId="38780"/>
    <cellStyle name="Table  - Opmaakprofiel6 2 13 9 6" xfId="49629"/>
    <cellStyle name="Table  - Opmaakprofiel6 2 14" xfId="760"/>
    <cellStyle name="Table  - Opmaakprofiel6 2 14 10" xfId="5820"/>
    <cellStyle name="Table  - Opmaakprofiel6 2 14 10 2" xfId="10534"/>
    <cellStyle name="Table  - Opmaakprofiel6 2 14 10 2 2" xfId="22832"/>
    <cellStyle name="Table  - Opmaakprofiel6 2 14 10 2 3" xfId="34884"/>
    <cellStyle name="Table  - Opmaakprofiel6 2 14 10 2 4" xfId="42235"/>
    <cellStyle name="Table  - Opmaakprofiel6 2 14 10 2 5" xfId="55499"/>
    <cellStyle name="Table  - Opmaakprofiel6 2 14 10 3" xfId="16547"/>
    <cellStyle name="Table  - Opmaakprofiel6 2 14 10 4" xfId="28599"/>
    <cellStyle name="Table  - Opmaakprofiel6 2 14 10 5" xfId="44845"/>
    <cellStyle name="Table  - Opmaakprofiel6 2 14 10 6" xfId="49630"/>
    <cellStyle name="Table  - Opmaakprofiel6 2 14 11" xfId="5821"/>
    <cellStyle name="Table  - Opmaakprofiel6 2 14 11 2" xfId="10535"/>
    <cellStyle name="Table  - Opmaakprofiel6 2 14 11 2 2" xfId="22833"/>
    <cellStyle name="Table  - Opmaakprofiel6 2 14 11 2 3" xfId="34885"/>
    <cellStyle name="Table  - Opmaakprofiel6 2 14 11 2 4" xfId="31848"/>
    <cellStyle name="Table  - Opmaakprofiel6 2 14 11 2 5" xfId="55500"/>
    <cellStyle name="Table  - Opmaakprofiel6 2 14 11 3" xfId="16548"/>
    <cellStyle name="Table  - Opmaakprofiel6 2 14 11 4" xfId="28600"/>
    <cellStyle name="Table  - Opmaakprofiel6 2 14 11 5" xfId="38778"/>
    <cellStyle name="Table  - Opmaakprofiel6 2 14 11 6" xfId="49631"/>
    <cellStyle name="Table  - Opmaakprofiel6 2 14 12" xfId="5822"/>
    <cellStyle name="Table  - Opmaakprofiel6 2 14 12 2" xfId="16549"/>
    <cellStyle name="Table  - Opmaakprofiel6 2 14 12 3" xfId="28601"/>
    <cellStyle name="Table  - Opmaakprofiel6 2 14 12 4" xfId="44844"/>
    <cellStyle name="Table  - Opmaakprofiel6 2 14 12 5" xfId="49632"/>
    <cellStyle name="Table  - Opmaakprofiel6 2 14 13" xfId="7474"/>
    <cellStyle name="Table  - Opmaakprofiel6 2 14 13 2" xfId="19772"/>
    <cellStyle name="Table  - Opmaakprofiel6 2 14 13 3" xfId="41575"/>
    <cellStyle name="Table  - Opmaakprofiel6 2 14 13 4" xfId="15510"/>
    <cellStyle name="Table  - Opmaakprofiel6 2 14 13 5" xfId="52444"/>
    <cellStyle name="Table  - Opmaakprofiel6 2 14 14" xfId="16546"/>
    <cellStyle name="Table  - Opmaakprofiel6 2 14 2" xfId="926"/>
    <cellStyle name="Table  - Opmaakprofiel6 2 14 2 2" xfId="2353"/>
    <cellStyle name="Table  - Opmaakprofiel6 2 14 2 2 2" xfId="10536"/>
    <cellStyle name="Table  - Opmaakprofiel6 2 14 2 2 2 2" xfId="22834"/>
    <cellStyle name="Table  - Opmaakprofiel6 2 14 2 2 2 3" xfId="34886"/>
    <cellStyle name="Table  - Opmaakprofiel6 2 14 2 2 2 4" xfId="42234"/>
    <cellStyle name="Table  - Opmaakprofiel6 2 14 2 2 2 5" xfId="55501"/>
    <cellStyle name="Table  - Opmaakprofiel6 2 14 2 2 3" xfId="16551"/>
    <cellStyle name="Table  - Opmaakprofiel6 2 14 2 2 4" xfId="28603"/>
    <cellStyle name="Table  - Opmaakprofiel6 2 14 2 2 5" xfId="44843"/>
    <cellStyle name="Table  - Opmaakprofiel6 2 14 2 2 6" xfId="49633"/>
    <cellStyle name="Table  - Opmaakprofiel6 2 14 2 3" xfId="2937"/>
    <cellStyle name="Table  - Opmaakprofiel6 2 14 2 3 2" xfId="10537"/>
    <cellStyle name="Table  - Opmaakprofiel6 2 14 2 3 2 2" xfId="22835"/>
    <cellStyle name="Table  - Opmaakprofiel6 2 14 2 3 2 3" xfId="34887"/>
    <cellStyle name="Table  - Opmaakprofiel6 2 14 2 3 2 4" xfId="29505"/>
    <cellStyle name="Table  - Opmaakprofiel6 2 14 2 3 2 5" xfId="55502"/>
    <cellStyle name="Table  - Opmaakprofiel6 2 14 2 3 3" xfId="16552"/>
    <cellStyle name="Table  - Opmaakprofiel6 2 14 2 3 4" xfId="28604"/>
    <cellStyle name="Table  - Opmaakprofiel6 2 14 2 3 5" xfId="38776"/>
    <cellStyle name="Table  - Opmaakprofiel6 2 14 2 3 6" xfId="49634"/>
    <cellStyle name="Table  - Opmaakprofiel6 2 14 2 4" xfId="3786"/>
    <cellStyle name="Table  - Opmaakprofiel6 2 14 2 4 2" xfId="10538"/>
    <cellStyle name="Table  - Opmaakprofiel6 2 14 2 4 2 2" xfId="22836"/>
    <cellStyle name="Table  - Opmaakprofiel6 2 14 2 4 2 3" xfId="34888"/>
    <cellStyle name="Table  - Opmaakprofiel6 2 14 2 4 2 4" xfId="42233"/>
    <cellStyle name="Table  - Opmaakprofiel6 2 14 2 4 2 5" xfId="55503"/>
    <cellStyle name="Table  - Opmaakprofiel6 2 14 2 4 3" xfId="16553"/>
    <cellStyle name="Table  - Opmaakprofiel6 2 14 2 4 4" xfId="28605"/>
    <cellStyle name="Table  - Opmaakprofiel6 2 14 2 4 5" xfId="44842"/>
    <cellStyle name="Table  - Opmaakprofiel6 2 14 2 4 6" xfId="49635"/>
    <cellStyle name="Table  - Opmaakprofiel6 2 14 2 5" xfId="5823"/>
    <cellStyle name="Table  - Opmaakprofiel6 2 14 2 5 2" xfId="10539"/>
    <cellStyle name="Table  - Opmaakprofiel6 2 14 2 5 2 2" xfId="22837"/>
    <cellStyle name="Table  - Opmaakprofiel6 2 14 2 5 2 3" xfId="34889"/>
    <cellStyle name="Table  - Opmaakprofiel6 2 14 2 5 2 4" xfId="34423"/>
    <cellStyle name="Table  - Opmaakprofiel6 2 14 2 5 2 5" xfId="55504"/>
    <cellStyle name="Table  - Opmaakprofiel6 2 14 2 5 3" xfId="16554"/>
    <cellStyle name="Table  - Opmaakprofiel6 2 14 2 5 4" xfId="28606"/>
    <cellStyle name="Table  - Opmaakprofiel6 2 14 2 5 5" xfId="38775"/>
    <cellStyle name="Table  - Opmaakprofiel6 2 14 2 5 6" xfId="49636"/>
    <cellStyle name="Table  - Opmaakprofiel6 2 14 2 6" xfId="5824"/>
    <cellStyle name="Table  - Opmaakprofiel6 2 14 2 6 2" xfId="10540"/>
    <cellStyle name="Table  - Opmaakprofiel6 2 14 2 6 2 2" xfId="22838"/>
    <cellStyle name="Table  - Opmaakprofiel6 2 14 2 6 2 3" xfId="34890"/>
    <cellStyle name="Table  - Opmaakprofiel6 2 14 2 6 2 4" xfId="29512"/>
    <cellStyle name="Table  - Opmaakprofiel6 2 14 2 6 2 5" xfId="55505"/>
    <cellStyle name="Table  - Opmaakprofiel6 2 14 2 6 3" xfId="16555"/>
    <cellStyle name="Table  - Opmaakprofiel6 2 14 2 6 4" xfId="28607"/>
    <cellStyle name="Table  - Opmaakprofiel6 2 14 2 6 5" xfId="44841"/>
    <cellStyle name="Table  - Opmaakprofiel6 2 14 2 6 6" xfId="49637"/>
    <cellStyle name="Table  - Opmaakprofiel6 2 14 2 7" xfId="5825"/>
    <cellStyle name="Table  - Opmaakprofiel6 2 14 2 7 2" xfId="16556"/>
    <cellStyle name="Table  - Opmaakprofiel6 2 14 2 7 3" xfId="28608"/>
    <cellStyle name="Table  - Opmaakprofiel6 2 14 2 7 4" xfId="38774"/>
    <cellStyle name="Table  - Opmaakprofiel6 2 14 2 7 5" xfId="49638"/>
    <cellStyle name="Table  - Opmaakprofiel6 2 14 2 8" xfId="7361"/>
    <cellStyle name="Table  - Opmaakprofiel6 2 14 2 8 2" xfId="19659"/>
    <cellStyle name="Table  - Opmaakprofiel6 2 14 2 8 3" xfId="41462"/>
    <cellStyle name="Table  - Opmaakprofiel6 2 14 2 8 4" xfId="19273"/>
    <cellStyle name="Table  - Opmaakprofiel6 2 14 2 8 5" xfId="52331"/>
    <cellStyle name="Table  - Opmaakprofiel6 2 14 2 9" xfId="16550"/>
    <cellStyle name="Table  - Opmaakprofiel6 2 14 3" xfId="1024"/>
    <cellStyle name="Table  - Opmaakprofiel6 2 14 3 2" xfId="1730"/>
    <cellStyle name="Table  - Opmaakprofiel6 2 14 3 2 2" xfId="10541"/>
    <cellStyle name="Table  - Opmaakprofiel6 2 14 3 2 2 2" xfId="22839"/>
    <cellStyle name="Table  - Opmaakprofiel6 2 14 3 2 2 3" xfId="34891"/>
    <cellStyle name="Table  - Opmaakprofiel6 2 14 3 2 2 4" xfId="34353"/>
    <cellStyle name="Table  - Opmaakprofiel6 2 14 3 2 2 5" xfId="55506"/>
    <cellStyle name="Table  - Opmaakprofiel6 2 14 3 2 3" xfId="16558"/>
    <cellStyle name="Table  - Opmaakprofiel6 2 14 3 2 4" xfId="28610"/>
    <cellStyle name="Table  - Opmaakprofiel6 2 14 3 2 5" xfId="38773"/>
    <cellStyle name="Table  - Opmaakprofiel6 2 14 3 2 6" xfId="49639"/>
    <cellStyle name="Table  - Opmaakprofiel6 2 14 3 3" xfId="3035"/>
    <cellStyle name="Table  - Opmaakprofiel6 2 14 3 3 2" xfId="10542"/>
    <cellStyle name="Table  - Opmaakprofiel6 2 14 3 3 2 2" xfId="22840"/>
    <cellStyle name="Table  - Opmaakprofiel6 2 14 3 3 2 3" xfId="34892"/>
    <cellStyle name="Table  - Opmaakprofiel6 2 14 3 3 2 4" xfId="42232"/>
    <cellStyle name="Table  - Opmaakprofiel6 2 14 3 3 2 5" xfId="55507"/>
    <cellStyle name="Table  - Opmaakprofiel6 2 14 3 3 3" xfId="16559"/>
    <cellStyle name="Table  - Opmaakprofiel6 2 14 3 3 4" xfId="28611"/>
    <cellStyle name="Table  - Opmaakprofiel6 2 14 3 3 5" xfId="44840"/>
    <cellStyle name="Table  - Opmaakprofiel6 2 14 3 3 6" xfId="49640"/>
    <cellStyle name="Table  - Opmaakprofiel6 2 14 3 4" xfId="3878"/>
    <cellStyle name="Table  - Opmaakprofiel6 2 14 3 4 2" xfId="10543"/>
    <cellStyle name="Table  - Opmaakprofiel6 2 14 3 4 2 2" xfId="22841"/>
    <cellStyle name="Table  - Opmaakprofiel6 2 14 3 4 2 3" xfId="34893"/>
    <cellStyle name="Table  - Opmaakprofiel6 2 14 3 4 2 4" xfId="29519"/>
    <cellStyle name="Table  - Opmaakprofiel6 2 14 3 4 2 5" xfId="55508"/>
    <cellStyle name="Table  - Opmaakprofiel6 2 14 3 4 3" xfId="16560"/>
    <cellStyle name="Table  - Opmaakprofiel6 2 14 3 4 4" xfId="28612"/>
    <cellStyle name="Table  - Opmaakprofiel6 2 14 3 4 5" xfId="38772"/>
    <cellStyle name="Table  - Opmaakprofiel6 2 14 3 4 6" xfId="49641"/>
    <cellStyle name="Table  - Opmaakprofiel6 2 14 3 5" xfId="5826"/>
    <cellStyle name="Table  - Opmaakprofiel6 2 14 3 5 2" xfId="10544"/>
    <cellStyle name="Table  - Opmaakprofiel6 2 14 3 5 2 2" xfId="22842"/>
    <cellStyle name="Table  - Opmaakprofiel6 2 14 3 5 2 3" xfId="34894"/>
    <cellStyle name="Table  - Opmaakprofiel6 2 14 3 5 2 4" xfId="42231"/>
    <cellStyle name="Table  - Opmaakprofiel6 2 14 3 5 2 5" xfId="55509"/>
    <cellStyle name="Table  - Opmaakprofiel6 2 14 3 5 3" xfId="16561"/>
    <cellStyle name="Table  - Opmaakprofiel6 2 14 3 5 4" xfId="28613"/>
    <cellStyle name="Table  - Opmaakprofiel6 2 14 3 5 5" xfId="44839"/>
    <cellStyle name="Table  - Opmaakprofiel6 2 14 3 5 6" xfId="49642"/>
    <cellStyle name="Table  - Opmaakprofiel6 2 14 3 6" xfId="5827"/>
    <cellStyle name="Table  - Opmaakprofiel6 2 14 3 6 2" xfId="10545"/>
    <cellStyle name="Table  - Opmaakprofiel6 2 14 3 6 2 2" xfId="22843"/>
    <cellStyle name="Table  - Opmaakprofiel6 2 14 3 6 2 3" xfId="34895"/>
    <cellStyle name="Table  - Opmaakprofiel6 2 14 3 6 2 4" xfId="31769"/>
    <cellStyle name="Table  - Opmaakprofiel6 2 14 3 6 2 5" xfId="55510"/>
    <cellStyle name="Table  - Opmaakprofiel6 2 14 3 6 3" xfId="16562"/>
    <cellStyle name="Table  - Opmaakprofiel6 2 14 3 6 4" xfId="28614"/>
    <cellStyle name="Table  - Opmaakprofiel6 2 14 3 6 5" xfId="38771"/>
    <cellStyle name="Table  - Opmaakprofiel6 2 14 3 6 6" xfId="49643"/>
    <cellStyle name="Table  - Opmaakprofiel6 2 14 3 7" xfId="5828"/>
    <cellStyle name="Table  - Opmaakprofiel6 2 14 3 7 2" xfId="16563"/>
    <cellStyle name="Table  - Opmaakprofiel6 2 14 3 7 3" xfId="28615"/>
    <cellStyle name="Table  - Opmaakprofiel6 2 14 3 7 4" xfId="44838"/>
    <cellStyle name="Table  - Opmaakprofiel6 2 14 3 7 5" xfId="49644"/>
    <cellStyle name="Table  - Opmaakprofiel6 2 14 3 8" xfId="7293"/>
    <cellStyle name="Table  - Opmaakprofiel6 2 14 3 8 2" xfId="19591"/>
    <cellStyle name="Table  - Opmaakprofiel6 2 14 3 8 3" xfId="41394"/>
    <cellStyle name="Table  - Opmaakprofiel6 2 14 3 8 4" xfId="36863"/>
    <cellStyle name="Table  - Opmaakprofiel6 2 14 3 8 5" xfId="52263"/>
    <cellStyle name="Table  - Opmaakprofiel6 2 14 3 9" xfId="16557"/>
    <cellStyle name="Table  - Opmaakprofiel6 2 14 4" xfId="853"/>
    <cellStyle name="Table  - Opmaakprofiel6 2 14 4 2" xfId="1446"/>
    <cellStyle name="Table  - Opmaakprofiel6 2 14 4 2 2" xfId="10547"/>
    <cellStyle name="Table  - Opmaakprofiel6 2 14 4 2 2 2" xfId="22845"/>
    <cellStyle name="Table  - Opmaakprofiel6 2 14 4 2 2 3" xfId="34897"/>
    <cellStyle name="Table  - Opmaakprofiel6 2 14 4 2 2 4" xfId="29526"/>
    <cellStyle name="Table  - Opmaakprofiel6 2 14 4 2 2 5" xfId="55512"/>
    <cellStyle name="Table  - Opmaakprofiel6 2 14 4 2 3" xfId="16565"/>
    <cellStyle name="Table  - Opmaakprofiel6 2 14 4 2 4" xfId="28617"/>
    <cellStyle name="Table  - Opmaakprofiel6 2 14 4 2 5" xfId="44837"/>
    <cellStyle name="Table  - Opmaakprofiel6 2 14 4 2 6" xfId="49645"/>
    <cellStyle name="Table  - Opmaakprofiel6 2 14 4 3" xfId="2864"/>
    <cellStyle name="Table  - Opmaakprofiel6 2 14 4 3 2" xfId="10548"/>
    <cellStyle name="Table  - Opmaakprofiel6 2 14 4 3 2 2" xfId="22846"/>
    <cellStyle name="Table  - Opmaakprofiel6 2 14 4 3 2 3" xfId="34898"/>
    <cellStyle name="Table  - Opmaakprofiel6 2 14 4 3 2 4" xfId="42229"/>
    <cellStyle name="Table  - Opmaakprofiel6 2 14 4 3 2 5" xfId="55513"/>
    <cellStyle name="Table  - Opmaakprofiel6 2 14 4 3 3" xfId="16566"/>
    <cellStyle name="Table  - Opmaakprofiel6 2 14 4 3 4" xfId="28618"/>
    <cellStyle name="Table  - Opmaakprofiel6 2 14 4 3 5" xfId="38769"/>
    <cellStyle name="Table  - Opmaakprofiel6 2 14 4 3 6" xfId="49646"/>
    <cellStyle name="Table  - Opmaakprofiel6 2 14 4 4" xfId="3717"/>
    <cellStyle name="Table  - Opmaakprofiel6 2 14 4 4 2" xfId="10549"/>
    <cellStyle name="Table  - Opmaakprofiel6 2 14 4 4 2 2" xfId="22847"/>
    <cellStyle name="Table  - Opmaakprofiel6 2 14 4 4 2 3" xfId="34899"/>
    <cellStyle name="Table  - Opmaakprofiel6 2 14 4 4 2 4" xfId="34238"/>
    <cellStyle name="Table  - Opmaakprofiel6 2 14 4 4 2 5" xfId="55514"/>
    <cellStyle name="Table  - Opmaakprofiel6 2 14 4 4 3" xfId="16567"/>
    <cellStyle name="Table  - Opmaakprofiel6 2 14 4 4 4" xfId="28619"/>
    <cellStyle name="Table  - Opmaakprofiel6 2 14 4 4 5" xfId="44836"/>
    <cellStyle name="Table  - Opmaakprofiel6 2 14 4 4 6" xfId="49647"/>
    <cellStyle name="Table  - Opmaakprofiel6 2 14 4 5" xfId="5829"/>
    <cellStyle name="Table  - Opmaakprofiel6 2 14 4 5 2" xfId="10550"/>
    <cellStyle name="Table  - Opmaakprofiel6 2 14 4 5 2 2" xfId="22848"/>
    <cellStyle name="Table  - Opmaakprofiel6 2 14 4 5 2 3" xfId="34900"/>
    <cellStyle name="Table  - Opmaakprofiel6 2 14 4 5 2 4" xfId="42228"/>
    <cellStyle name="Table  - Opmaakprofiel6 2 14 4 5 2 5" xfId="55515"/>
    <cellStyle name="Table  - Opmaakprofiel6 2 14 4 5 3" xfId="16568"/>
    <cellStyle name="Table  - Opmaakprofiel6 2 14 4 5 4" xfId="28620"/>
    <cellStyle name="Table  - Opmaakprofiel6 2 14 4 5 5" xfId="38768"/>
    <cellStyle name="Table  - Opmaakprofiel6 2 14 4 5 6" xfId="49648"/>
    <cellStyle name="Table  - Opmaakprofiel6 2 14 4 6" xfId="5830"/>
    <cellStyle name="Table  - Opmaakprofiel6 2 14 4 6 2" xfId="10551"/>
    <cellStyle name="Table  - Opmaakprofiel6 2 14 4 6 2 2" xfId="22849"/>
    <cellStyle name="Table  - Opmaakprofiel6 2 14 4 6 2 3" xfId="34901"/>
    <cellStyle name="Table  - Opmaakprofiel6 2 14 4 6 2 4" xfId="29533"/>
    <cellStyle name="Table  - Opmaakprofiel6 2 14 4 6 2 5" xfId="55516"/>
    <cellStyle name="Table  - Opmaakprofiel6 2 14 4 6 3" xfId="16569"/>
    <cellStyle name="Table  - Opmaakprofiel6 2 14 4 6 4" xfId="28621"/>
    <cellStyle name="Table  - Opmaakprofiel6 2 14 4 6 5" xfId="38767"/>
    <cellStyle name="Table  - Opmaakprofiel6 2 14 4 6 6" xfId="49649"/>
    <cellStyle name="Table  - Opmaakprofiel6 2 14 4 7" xfId="5831"/>
    <cellStyle name="Table  - Opmaakprofiel6 2 14 4 7 2" xfId="16570"/>
    <cellStyle name="Table  - Opmaakprofiel6 2 14 4 7 3" xfId="28622"/>
    <cellStyle name="Table  - Opmaakprofiel6 2 14 4 7 4" xfId="38766"/>
    <cellStyle name="Table  - Opmaakprofiel6 2 14 4 7 5" xfId="49650"/>
    <cellStyle name="Table  - Opmaakprofiel6 2 14 4 8" xfId="7410"/>
    <cellStyle name="Table  - Opmaakprofiel6 2 14 4 8 2" xfId="19708"/>
    <cellStyle name="Table  - Opmaakprofiel6 2 14 4 8 3" xfId="41511"/>
    <cellStyle name="Table  - Opmaakprofiel6 2 14 4 8 4" xfId="43520"/>
    <cellStyle name="Table  - Opmaakprofiel6 2 14 4 8 5" xfId="52380"/>
    <cellStyle name="Table  - Opmaakprofiel6 2 14 4 9" xfId="16564"/>
    <cellStyle name="Table  - Opmaakprofiel6 2 14 5" xfId="1196"/>
    <cellStyle name="Table  - Opmaakprofiel6 2 14 5 2" xfId="2231"/>
    <cellStyle name="Table  - Opmaakprofiel6 2 14 5 2 2" xfId="10553"/>
    <cellStyle name="Table  - Opmaakprofiel6 2 14 5 2 2 2" xfId="22851"/>
    <cellStyle name="Table  - Opmaakprofiel6 2 14 5 2 2 3" xfId="34903"/>
    <cellStyle name="Table  - Opmaakprofiel6 2 14 5 2 2 4" xfId="29543"/>
    <cellStyle name="Table  - Opmaakprofiel6 2 14 5 2 2 5" xfId="55518"/>
    <cellStyle name="Table  - Opmaakprofiel6 2 14 5 2 3" xfId="16572"/>
    <cellStyle name="Table  - Opmaakprofiel6 2 14 5 2 4" xfId="28624"/>
    <cellStyle name="Table  - Opmaakprofiel6 2 14 5 2 5" xfId="38765"/>
    <cellStyle name="Table  - Opmaakprofiel6 2 14 5 2 6" xfId="49651"/>
    <cellStyle name="Table  - Opmaakprofiel6 2 14 5 3" xfId="3207"/>
    <cellStyle name="Table  - Opmaakprofiel6 2 14 5 3 2" xfId="10554"/>
    <cellStyle name="Table  - Opmaakprofiel6 2 14 5 3 2 2" xfId="22852"/>
    <cellStyle name="Table  - Opmaakprofiel6 2 14 5 3 2 3" xfId="34904"/>
    <cellStyle name="Table  - Opmaakprofiel6 2 14 5 3 2 4" xfId="42227"/>
    <cellStyle name="Table  - Opmaakprofiel6 2 14 5 3 2 5" xfId="55519"/>
    <cellStyle name="Table  - Opmaakprofiel6 2 14 5 3 3" xfId="16573"/>
    <cellStyle name="Table  - Opmaakprofiel6 2 14 5 3 4" xfId="28625"/>
    <cellStyle name="Table  - Opmaakprofiel6 2 14 5 3 5" xfId="44834"/>
    <cellStyle name="Table  - Opmaakprofiel6 2 14 5 3 6" xfId="49652"/>
    <cellStyle name="Table  - Opmaakprofiel6 2 14 5 4" xfId="4025"/>
    <cellStyle name="Table  - Opmaakprofiel6 2 14 5 4 2" xfId="10555"/>
    <cellStyle name="Table  - Opmaakprofiel6 2 14 5 4 2 2" xfId="22853"/>
    <cellStyle name="Table  - Opmaakprofiel6 2 14 5 4 2 3" xfId="34905"/>
    <cellStyle name="Table  - Opmaakprofiel6 2 14 5 4 2 4" xfId="31845"/>
    <cellStyle name="Table  - Opmaakprofiel6 2 14 5 4 2 5" xfId="55520"/>
    <cellStyle name="Table  - Opmaakprofiel6 2 14 5 4 3" xfId="16574"/>
    <cellStyle name="Table  - Opmaakprofiel6 2 14 5 4 4" xfId="28626"/>
    <cellStyle name="Table  - Opmaakprofiel6 2 14 5 4 5" xfId="38764"/>
    <cellStyle name="Table  - Opmaakprofiel6 2 14 5 4 6" xfId="49653"/>
    <cellStyle name="Table  - Opmaakprofiel6 2 14 5 5" xfId="5832"/>
    <cellStyle name="Table  - Opmaakprofiel6 2 14 5 5 2" xfId="10556"/>
    <cellStyle name="Table  - Opmaakprofiel6 2 14 5 5 2 2" xfId="22854"/>
    <cellStyle name="Table  - Opmaakprofiel6 2 14 5 5 2 3" xfId="34906"/>
    <cellStyle name="Table  - Opmaakprofiel6 2 14 5 5 2 4" xfId="42226"/>
    <cellStyle name="Table  - Opmaakprofiel6 2 14 5 5 2 5" xfId="55521"/>
    <cellStyle name="Table  - Opmaakprofiel6 2 14 5 5 3" xfId="16575"/>
    <cellStyle name="Table  - Opmaakprofiel6 2 14 5 5 4" xfId="28627"/>
    <cellStyle name="Table  - Opmaakprofiel6 2 14 5 5 5" xfId="44833"/>
    <cellStyle name="Table  - Opmaakprofiel6 2 14 5 5 6" xfId="49654"/>
    <cellStyle name="Table  - Opmaakprofiel6 2 14 5 6" xfId="5833"/>
    <cellStyle name="Table  - Opmaakprofiel6 2 14 5 6 2" xfId="10557"/>
    <cellStyle name="Table  - Opmaakprofiel6 2 14 5 6 2 2" xfId="22855"/>
    <cellStyle name="Table  - Opmaakprofiel6 2 14 5 6 2 3" xfId="34907"/>
    <cellStyle name="Table  - Opmaakprofiel6 2 14 5 6 2 4" xfId="29547"/>
    <cellStyle name="Table  - Opmaakprofiel6 2 14 5 6 2 5" xfId="55522"/>
    <cellStyle name="Table  - Opmaakprofiel6 2 14 5 6 3" xfId="16576"/>
    <cellStyle name="Table  - Opmaakprofiel6 2 14 5 6 4" xfId="28628"/>
    <cellStyle name="Table  - Opmaakprofiel6 2 14 5 6 5" xfId="38763"/>
    <cellStyle name="Table  - Opmaakprofiel6 2 14 5 6 6" xfId="49655"/>
    <cellStyle name="Table  - Opmaakprofiel6 2 14 5 7" xfId="5834"/>
    <cellStyle name="Table  - Opmaakprofiel6 2 14 5 7 2" xfId="16577"/>
    <cellStyle name="Table  - Opmaakprofiel6 2 14 5 7 3" xfId="28629"/>
    <cellStyle name="Table  - Opmaakprofiel6 2 14 5 7 4" xfId="44832"/>
    <cellStyle name="Table  - Opmaakprofiel6 2 14 5 7 5" xfId="49656"/>
    <cellStyle name="Table  - Opmaakprofiel6 2 14 5 8" xfId="7176"/>
    <cellStyle name="Table  - Opmaakprofiel6 2 14 5 8 2" xfId="19474"/>
    <cellStyle name="Table  - Opmaakprofiel6 2 14 5 8 3" xfId="41277"/>
    <cellStyle name="Table  - Opmaakprofiel6 2 14 5 8 4" xfId="43618"/>
    <cellStyle name="Table  - Opmaakprofiel6 2 14 5 8 5" xfId="52146"/>
    <cellStyle name="Table  - Opmaakprofiel6 2 14 5 9" xfId="16571"/>
    <cellStyle name="Table  - Opmaakprofiel6 2 14 6" xfId="849"/>
    <cellStyle name="Table  - Opmaakprofiel6 2 14 6 2" xfId="1516"/>
    <cellStyle name="Table  - Opmaakprofiel6 2 14 6 2 2" xfId="10558"/>
    <cellStyle name="Table  - Opmaakprofiel6 2 14 6 2 2 2" xfId="22856"/>
    <cellStyle name="Table  - Opmaakprofiel6 2 14 6 2 2 3" xfId="34908"/>
    <cellStyle name="Table  - Opmaakprofiel6 2 14 6 2 2 4" xfId="42225"/>
    <cellStyle name="Table  - Opmaakprofiel6 2 14 6 2 2 5" xfId="55523"/>
    <cellStyle name="Table  - Opmaakprofiel6 2 14 6 2 3" xfId="16579"/>
    <cellStyle name="Table  - Opmaakprofiel6 2 14 6 2 4" xfId="28631"/>
    <cellStyle name="Table  - Opmaakprofiel6 2 14 6 2 5" xfId="44831"/>
    <cellStyle name="Table  - Opmaakprofiel6 2 14 6 2 6" xfId="49657"/>
    <cellStyle name="Table  - Opmaakprofiel6 2 14 6 3" xfId="2860"/>
    <cellStyle name="Table  - Opmaakprofiel6 2 14 6 3 2" xfId="10559"/>
    <cellStyle name="Table  - Opmaakprofiel6 2 14 6 3 2 2" xfId="22857"/>
    <cellStyle name="Table  - Opmaakprofiel6 2 14 6 3 2 3" xfId="34909"/>
    <cellStyle name="Table  - Opmaakprofiel6 2 14 6 3 2 4" xfId="34415"/>
    <cellStyle name="Table  - Opmaakprofiel6 2 14 6 3 2 5" xfId="55524"/>
    <cellStyle name="Table  - Opmaakprofiel6 2 14 6 3 3" xfId="16580"/>
    <cellStyle name="Table  - Opmaakprofiel6 2 14 6 3 4" xfId="28632"/>
    <cellStyle name="Table  - Opmaakprofiel6 2 14 6 3 5" xfId="38761"/>
    <cellStyle name="Table  - Opmaakprofiel6 2 14 6 3 6" xfId="49658"/>
    <cellStyle name="Table  - Opmaakprofiel6 2 14 6 4" xfId="3713"/>
    <cellStyle name="Table  - Opmaakprofiel6 2 14 6 4 2" xfId="10560"/>
    <cellStyle name="Table  - Opmaakprofiel6 2 14 6 4 2 2" xfId="22858"/>
    <cellStyle name="Table  - Opmaakprofiel6 2 14 6 4 2 3" xfId="34910"/>
    <cellStyle name="Table  - Opmaakprofiel6 2 14 6 4 2 4" xfId="42224"/>
    <cellStyle name="Table  - Opmaakprofiel6 2 14 6 4 2 5" xfId="55525"/>
    <cellStyle name="Table  - Opmaakprofiel6 2 14 6 4 3" xfId="16581"/>
    <cellStyle name="Table  - Opmaakprofiel6 2 14 6 4 4" xfId="28633"/>
    <cellStyle name="Table  - Opmaakprofiel6 2 14 6 4 5" xfId="38760"/>
    <cellStyle name="Table  - Opmaakprofiel6 2 14 6 4 6" xfId="49659"/>
    <cellStyle name="Table  - Opmaakprofiel6 2 14 6 5" xfId="5835"/>
    <cellStyle name="Table  - Opmaakprofiel6 2 14 6 5 2" xfId="10561"/>
    <cellStyle name="Table  - Opmaakprofiel6 2 14 6 5 2 2" xfId="22859"/>
    <cellStyle name="Table  - Opmaakprofiel6 2 14 6 5 2 3" xfId="34911"/>
    <cellStyle name="Table  - Opmaakprofiel6 2 14 6 5 2 4" xfId="29554"/>
    <cellStyle name="Table  - Opmaakprofiel6 2 14 6 5 2 5" xfId="55526"/>
    <cellStyle name="Table  - Opmaakprofiel6 2 14 6 5 3" xfId="16582"/>
    <cellStyle name="Table  - Opmaakprofiel6 2 14 6 5 4" xfId="28634"/>
    <cellStyle name="Table  - Opmaakprofiel6 2 14 6 5 5" xfId="38759"/>
    <cellStyle name="Table  - Opmaakprofiel6 2 14 6 5 6" xfId="49660"/>
    <cellStyle name="Table  - Opmaakprofiel6 2 14 6 6" xfId="5836"/>
    <cellStyle name="Table  - Opmaakprofiel6 2 14 6 6 2" xfId="10562"/>
    <cellStyle name="Table  - Opmaakprofiel6 2 14 6 6 2 2" xfId="22860"/>
    <cellStyle name="Table  - Opmaakprofiel6 2 14 6 6 2 3" xfId="34912"/>
    <cellStyle name="Table  - Opmaakprofiel6 2 14 6 6 2 4" xfId="42223"/>
    <cellStyle name="Table  - Opmaakprofiel6 2 14 6 6 2 5" xfId="55527"/>
    <cellStyle name="Table  - Opmaakprofiel6 2 14 6 6 3" xfId="16583"/>
    <cellStyle name="Table  - Opmaakprofiel6 2 14 6 6 4" xfId="28635"/>
    <cellStyle name="Table  - Opmaakprofiel6 2 14 6 6 5" xfId="44830"/>
    <cellStyle name="Table  - Opmaakprofiel6 2 14 6 6 6" xfId="49661"/>
    <cellStyle name="Table  - Opmaakprofiel6 2 14 6 7" xfId="5837"/>
    <cellStyle name="Table  - Opmaakprofiel6 2 14 6 7 2" xfId="16584"/>
    <cellStyle name="Table  - Opmaakprofiel6 2 14 6 7 3" xfId="28636"/>
    <cellStyle name="Table  - Opmaakprofiel6 2 14 6 7 4" xfId="38758"/>
    <cellStyle name="Table  - Opmaakprofiel6 2 14 6 7 5" xfId="49662"/>
    <cellStyle name="Table  - Opmaakprofiel6 2 14 6 8" xfId="7413"/>
    <cellStyle name="Table  - Opmaakprofiel6 2 14 6 8 2" xfId="19711"/>
    <cellStyle name="Table  - Opmaakprofiel6 2 14 6 8 3" xfId="41514"/>
    <cellStyle name="Table  - Opmaakprofiel6 2 14 6 8 4" xfId="15571"/>
    <cellStyle name="Table  - Opmaakprofiel6 2 14 6 8 5" xfId="52383"/>
    <cellStyle name="Table  - Opmaakprofiel6 2 14 6 9" xfId="16578"/>
    <cellStyle name="Table  - Opmaakprofiel6 2 14 7" xfId="2087"/>
    <cellStyle name="Table  - Opmaakprofiel6 2 14 7 2" xfId="10563"/>
    <cellStyle name="Table  - Opmaakprofiel6 2 14 7 2 2" xfId="22861"/>
    <cellStyle name="Table  - Opmaakprofiel6 2 14 7 2 3" xfId="34913"/>
    <cellStyle name="Table  - Opmaakprofiel6 2 14 7 2 4" xfId="31665"/>
    <cellStyle name="Table  - Opmaakprofiel6 2 14 7 2 5" xfId="55528"/>
    <cellStyle name="Table  - Opmaakprofiel6 2 14 7 3" xfId="16585"/>
    <cellStyle name="Table  - Opmaakprofiel6 2 14 7 4" xfId="28637"/>
    <cellStyle name="Table  - Opmaakprofiel6 2 14 7 5" xfId="44829"/>
    <cellStyle name="Table  - Opmaakprofiel6 2 14 7 6" xfId="49663"/>
    <cellStyle name="Table  - Opmaakprofiel6 2 14 8" xfId="2798"/>
    <cellStyle name="Table  - Opmaakprofiel6 2 14 8 2" xfId="10564"/>
    <cellStyle name="Table  - Opmaakprofiel6 2 14 8 2 2" xfId="22862"/>
    <cellStyle name="Table  - Opmaakprofiel6 2 14 8 2 3" xfId="34914"/>
    <cellStyle name="Table  - Opmaakprofiel6 2 14 8 2 4" xfId="29561"/>
    <cellStyle name="Table  - Opmaakprofiel6 2 14 8 2 5" xfId="55529"/>
    <cellStyle name="Table  - Opmaakprofiel6 2 14 8 3" xfId="16586"/>
    <cellStyle name="Table  - Opmaakprofiel6 2 14 8 4" xfId="28638"/>
    <cellStyle name="Table  - Opmaakprofiel6 2 14 8 5" xfId="38757"/>
    <cellStyle name="Table  - Opmaakprofiel6 2 14 8 6" xfId="49664"/>
    <cellStyle name="Table  - Opmaakprofiel6 2 14 9" xfId="3660"/>
    <cellStyle name="Table  - Opmaakprofiel6 2 14 9 2" xfId="10565"/>
    <cellStyle name="Table  - Opmaakprofiel6 2 14 9 2 2" xfId="22863"/>
    <cellStyle name="Table  - Opmaakprofiel6 2 14 9 2 3" xfId="34915"/>
    <cellStyle name="Table  - Opmaakprofiel6 2 14 9 2 4" xfId="31765"/>
    <cellStyle name="Table  - Opmaakprofiel6 2 14 9 2 5" xfId="55530"/>
    <cellStyle name="Table  - Opmaakprofiel6 2 14 9 3" xfId="16587"/>
    <cellStyle name="Table  - Opmaakprofiel6 2 14 9 4" xfId="28639"/>
    <cellStyle name="Table  - Opmaakprofiel6 2 14 9 5" xfId="44828"/>
    <cellStyle name="Table  - Opmaakprofiel6 2 14 9 6" xfId="49665"/>
    <cellStyle name="Table  - Opmaakprofiel6 2 15" xfId="783"/>
    <cellStyle name="Table  - Opmaakprofiel6 2 15 10" xfId="5838"/>
    <cellStyle name="Table  - Opmaakprofiel6 2 15 10 2" xfId="10566"/>
    <cellStyle name="Table  - Opmaakprofiel6 2 15 10 2 2" xfId="22864"/>
    <cellStyle name="Table  - Opmaakprofiel6 2 15 10 2 3" xfId="34916"/>
    <cellStyle name="Table  - Opmaakprofiel6 2 15 10 2 4" xfId="42222"/>
    <cellStyle name="Table  - Opmaakprofiel6 2 15 10 2 5" xfId="55531"/>
    <cellStyle name="Table  - Opmaakprofiel6 2 15 10 3" xfId="16589"/>
    <cellStyle name="Table  - Opmaakprofiel6 2 15 10 4" xfId="28641"/>
    <cellStyle name="Table  - Opmaakprofiel6 2 15 10 5" xfId="44827"/>
    <cellStyle name="Table  - Opmaakprofiel6 2 15 10 6" xfId="49666"/>
    <cellStyle name="Table  - Opmaakprofiel6 2 15 11" xfId="5839"/>
    <cellStyle name="Table  - Opmaakprofiel6 2 15 11 2" xfId="10567"/>
    <cellStyle name="Table  - Opmaakprofiel6 2 15 11 2 2" xfId="22865"/>
    <cellStyle name="Table  - Opmaakprofiel6 2 15 11 2 3" xfId="34917"/>
    <cellStyle name="Table  - Opmaakprofiel6 2 15 11 2 4" xfId="29568"/>
    <cellStyle name="Table  - Opmaakprofiel6 2 15 11 2 5" xfId="55532"/>
    <cellStyle name="Table  - Opmaakprofiel6 2 15 11 3" xfId="16590"/>
    <cellStyle name="Table  - Opmaakprofiel6 2 15 11 4" xfId="28642"/>
    <cellStyle name="Table  - Opmaakprofiel6 2 15 11 5" xfId="38756"/>
    <cellStyle name="Table  - Opmaakprofiel6 2 15 11 6" xfId="49667"/>
    <cellStyle name="Table  - Opmaakprofiel6 2 15 12" xfId="5840"/>
    <cellStyle name="Table  - Opmaakprofiel6 2 15 12 2" xfId="16591"/>
    <cellStyle name="Table  - Opmaakprofiel6 2 15 12 3" xfId="28643"/>
    <cellStyle name="Table  - Opmaakprofiel6 2 15 12 4" xfId="44826"/>
    <cellStyle name="Table  - Opmaakprofiel6 2 15 12 5" xfId="49668"/>
    <cellStyle name="Table  - Opmaakprofiel6 2 15 13" xfId="7458"/>
    <cellStyle name="Table  - Opmaakprofiel6 2 15 13 2" xfId="19756"/>
    <cellStyle name="Table  - Opmaakprofiel6 2 15 13 3" xfId="41559"/>
    <cellStyle name="Table  - Opmaakprofiel6 2 15 13 4" xfId="43500"/>
    <cellStyle name="Table  - Opmaakprofiel6 2 15 13 5" xfId="52428"/>
    <cellStyle name="Table  - Opmaakprofiel6 2 15 14" xfId="16588"/>
    <cellStyle name="Table  - Opmaakprofiel6 2 15 2" xfId="946"/>
    <cellStyle name="Table  - Opmaakprofiel6 2 15 2 2" xfId="2268"/>
    <cellStyle name="Table  - Opmaakprofiel6 2 15 2 2 2" xfId="10568"/>
    <cellStyle name="Table  - Opmaakprofiel6 2 15 2 2 2 2" xfId="22866"/>
    <cellStyle name="Table  - Opmaakprofiel6 2 15 2 2 2 3" xfId="34918"/>
    <cellStyle name="Table  - Opmaakprofiel6 2 15 2 2 2 4" xfId="42221"/>
    <cellStyle name="Table  - Opmaakprofiel6 2 15 2 2 2 5" xfId="55533"/>
    <cellStyle name="Table  - Opmaakprofiel6 2 15 2 2 3" xfId="16593"/>
    <cellStyle name="Table  - Opmaakprofiel6 2 15 2 2 4" xfId="28645"/>
    <cellStyle name="Table  - Opmaakprofiel6 2 15 2 2 5" xfId="38754"/>
    <cellStyle name="Table  - Opmaakprofiel6 2 15 2 2 6" xfId="49669"/>
    <cellStyle name="Table  - Opmaakprofiel6 2 15 2 3" xfId="2957"/>
    <cellStyle name="Table  - Opmaakprofiel6 2 15 2 3 2" xfId="10569"/>
    <cellStyle name="Table  - Opmaakprofiel6 2 15 2 3 2 2" xfId="22867"/>
    <cellStyle name="Table  - Opmaakprofiel6 2 15 2 3 2 3" xfId="34919"/>
    <cellStyle name="Table  - Opmaakprofiel6 2 15 2 3 2 4" xfId="31546"/>
    <cellStyle name="Table  - Opmaakprofiel6 2 15 2 3 2 5" xfId="55534"/>
    <cellStyle name="Table  - Opmaakprofiel6 2 15 2 3 3" xfId="16594"/>
    <cellStyle name="Table  - Opmaakprofiel6 2 15 2 3 4" xfId="28646"/>
    <cellStyle name="Table  - Opmaakprofiel6 2 15 2 3 5" xfId="38753"/>
    <cellStyle name="Table  - Opmaakprofiel6 2 15 2 3 6" xfId="49670"/>
    <cellStyle name="Table  - Opmaakprofiel6 2 15 2 4" xfId="3804"/>
    <cellStyle name="Table  - Opmaakprofiel6 2 15 2 4 2" xfId="10570"/>
    <cellStyle name="Table  - Opmaakprofiel6 2 15 2 4 2 2" xfId="22868"/>
    <cellStyle name="Table  - Opmaakprofiel6 2 15 2 4 2 3" xfId="34920"/>
    <cellStyle name="Table  - Opmaakprofiel6 2 15 2 4 2 4" xfId="42220"/>
    <cellStyle name="Table  - Opmaakprofiel6 2 15 2 4 2 5" xfId="55535"/>
    <cellStyle name="Table  - Opmaakprofiel6 2 15 2 4 3" xfId="16595"/>
    <cellStyle name="Table  - Opmaakprofiel6 2 15 2 4 4" xfId="28647"/>
    <cellStyle name="Table  - Opmaakprofiel6 2 15 2 4 5" xfId="44825"/>
    <cellStyle name="Table  - Opmaakprofiel6 2 15 2 4 6" xfId="49671"/>
    <cellStyle name="Table  - Opmaakprofiel6 2 15 2 5" xfId="5841"/>
    <cellStyle name="Table  - Opmaakprofiel6 2 15 2 5 2" xfId="10571"/>
    <cellStyle name="Table  - Opmaakprofiel6 2 15 2 5 2 2" xfId="22869"/>
    <cellStyle name="Table  - Opmaakprofiel6 2 15 2 5 2 3" xfId="34921"/>
    <cellStyle name="Table  - Opmaakprofiel6 2 15 2 5 2 4" xfId="29575"/>
    <cellStyle name="Table  - Opmaakprofiel6 2 15 2 5 2 5" xfId="55536"/>
    <cellStyle name="Table  - Opmaakprofiel6 2 15 2 5 3" xfId="16596"/>
    <cellStyle name="Table  - Opmaakprofiel6 2 15 2 5 4" xfId="28648"/>
    <cellStyle name="Table  - Opmaakprofiel6 2 15 2 5 5" xfId="38752"/>
    <cellStyle name="Table  - Opmaakprofiel6 2 15 2 5 6" xfId="49672"/>
    <cellStyle name="Table  - Opmaakprofiel6 2 15 2 6" xfId="5842"/>
    <cellStyle name="Table  - Opmaakprofiel6 2 15 2 6 2" xfId="10572"/>
    <cellStyle name="Table  - Opmaakprofiel6 2 15 2 6 2 2" xfId="22870"/>
    <cellStyle name="Table  - Opmaakprofiel6 2 15 2 6 2 3" xfId="34922"/>
    <cellStyle name="Table  - Opmaakprofiel6 2 15 2 6 2 4" xfId="42219"/>
    <cellStyle name="Table  - Opmaakprofiel6 2 15 2 6 2 5" xfId="55537"/>
    <cellStyle name="Table  - Opmaakprofiel6 2 15 2 6 3" xfId="16597"/>
    <cellStyle name="Table  - Opmaakprofiel6 2 15 2 6 4" xfId="28649"/>
    <cellStyle name="Table  - Opmaakprofiel6 2 15 2 6 5" xfId="44824"/>
    <cellStyle name="Table  - Opmaakprofiel6 2 15 2 6 6" xfId="49673"/>
    <cellStyle name="Table  - Opmaakprofiel6 2 15 2 7" xfId="5843"/>
    <cellStyle name="Table  - Opmaakprofiel6 2 15 2 7 2" xfId="16598"/>
    <cellStyle name="Table  - Opmaakprofiel6 2 15 2 7 3" xfId="28650"/>
    <cellStyle name="Table  - Opmaakprofiel6 2 15 2 7 4" xfId="38751"/>
    <cellStyle name="Table  - Opmaakprofiel6 2 15 2 7 5" xfId="49674"/>
    <cellStyle name="Table  - Opmaakprofiel6 2 15 2 8" xfId="10036"/>
    <cellStyle name="Table  - Opmaakprofiel6 2 15 2 8 2" xfId="22334"/>
    <cellStyle name="Table  - Opmaakprofiel6 2 15 2 8 3" xfId="44098"/>
    <cellStyle name="Table  - Opmaakprofiel6 2 15 2 8 4" xfId="31737"/>
    <cellStyle name="Table  - Opmaakprofiel6 2 15 2 8 5" xfId="55001"/>
    <cellStyle name="Table  - Opmaakprofiel6 2 15 2 9" xfId="16592"/>
    <cellStyle name="Table  - Opmaakprofiel6 2 15 3" xfId="1043"/>
    <cellStyle name="Table  - Opmaakprofiel6 2 15 3 2" xfId="2077"/>
    <cellStyle name="Table  - Opmaakprofiel6 2 15 3 2 2" xfId="10573"/>
    <cellStyle name="Table  - Opmaakprofiel6 2 15 3 2 2 2" xfId="22871"/>
    <cellStyle name="Table  - Opmaakprofiel6 2 15 3 2 2 3" xfId="34923"/>
    <cellStyle name="Table  - Opmaakprofiel6 2 15 3 2 2 4" xfId="31565"/>
    <cellStyle name="Table  - Opmaakprofiel6 2 15 3 2 2 5" xfId="55538"/>
    <cellStyle name="Table  - Opmaakprofiel6 2 15 3 2 3" xfId="16600"/>
    <cellStyle name="Table  - Opmaakprofiel6 2 15 3 2 4" xfId="28652"/>
    <cellStyle name="Table  - Opmaakprofiel6 2 15 3 2 5" xfId="38750"/>
    <cellStyle name="Table  - Opmaakprofiel6 2 15 3 2 6" xfId="49675"/>
    <cellStyle name="Table  - Opmaakprofiel6 2 15 3 3" xfId="3054"/>
    <cellStyle name="Table  - Opmaakprofiel6 2 15 3 3 2" xfId="10574"/>
    <cellStyle name="Table  - Opmaakprofiel6 2 15 3 3 2 2" xfId="22872"/>
    <cellStyle name="Table  - Opmaakprofiel6 2 15 3 3 2 3" xfId="34924"/>
    <cellStyle name="Table  - Opmaakprofiel6 2 15 3 3 2 4" xfId="42218"/>
    <cellStyle name="Table  - Opmaakprofiel6 2 15 3 3 2 5" xfId="55539"/>
    <cellStyle name="Table  - Opmaakprofiel6 2 15 3 3 3" xfId="16601"/>
    <cellStyle name="Table  - Opmaakprofiel6 2 15 3 3 4" xfId="28653"/>
    <cellStyle name="Table  - Opmaakprofiel6 2 15 3 3 5" xfId="44822"/>
    <cellStyle name="Table  - Opmaakprofiel6 2 15 3 3 6" xfId="49676"/>
    <cellStyle name="Table  - Opmaakprofiel6 2 15 3 4" xfId="3895"/>
    <cellStyle name="Table  - Opmaakprofiel6 2 15 3 4 2" xfId="10575"/>
    <cellStyle name="Table  - Opmaakprofiel6 2 15 3 4 2 2" xfId="22873"/>
    <cellStyle name="Table  - Opmaakprofiel6 2 15 3 4 2 3" xfId="34925"/>
    <cellStyle name="Table  - Opmaakprofiel6 2 15 3 4 2 4" xfId="29585"/>
    <cellStyle name="Table  - Opmaakprofiel6 2 15 3 4 2 5" xfId="55540"/>
    <cellStyle name="Table  - Opmaakprofiel6 2 15 3 4 3" xfId="16602"/>
    <cellStyle name="Table  - Opmaakprofiel6 2 15 3 4 4" xfId="28654"/>
    <cellStyle name="Table  - Opmaakprofiel6 2 15 3 4 5" xfId="38749"/>
    <cellStyle name="Table  - Opmaakprofiel6 2 15 3 4 6" xfId="49677"/>
    <cellStyle name="Table  - Opmaakprofiel6 2 15 3 5" xfId="5844"/>
    <cellStyle name="Table  - Opmaakprofiel6 2 15 3 5 2" xfId="10576"/>
    <cellStyle name="Table  - Opmaakprofiel6 2 15 3 5 2 2" xfId="22874"/>
    <cellStyle name="Table  - Opmaakprofiel6 2 15 3 5 2 3" xfId="34926"/>
    <cellStyle name="Table  - Opmaakprofiel6 2 15 3 5 2 4" xfId="29586"/>
    <cellStyle name="Table  - Opmaakprofiel6 2 15 3 5 2 5" xfId="55541"/>
    <cellStyle name="Table  - Opmaakprofiel6 2 15 3 5 3" xfId="16603"/>
    <cellStyle name="Table  - Opmaakprofiel6 2 15 3 5 4" xfId="28655"/>
    <cellStyle name="Table  - Opmaakprofiel6 2 15 3 5 5" xfId="44821"/>
    <cellStyle name="Table  - Opmaakprofiel6 2 15 3 5 6" xfId="49678"/>
    <cellStyle name="Table  - Opmaakprofiel6 2 15 3 6" xfId="5845"/>
    <cellStyle name="Table  - Opmaakprofiel6 2 15 3 6 2" xfId="10577"/>
    <cellStyle name="Table  - Opmaakprofiel6 2 15 3 6 2 2" xfId="22875"/>
    <cellStyle name="Table  - Opmaakprofiel6 2 15 3 6 2 3" xfId="34927"/>
    <cellStyle name="Table  - Opmaakprofiel6 2 15 3 6 2 4" xfId="31625"/>
    <cellStyle name="Table  - Opmaakprofiel6 2 15 3 6 2 5" xfId="55542"/>
    <cellStyle name="Table  - Opmaakprofiel6 2 15 3 6 3" xfId="16604"/>
    <cellStyle name="Table  - Opmaakprofiel6 2 15 3 6 4" xfId="28656"/>
    <cellStyle name="Table  - Opmaakprofiel6 2 15 3 6 5" xfId="38748"/>
    <cellStyle name="Table  - Opmaakprofiel6 2 15 3 6 6" xfId="49679"/>
    <cellStyle name="Table  - Opmaakprofiel6 2 15 3 7" xfId="5846"/>
    <cellStyle name="Table  - Opmaakprofiel6 2 15 3 7 2" xfId="16605"/>
    <cellStyle name="Table  - Opmaakprofiel6 2 15 3 7 3" xfId="28657"/>
    <cellStyle name="Table  - Opmaakprofiel6 2 15 3 7 4" xfId="38747"/>
    <cellStyle name="Table  - Opmaakprofiel6 2 15 3 7 5" xfId="49680"/>
    <cellStyle name="Table  - Opmaakprofiel6 2 15 3 8" xfId="7280"/>
    <cellStyle name="Table  - Opmaakprofiel6 2 15 3 8 2" xfId="19578"/>
    <cellStyle name="Table  - Opmaakprofiel6 2 15 3 8 3" xfId="41381"/>
    <cellStyle name="Table  - Opmaakprofiel6 2 15 3 8 4" xfId="43575"/>
    <cellStyle name="Table  - Opmaakprofiel6 2 15 3 8 5" xfId="52250"/>
    <cellStyle name="Table  - Opmaakprofiel6 2 15 3 9" xfId="16599"/>
    <cellStyle name="Table  - Opmaakprofiel6 2 15 4" xfId="1114"/>
    <cellStyle name="Table  - Opmaakprofiel6 2 15 4 2" xfId="1419"/>
    <cellStyle name="Table  - Opmaakprofiel6 2 15 4 2 2" xfId="10578"/>
    <cellStyle name="Table  - Opmaakprofiel6 2 15 4 2 2 2" xfId="22876"/>
    <cellStyle name="Table  - Opmaakprofiel6 2 15 4 2 2 3" xfId="34928"/>
    <cellStyle name="Table  - Opmaakprofiel6 2 15 4 2 2 4" xfId="42217"/>
    <cellStyle name="Table  - Opmaakprofiel6 2 15 4 2 2 5" xfId="55543"/>
    <cellStyle name="Table  - Opmaakprofiel6 2 15 4 2 3" xfId="16607"/>
    <cellStyle name="Table  - Opmaakprofiel6 2 15 4 2 4" xfId="28659"/>
    <cellStyle name="Table  - Opmaakprofiel6 2 15 4 2 5" xfId="44820"/>
    <cellStyle name="Table  - Opmaakprofiel6 2 15 4 2 6" xfId="49681"/>
    <cellStyle name="Table  - Opmaakprofiel6 2 15 4 3" xfId="3125"/>
    <cellStyle name="Table  - Opmaakprofiel6 2 15 4 3 2" xfId="10579"/>
    <cellStyle name="Table  - Opmaakprofiel6 2 15 4 3 2 2" xfId="22877"/>
    <cellStyle name="Table  - Opmaakprofiel6 2 15 4 3 2 3" xfId="34929"/>
    <cellStyle name="Table  - Opmaakprofiel6 2 15 4 3 2 4" xfId="29593"/>
    <cellStyle name="Table  - Opmaakprofiel6 2 15 4 3 2 5" xfId="55544"/>
    <cellStyle name="Table  - Opmaakprofiel6 2 15 4 3 3" xfId="16608"/>
    <cellStyle name="Table  - Opmaakprofiel6 2 15 4 3 4" xfId="28660"/>
    <cellStyle name="Table  - Opmaakprofiel6 2 15 4 3 5" xfId="38745"/>
    <cellStyle name="Table  - Opmaakprofiel6 2 15 4 3 6" xfId="49682"/>
    <cellStyle name="Table  - Opmaakprofiel6 2 15 4 4" xfId="3959"/>
    <cellStyle name="Table  - Opmaakprofiel6 2 15 4 4 2" xfId="10580"/>
    <cellStyle name="Table  - Opmaakprofiel6 2 15 4 4 2 2" xfId="22878"/>
    <cellStyle name="Table  - Opmaakprofiel6 2 15 4 4 2 3" xfId="34930"/>
    <cellStyle name="Table  - Opmaakprofiel6 2 15 4 4 2 4" xfId="42216"/>
    <cellStyle name="Table  - Opmaakprofiel6 2 15 4 4 2 5" xfId="55545"/>
    <cellStyle name="Table  - Opmaakprofiel6 2 15 4 4 3" xfId="16609"/>
    <cellStyle name="Table  - Opmaakprofiel6 2 15 4 4 4" xfId="28661"/>
    <cellStyle name="Table  - Opmaakprofiel6 2 15 4 4 5" xfId="44819"/>
    <cellStyle name="Table  - Opmaakprofiel6 2 15 4 4 6" xfId="49683"/>
    <cellStyle name="Table  - Opmaakprofiel6 2 15 4 5" xfId="5847"/>
    <cellStyle name="Table  - Opmaakprofiel6 2 15 4 5 2" xfId="10581"/>
    <cellStyle name="Table  - Opmaakprofiel6 2 15 4 5 2 2" xfId="22879"/>
    <cellStyle name="Table  - Opmaakprofiel6 2 15 4 5 2 3" xfId="34931"/>
    <cellStyle name="Table  - Opmaakprofiel6 2 15 4 5 2 4" xfId="32011"/>
    <cellStyle name="Table  - Opmaakprofiel6 2 15 4 5 2 5" xfId="55546"/>
    <cellStyle name="Table  - Opmaakprofiel6 2 15 4 5 3" xfId="16610"/>
    <cellStyle name="Table  - Opmaakprofiel6 2 15 4 5 4" xfId="28662"/>
    <cellStyle name="Table  - Opmaakprofiel6 2 15 4 5 5" xfId="38744"/>
    <cellStyle name="Table  - Opmaakprofiel6 2 15 4 5 6" xfId="49684"/>
    <cellStyle name="Table  - Opmaakprofiel6 2 15 4 6" xfId="5848"/>
    <cellStyle name="Table  - Opmaakprofiel6 2 15 4 6 2" xfId="10582"/>
    <cellStyle name="Table  - Opmaakprofiel6 2 15 4 6 2 2" xfId="22880"/>
    <cellStyle name="Table  - Opmaakprofiel6 2 15 4 6 2 3" xfId="34932"/>
    <cellStyle name="Table  - Opmaakprofiel6 2 15 4 6 2 4" xfId="42215"/>
    <cellStyle name="Table  - Opmaakprofiel6 2 15 4 6 2 5" xfId="55547"/>
    <cellStyle name="Table  - Opmaakprofiel6 2 15 4 6 3" xfId="16611"/>
    <cellStyle name="Table  - Opmaakprofiel6 2 15 4 6 4" xfId="28663"/>
    <cellStyle name="Table  - Opmaakprofiel6 2 15 4 6 5" xfId="44818"/>
    <cellStyle name="Table  - Opmaakprofiel6 2 15 4 6 6" xfId="49685"/>
    <cellStyle name="Table  - Opmaakprofiel6 2 15 4 7" xfId="5849"/>
    <cellStyle name="Table  - Opmaakprofiel6 2 15 4 7 2" xfId="16612"/>
    <cellStyle name="Table  - Opmaakprofiel6 2 15 4 7 3" xfId="28664"/>
    <cellStyle name="Table  - Opmaakprofiel6 2 15 4 7 4" xfId="38743"/>
    <cellStyle name="Table  - Opmaakprofiel6 2 15 4 7 5" xfId="49686"/>
    <cellStyle name="Table  - Opmaakprofiel6 2 15 4 8" xfId="7233"/>
    <cellStyle name="Table  - Opmaakprofiel6 2 15 4 8 2" xfId="19531"/>
    <cellStyle name="Table  - Opmaakprofiel6 2 15 4 8 3" xfId="41334"/>
    <cellStyle name="Table  - Opmaakprofiel6 2 15 4 8 4" xfId="36898"/>
    <cellStyle name="Table  - Opmaakprofiel6 2 15 4 8 5" xfId="52203"/>
    <cellStyle name="Table  - Opmaakprofiel6 2 15 4 9" xfId="16606"/>
    <cellStyle name="Table  - Opmaakprofiel6 2 15 5" xfId="1214"/>
    <cellStyle name="Table  - Opmaakprofiel6 2 15 5 2" xfId="2112"/>
    <cellStyle name="Table  - Opmaakprofiel6 2 15 5 2 2" xfId="10583"/>
    <cellStyle name="Table  - Opmaakprofiel6 2 15 5 2 2 2" xfId="22881"/>
    <cellStyle name="Table  - Opmaakprofiel6 2 15 5 2 2 3" xfId="34933"/>
    <cellStyle name="Table  - Opmaakprofiel6 2 15 5 2 2 4" xfId="29600"/>
    <cellStyle name="Table  - Opmaakprofiel6 2 15 5 2 2 5" xfId="55548"/>
    <cellStyle name="Table  - Opmaakprofiel6 2 15 5 2 3" xfId="16614"/>
    <cellStyle name="Table  - Opmaakprofiel6 2 15 5 2 4" xfId="28666"/>
    <cellStyle name="Table  - Opmaakprofiel6 2 15 5 2 5" xfId="38742"/>
    <cellStyle name="Table  - Opmaakprofiel6 2 15 5 2 6" xfId="49687"/>
    <cellStyle name="Table  - Opmaakprofiel6 2 15 5 3" xfId="3225"/>
    <cellStyle name="Table  - Opmaakprofiel6 2 15 5 3 2" xfId="10584"/>
    <cellStyle name="Table  - Opmaakprofiel6 2 15 5 3 2 2" xfId="22882"/>
    <cellStyle name="Table  - Opmaakprofiel6 2 15 5 3 2 3" xfId="34934"/>
    <cellStyle name="Table  - Opmaakprofiel6 2 15 5 3 2 4" xfId="42214"/>
    <cellStyle name="Table  - Opmaakprofiel6 2 15 5 3 2 5" xfId="55549"/>
    <cellStyle name="Table  - Opmaakprofiel6 2 15 5 3 3" xfId="16615"/>
    <cellStyle name="Table  - Opmaakprofiel6 2 15 5 3 4" xfId="28667"/>
    <cellStyle name="Table  - Opmaakprofiel6 2 15 5 3 5" xfId="44816"/>
    <cellStyle name="Table  - Opmaakprofiel6 2 15 5 3 6" xfId="49688"/>
    <cellStyle name="Table  - Opmaakprofiel6 2 15 5 4" xfId="4040"/>
    <cellStyle name="Table  - Opmaakprofiel6 2 15 5 4 2" xfId="10585"/>
    <cellStyle name="Table  - Opmaakprofiel6 2 15 5 4 2 2" xfId="22883"/>
    <cellStyle name="Table  - Opmaakprofiel6 2 15 5 4 2 3" xfId="34935"/>
    <cellStyle name="Table  - Opmaakprofiel6 2 15 5 4 2 4" xfId="34323"/>
    <cellStyle name="Table  - Opmaakprofiel6 2 15 5 4 2 5" xfId="55550"/>
    <cellStyle name="Table  - Opmaakprofiel6 2 15 5 4 3" xfId="16616"/>
    <cellStyle name="Table  - Opmaakprofiel6 2 15 5 4 4" xfId="28668"/>
    <cellStyle name="Table  - Opmaakprofiel6 2 15 5 4 5" xfId="38741"/>
    <cellStyle name="Table  - Opmaakprofiel6 2 15 5 4 6" xfId="49689"/>
    <cellStyle name="Table  - Opmaakprofiel6 2 15 5 5" xfId="5850"/>
    <cellStyle name="Table  - Opmaakprofiel6 2 15 5 5 2" xfId="10586"/>
    <cellStyle name="Table  - Opmaakprofiel6 2 15 5 5 2 2" xfId="22884"/>
    <cellStyle name="Table  - Opmaakprofiel6 2 15 5 5 2 3" xfId="34936"/>
    <cellStyle name="Table  - Opmaakprofiel6 2 15 5 5 2 4" xfId="42213"/>
    <cellStyle name="Table  - Opmaakprofiel6 2 15 5 5 2 5" xfId="55551"/>
    <cellStyle name="Table  - Opmaakprofiel6 2 15 5 5 3" xfId="16617"/>
    <cellStyle name="Table  - Opmaakprofiel6 2 15 5 5 4" xfId="28669"/>
    <cellStyle name="Table  - Opmaakprofiel6 2 15 5 5 5" xfId="38740"/>
    <cellStyle name="Table  - Opmaakprofiel6 2 15 5 5 6" xfId="49690"/>
    <cellStyle name="Table  - Opmaakprofiel6 2 15 5 6" xfId="5851"/>
    <cellStyle name="Table  - Opmaakprofiel6 2 15 5 6 2" xfId="10587"/>
    <cellStyle name="Table  - Opmaakprofiel6 2 15 5 6 2 2" xfId="22885"/>
    <cellStyle name="Table  - Opmaakprofiel6 2 15 5 6 2 3" xfId="34937"/>
    <cellStyle name="Table  - Opmaakprofiel6 2 15 5 6 2 4" xfId="29607"/>
    <cellStyle name="Table  - Opmaakprofiel6 2 15 5 6 2 5" xfId="55552"/>
    <cellStyle name="Table  - Opmaakprofiel6 2 15 5 6 3" xfId="16618"/>
    <cellStyle name="Table  - Opmaakprofiel6 2 15 5 6 4" xfId="28670"/>
    <cellStyle name="Table  - Opmaakprofiel6 2 15 5 6 5" xfId="38739"/>
    <cellStyle name="Table  - Opmaakprofiel6 2 15 5 6 6" xfId="49691"/>
    <cellStyle name="Table  - Opmaakprofiel6 2 15 5 7" xfId="5852"/>
    <cellStyle name="Table  - Opmaakprofiel6 2 15 5 7 2" xfId="16619"/>
    <cellStyle name="Table  - Opmaakprofiel6 2 15 5 7 3" xfId="28671"/>
    <cellStyle name="Table  - Opmaakprofiel6 2 15 5 7 4" xfId="44815"/>
    <cellStyle name="Table  - Opmaakprofiel6 2 15 5 7 5" xfId="49692"/>
    <cellStyle name="Table  - Opmaakprofiel6 2 15 5 8" xfId="7160"/>
    <cellStyle name="Table  - Opmaakprofiel6 2 15 5 8 2" xfId="19458"/>
    <cellStyle name="Table  - Opmaakprofiel6 2 15 5 8 3" xfId="41261"/>
    <cellStyle name="Table  - Opmaakprofiel6 2 15 5 8 4" xfId="43625"/>
    <cellStyle name="Table  - Opmaakprofiel6 2 15 5 8 5" xfId="52130"/>
    <cellStyle name="Table  - Opmaakprofiel6 2 15 5 9" xfId="16613"/>
    <cellStyle name="Table  - Opmaakprofiel6 2 15 6" xfId="1230"/>
    <cellStyle name="Table  - Opmaakprofiel6 2 15 6 2" xfId="2036"/>
    <cellStyle name="Table  - Opmaakprofiel6 2 15 6 2 2" xfId="10588"/>
    <cellStyle name="Table  - Opmaakprofiel6 2 15 6 2 2 2" xfId="22886"/>
    <cellStyle name="Table  - Opmaakprofiel6 2 15 6 2 2 3" xfId="34938"/>
    <cellStyle name="Table  - Opmaakprofiel6 2 15 6 2 2 4" xfId="31463"/>
    <cellStyle name="Table  - Opmaakprofiel6 2 15 6 2 2 5" xfId="55553"/>
    <cellStyle name="Table  - Opmaakprofiel6 2 15 6 2 3" xfId="16621"/>
    <cellStyle name="Table  - Opmaakprofiel6 2 15 6 2 4" xfId="28673"/>
    <cellStyle name="Table  - Opmaakprofiel6 2 15 6 2 5" xfId="44814"/>
    <cellStyle name="Table  - Opmaakprofiel6 2 15 6 2 6" xfId="49693"/>
    <cellStyle name="Table  - Opmaakprofiel6 2 15 6 3" xfId="3241"/>
    <cellStyle name="Table  - Opmaakprofiel6 2 15 6 3 2" xfId="10589"/>
    <cellStyle name="Table  - Opmaakprofiel6 2 15 6 3 2 2" xfId="22887"/>
    <cellStyle name="Table  - Opmaakprofiel6 2 15 6 3 2 3" xfId="34939"/>
    <cellStyle name="Table  - Opmaakprofiel6 2 15 6 3 2 4" xfId="29614"/>
    <cellStyle name="Table  - Opmaakprofiel6 2 15 6 3 2 5" xfId="55554"/>
    <cellStyle name="Table  - Opmaakprofiel6 2 15 6 3 3" xfId="16622"/>
    <cellStyle name="Table  - Opmaakprofiel6 2 15 6 3 4" xfId="28674"/>
    <cellStyle name="Table  - Opmaakprofiel6 2 15 6 3 5" xfId="38737"/>
    <cellStyle name="Table  - Opmaakprofiel6 2 15 6 3 6" xfId="49694"/>
    <cellStyle name="Table  - Opmaakprofiel6 2 15 6 4" xfId="4055"/>
    <cellStyle name="Table  - Opmaakprofiel6 2 15 6 4 2" xfId="10590"/>
    <cellStyle name="Table  - Opmaakprofiel6 2 15 6 4 2 2" xfId="22888"/>
    <cellStyle name="Table  - Opmaakprofiel6 2 15 6 4 2 3" xfId="34940"/>
    <cellStyle name="Table  - Opmaakprofiel6 2 15 6 4 2 4" xfId="42212"/>
    <cellStyle name="Table  - Opmaakprofiel6 2 15 6 4 2 5" xfId="55555"/>
    <cellStyle name="Table  - Opmaakprofiel6 2 15 6 4 3" xfId="16623"/>
    <cellStyle name="Table  - Opmaakprofiel6 2 15 6 4 4" xfId="28675"/>
    <cellStyle name="Table  - Opmaakprofiel6 2 15 6 4 5" xfId="44813"/>
    <cellStyle name="Table  - Opmaakprofiel6 2 15 6 4 6" xfId="49695"/>
    <cellStyle name="Table  - Opmaakprofiel6 2 15 6 5" xfId="5853"/>
    <cellStyle name="Table  - Opmaakprofiel6 2 15 6 5 2" xfId="10591"/>
    <cellStyle name="Table  - Opmaakprofiel6 2 15 6 5 2 2" xfId="22889"/>
    <cellStyle name="Table  - Opmaakprofiel6 2 15 6 5 2 3" xfId="34941"/>
    <cellStyle name="Table  - Opmaakprofiel6 2 15 6 5 2 4" xfId="31419"/>
    <cellStyle name="Table  - Opmaakprofiel6 2 15 6 5 2 5" xfId="55556"/>
    <cellStyle name="Table  - Opmaakprofiel6 2 15 6 5 3" xfId="16624"/>
    <cellStyle name="Table  - Opmaakprofiel6 2 15 6 5 4" xfId="28676"/>
    <cellStyle name="Table  - Opmaakprofiel6 2 15 6 5 5" xfId="38736"/>
    <cellStyle name="Table  - Opmaakprofiel6 2 15 6 5 6" xfId="49696"/>
    <cellStyle name="Table  - Opmaakprofiel6 2 15 6 6" xfId="5854"/>
    <cellStyle name="Table  - Opmaakprofiel6 2 15 6 6 2" xfId="10592"/>
    <cellStyle name="Table  - Opmaakprofiel6 2 15 6 6 2 2" xfId="22890"/>
    <cellStyle name="Table  - Opmaakprofiel6 2 15 6 6 2 3" xfId="34942"/>
    <cellStyle name="Table  - Opmaakprofiel6 2 15 6 6 2 4" xfId="42211"/>
    <cellStyle name="Table  - Opmaakprofiel6 2 15 6 6 2 5" xfId="55557"/>
    <cellStyle name="Table  - Opmaakprofiel6 2 15 6 6 3" xfId="16625"/>
    <cellStyle name="Table  - Opmaakprofiel6 2 15 6 6 4" xfId="28677"/>
    <cellStyle name="Table  - Opmaakprofiel6 2 15 6 6 5" xfId="44812"/>
    <cellStyle name="Table  - Opmaakprofiel6 2 15 6 6 6" xfId="49697"/>
    <cellStyle name="Table  - Opmaakprofiel6 2 15 6 7" xfId="5855"/>
    <cellStyle name="Table  - Opmaakprofiel6 2 15 6 7 2" xfId="16626"/>
    <cellStyle name="Table  - Opmaakprofiel6 2 15 6 7 3" xfId="28678"/>
    <cellStyle name="Table  - Opmaakprofiel6 2 15 6 7 4" xfId="38735"/>
    <cellStyle name="Table  - Opmaakprofiel6 2 15 6 7 5" xfId="49698"/>
    <cellStyle name="Table  - Opmaakprofiel6 2 15 6 8" xfId="7144"/>
    <cellStyle name="Table  - Opmaakprofiel6 2 15 6 8 2" xfId="19442"/>
    <cellStyle name="Table  - Opmaakprofiel6 2 15 6 8 3" xfId="41245"/>
    <cellStyle name="Table  - Opmaakprofiel6 2 15 6 8 4" xfId="36950"/>
    <cellStyle name="Table  - Opmaakprofiel6 2 15 6 8 5" xfId="52114"/>
    <cellStyle name="Table  - Opmaakprofiel6 2 15 6 9" xfId="16620"/>
    <cellStyle name="Table  - Opmaakprofiel6 2 15 7" xfId="1506"/>
    <cellStyle name="Table  - Opmaakprofiel6 2 15 7 2" xfId="10593"/>
    <cellStyle name="Table  - Opmaakprofiel6 2 15 7 2 2" xfId="22891"/>
    <cellStyle name="Table  - Opmaakprofiel6 2 15 7 2 3" xfId="34943"/>
    <cellStyle name="Table  - Opmaakprofiel6 2 15 7 2 4" xfId="29621"/>
    <cellStyle name="Table  - Opmaakprofiel6 2 15 7 2 5" xfId="55558"/>
    <cellStyle name="Table  - Opmaakprofiel6 2 15 7 3" xfId="16627"/>
    <cellStyle name="Table  - Opmaakprofiel6 2 15 7 4" xfId="28679"/>
    <cellStyle name="Table  - Opmaakprofiel6 2 15 7 5" xfId="44811"/>
    <cellStyle name="Table  - Opmaakprofiel6 2 15 7 6" xfId="49699"/>
    <cellStyle name="Table  - Opmaakprofiel6 2 15 8" xfId="2813"/>
    <cellStyle name="Table  - Opmaakprofiel6 2 15 8 2" xfId="10594"/>
    <cellStyle name="Table  - Opmaakprofiel6 2 15 8 2 2" xfId="22892"/>
    <cellStyle name="Table  - Opmaakprofiel6 2 15 8 2 3" xfId="34944"/>
    <cellStyle name="Table  - Opmaakprofiel6 2 15 8 2 4" xfId="42210"/>
    <cellStyle name="Table  - Opmaakprofiel6 2 15 8 2 5" xfId="55559"/>
    <cellStyle name="Table  - Opmaakprofiel6 2 15 8 3" xfId="16628"/>
    <cellStyle name="Table  - Opmaakprofiel6 2 15 8 4" xfId="28680"/>
    <cellStyle name="Table  - Opmaakprofiel6 2 15 8 5" xfId="38734"/>
    <cellStyle name="Table  - Opmaakprofiel6 2 15 8 6" xfId="49700"/>
    <cellStyle name="Table  - Opmaakprofiel6 2 15 9" xfId="3672"/>
    <cellStyle name="Table  - Opmaakprofiel6 2 15 9 2" xfId="10595"/>
    <cellStyle name="Table  - Opmaakprofiel6 2 15 9 2 2" xfId="22893"/>
    <cellStyle name="Table  - Opmaakprofiel6 2 15 9 2 3" xfId="34945"/>
    <cellStyle name="Table  - Opmaakprofiel6 2 15 9 2 4" xfId="34175"/>
    <cellStyle name="Table  - Opmaakprofiel6 2 15 9 2 5" xfId="55560"/>
    <cellStyle name="Table  - Opmaakprofiel6 2 15 9 3" xfId="16629"/>
    <cellStyle name="Table  - Opmaakprofiel6 2 15 9 4" xfId="28681"/>
    <cellStyle name="Table  - Opmaakprofiel6 2 15 9 5" xfId="38733"/>
    <cellStyle name="Table  - Opmaakprofiel6 2 15 9 6" xfId="49701"/>
    <cellStyle name="Table  - Opmaakprofiel6 2 16" xfId="702"/>
    <cellStyle name="Table  - Opmaakprofiel6 2 16 10" xfId="5856"/>
    <cellStyle name="Table  - Opmaakprofiel6 2 16 10 2" xfId="10596"/>
    <cellStyle name="Table  - Opmaakprofiel6 2 16 10 2 2" xfId="22894"/>
    <cellStyle name="Table  - Opmaakprofiel6 2 16 10 2 3" xfId="34946"/>
    <cellStyle name="Table  - Opmaakprofiel6 2 16 10 2 4" xfId="42209"/>
    <cellStyle name="Table  - Opmaakprofiel6 2 16 10 2 5" xfId="55561"/>
    <cellStyle name="Table  - Opmaakprofiel6 2 16 10 3" xfId="16631"/>
    <cellStyle name="Table  - Opmaakprofiel6 2 16 10 4" xfId="28683"/>
    <cellStyle name="Table  - Opmaakprofiel6 2 16 10 5" xfId="44810"/>
    <cellStyle name="Table  - Opmaakprofiel6 2 16 10 6" xfId="49702"/>
    <cellStyle name="Table  - Opmaakprofiel6 2 16 11" xfId="5857"/>
    <cellStyle name="Table  - Opmaakprofiel6 2 16 11 2" xfId="10597"/>
    <cellStyle name="Table  - Opmaakprofiel6 2 16 11 2 2" xfId="22895"/>
    <cellStyle name="Table  - Opmaakprofiel6 2 16 11 2 3" xfId="34947"/>
    <cellStyle name="Table  - Opmaakprofiel6 2 16 11 2 4" xfId="29632"/>
    <cellStyle name="Table  - Opmaakprofiel6 2 16 11 2 5" xfId="55562"/>
    <cellStyle name="Table  - Opmaakprofiel6 2 16 11 3" xfId="16632"/>
    <cellStyle name="Table  - Opmaakprofiel6 2 16 11 4" xfId="28684"/>
    <cellStyle name="Table  - Opmaakprofiel6 2 16 11 5" xfId="38731"/>
    <cellStyle name="Table  - Opmaakprofiel6 2 16 11 6" xfId="49703"/>
    <cellStyle name="Table  - Opmaakprofiel6 2 16 12" xfId="5858"/>
    <cellStyle name="Table  - Opmaakprofiel6 2 16 12 2" xfId="16633"/>
    <cellStyle name="Table  - Opmaakprofiel6 2 16 12 3" xfId="28685"/>
    <cellStyle name="Table  - Opmaakprofiel6 2 16 12 4" xfId="44809"/>
    <cellStyle name="Table  - Opmaakprofiel6 2 16 12 5" xfId="49704"/>
    <cellStyle name="Table  - Opmaakprofiel6 2 16 13" xfId="7512"/>
    <cellStyle name="Table  - Opmaakprofiel6 2 16 13 2" xfId="19810"/>
    <cellStyle name="Table  - Opmaakprofiel6 2 16 13 3" xfId="41613"/>
    <cellStyle name="Table  - Opmaakprofiel6 2 16 13 4" xfId="43478"/>
    <cellStyle name="Table  - Opmaakprofiel6 2 16 13 5" xfId="52482"/>
    <cellStyle name="Table  - Opmaakprofiel6 2 16 14" xfId="16630"/>
    <cellStyle name="Table  - Opmaakprofiel6 2 16 2" xfId="875"/>
    <cellStyle name="Table  - Opmaakprofiel6 2 16 2 2" xfId="1428"/>
    <cellStyle name="Table  - Opmaakprofiel6 2 16 2 2 2" xfId="10598"/>
    <cellStyle name="Table  - Opmaakprofiel6 2 16 2 2 2 2" xfId="22896"/>
    <cellStyle name="Table  - Opmaakprofiel6 2 16 2 2 2 3" xfId="34948"/>
    <cellStyle name="Table  - Opmaakprofiel6 2 16 2 2 2 4" xfId="42208"/>
    <cellStyle name="Table  - Opmaakprofiel6 2 16 2 2 2 5" xfId="55563"/>
    <cellStyle name="Table  - Opmaakprofiel6 2 16 2 2 3" xfId="16635"/>
    <cellStyle name="Table  - Opmaakprofiel6 2 16 2 2 4" xfId="28687"/>
    <cellStyle name="Table  - Opmaakprofiel6 2 16 2 2 5" xfId="44808"/>
    <cellStyle name="Table  - Opmaakprofiel6 2 16 2 2 6" xfId="49705"/>
    <cellStyle name="Table  - Opmaakprofiel6 2 16 2 3" xfId="2886"/>
    <cellStyle name="Table  - Opmaakprofiel6 2 16 2 3 2" xfId="10599"/>
    <cellStyle name="Table  - Opmaakprofiel6 2 16 2 3 2 2" xfId="22897"/>
    <cellStyle name="Table  - Opmaakprofiel6 2 16 2 3 2 3" xfId="34949"/>
    <cellStyle name="Table  - Opmaakprofiel6 2 16 2 3 2 4" xfId="32110"/>
    <cellStyle name="Table  - Opmaakprofiel6 2 16 2 3 2 5" xfId="55564"/>
    <cellStyle name="Table  - Opmaakprofiel6 2 16 2 3 3" xfId="16636"/>
    <cellStyle name="Table  - Opmaakprofiel6 2 16 2 3 4" xfId="28688"/>
    <cellStyle name="Table  - Opmaakprofiel6 2 16 2 3 5" xfId="38729"/>
    <cellStyle name="Table  - Opmaakprofiel6 2 16 2 3 6" xfId="49706"/>
    <cellStyle name="Table  - Opmaakprofiel6 2 16 2 4" xfId="3739"/>
    <cellStyle name="Table  - Opmaakprofiel6 2 16 2 4 2" xfId="10600"/>
    <cellStyle name="Table  - Opmaakprofiel6 2 16 2 4 2 2" xfId="22898"/>
    <cellStyle name="Table  - Opmaakprofiel6 2 16 2 4 2 3" xfId="34950"/>
    <cellStyle name="Table  - Opmaakprofiel6 2 16 2 4 2 4" xfId="29639"/>
    <cellStyle name="Table  - Opmaakprofiel6 2 16 2 4 2 5" xfId="55565"/>
    <cellStyle name="Table  - Opmaakprofiel6 2 16 2 4 3" xfId="16637"/>
    <cellStyle name="Table  - Opmaakprofiel6 2 16 2 4 4" xfId="28689"/>
    <cellStyle name="Table  - Opmaakprofiel6 2 16 2 4 5" xfId="44807"/>
    <cellStyle name="Table  - Opmaakprofiel6 2 16 2 4 6" xfId="49707"/>
    <cellStyle name="Table  - Opmaakprofiel6 2 16 2 5" xfId="5859"/>
    <cellStyle name="Table  - Opmaakprofiel6 2 16 2 5 2" xfId="10601"/>
    <cellStyle name="Table  - Opmaakprofiel6 2 16 2 5 2 2" xfId="22899"/>
    <cellStyle name="Table  - Opmaakprofiel6 2 16 2 5 2 3" xfId="34951"/>
    <cellStyle name="Table  - Opmaakprofiel6 2 16 2 5 2 4" xfId="31921"/>
    <cellStyle name="Table  - Opmaakprofiel6 2 16 2 5 2 5" xfId="55566"/>
    <cellStyle name="Table  - Opmaakprofiel6 2 16 2 5 3" xfId="16638"/>
    <cellStyle name="Table  - Opmaakprofiel6 2 16 2 5 4" xfId="28690"/>
    <cellStyle name="Table  - Opmaakprofiel6 2 16 2 5 5" xfId="38728"/>
    <cellStyle name="Table  - Opmaakprofiel6 2 16 2 5 6" xfId="49708"/>
    <cellStyle name="Table  - Opmaakprofiel6 2 16 2 6" xfId="5860"/>
    <cellStyle name="Table  - Opmaakprofiel6 2 16 2 6 2" xfId="10602"/>
    <cellStyle name="Table  - Opmaakprofiel6 2 16 2 6 2 2" xfId="22900"/>
    <cellStyle name="Table  - Opmaakprofiel6 2 16 2 6 2 3" xfId="34952"/>
    <cellStyle name="Table  - Opmaakprofiel6 2 16 2 6 2 4" xfId="42207"/>
    <cellStyle name="Table  - Opmaakprofiel6 2 16 2 6 2 5" xfId="55567"/>
    <cellStyle name="Table  - Opmaakprofiel6 2 16 2 6 3" xfId="16639"/>
    <cellStyle name="Table  - Opmaakprofiel6 2 16 2 6 4" xfId="28691"/>
    <cellStyle name="Table  - Opmaakprofiel6 2 16 2 6 5" xfId="44806"/>
    <cellStyle name="Table  - Opmaakprofiel6 2 16 2 6 6" xfId="49709"/>
    <cellStyle name="Table  - Opmaakprofiel6 2 16 2 7" xfId="5861"/>
    <cellStyle name="Table  - Opmaakprofiel6 2 16 2 7 2" xfId="16640"/>
    <cellStyle name="Table  - Opmaakprofiel6 2 16 2 7 3" xfId="28692"/>
    <cellStyle name="Table  - Opmaakprofiel6 2 16 2 7 4" xfId="38727"/>
    <cellStyle name="Table  - Opmaakprofiel6 2 16 2 7 5" xfId="49710"/>
    <cellStyle name="Table  - Opmaakprofiel6 2 16 2 8" xfId="7395"/>
    <cellStyle name="Table  - Opmaakprofiel6 2 16 2 8 2" xfId="19693"/>
    <cellStyle name="Table  - Opmaakprofiel6 2 16 2 8 3" xfId="41496"/>
    <cellStyle name="Table  - Opmaakprofiel6 2 16 2 8 4" xfId="15580"/>
    <cellStyle name="Table  - Opmaakprofiel6 2 16 2 8 5" xfId="52365"/>
    <cellStyle name="Table  - Opmaakprofiel6 2 16 2 9" xfId="16634"/>
    <cellStyle name="Table  - Opmaakprofiel6 2 16 3" xfId="611"/>
    <cellStyle name="Table  - Opmaakprofiel6 2 16 3 2" xfId="1998"/>
    <cellStyle name="Table  - Opmaakprofiel6 2 16 3 2 2" xfId="10603"/>
    <cellStyle name="Table  - Opmaakprofiel6 2 16 3 2 2 2" xfId="22901"/>
    <cellStyle name="Table  - Opmaakprofiel6 2 16 3 2 2 3" xfId="34953"/>
    <cellStyle name="Table  - Opmaakprofiel6 2 16 3 2 2 4" xfId="29646"/>
    <cellStyle name="Table  - Opmaakprofiel6 2 16 3 2 2 5" xfId="55568"/>
    <cellStyle name="Table  - Opmaakprofiel6 2 16 3 2 3" xfId="16642"/>
    <cellStyle name="Table  - Opmaakprofiel6 2 16 3 2 4" xfId="28694"/>
    <cellStyle name="Table  - Opmaakprofiel6 2 16 3 2 5" xfId="38725"/>
    <cellStyle name="Table  - Opmaakprofiel6 2 16 3 2 6" xfId="49711"/>
    <cellStyle name="Table  - Opmaakprofiel6 2 16 3 3" xfId="2682"/>
    <cellStyle name="Table  - Opmaakprofiel6 2 16 3 3 2" xfId="10604"/>
    <cellStyle name="Table  - Opmaakprofiel6 2 16 3 3 2 2" xfId="22902"/>
    <cellStyle name="Table  - Opmaakprofiel6 2 16 3 3 2 3" xfId="34954"/>
    <cellStyle name="Table  - Opmaakprofiel6 2 16 3 3 2 4" xfId="42206"/>
    <cellStyle name="Table  - Opmaakprofiel6 2 16 3 3 2 5" xfId="55569"/>
    <cellStyle name="Table  - Opmaakprofiel6 2 16 3 3 3" xfId="16643"/>
    <cellStyle name="Table  - Opmaakprofiel6 2 16 3 3 4" xfId="28695"/>
    <cellStyle name="Table  - Opmaakprofiel6 2 16 3 3 5" xfId="44805"/>
    <cellStyle name="Table  - Opmaakprofiel6 2 16 3 3 6" xfId="49712"/>
    <cellStyle name="Table  - Opmaakprofiel6 2 16 3 4" xfId="3554"/>
    <cellStyle name="Table  - Opmaakprofiel6 2 16 3 4 2" xfId="10605"/>
    <cellStyle name="Table  - Opmaakprofiel6 2 16 3 4 2 2" xfId="22903"/>
    <cellStyle name="Table  - Opmaakprofiel6 2 16 3 4 2 3" xfId="34955"/>
    <cellStyle name="Table  - Opmaakprofiel6 2 16 3 4 2 4" xfId="32035"/>
    <cellStyle name="Table  - Opmaakprofiel6 2 16 3 4 2 5" xfId="55570"/>
    <cellStyle name="Table  - Opmaakprofiel6 2 16 3 4 3" xfId="16644"/>
    <cellStyle name="Table  - Opmaakprofiel6 2 16 3 4 4" xfId="28696"/>
    <cellStyle name="Table  - Opmaakprofiel6 2 16 3 4 5" xfId="38724"/>
    <cellStyle name="Table  - Opmaakprofiel6 2 16 3 4 6" xfId="49713"/>
    <cellStyle name="Table  - Opmaakprofiel6 2 16 3 5" xfId="5862"/>
    <cellStyle name="Table  - Opmaakprofiel6 2 16 3 5 2" xfId="10606"/>
    <cellStyle name="Table  - Opmaakprofiel6 2 16 3 5 2 2" xfId="22904"/>
    <cellStyle name="Table  - Opmaakprofiel6 2 16 3 5 2 3" xfId="34956"/>
    <cellStyle name="Table  - Opmaakprofiel6 2 16 3 5 2 4" xfId="42205"/>
    <cellStyle name="Table  - Opmaakprofiel6 2 16 3 5 2 5" xfId="55571"/>
    <cellStyle name="Table  - Opmaakprofiel6 2 16 3 5 3" xfId="16645"/>
    <cellStyle name="Table  - Opmaakprofiel6 2 16 3 5 4" xfId="28697"/>
    <cellStyle name="Table  - Opmaakprofiel6 2 16 3 5 5" xfId="44804"/>
    <cellStyle name="Table  - Opmaakprofiel6 2 16 3 5 6" xfId="49714"/>
    <cellStyle name="Table  - Opmaakprofiel6 2 16 3 6" xfId="5863"/>
    <cellStyle name="Table  - Opmaakprofiel6 2 16 3 6 2" xfId="10607"/>
    <cellStyle name="Table  - Opmaakprofiel6 2 16 3 6 2 2" xfId="22905"/>
    <cellStyle name="Table  - Opmaakprofiel6 2 16 3 6 2 3" xfId="34957"/>
    <cellStyle name="Table  - Opmaakprofiel6 2 16 3 6 2 4" xfId="29653"/>
    <cellStyle name="Table  - Opmaakprofiel6 2 16 3 6 2 5" xfId="55572"/>
    <cellStyle name="Table  - Opmaakprofiel6 2 16 3 6 3" xfId="16646"/>
    <cellStyle name="Table  - Opmaakprofiel6 2 16 3 6 4" xfId="28698"/>
    <cellStyle name="Table  - Opmaakprofiel6 2 16 3 6 5" xfId="38723"/>
    <cellStyle name="Table  - Opmaakprofiel6 2 16 3 6 6" xfId="49715"/>
    <cellStyle name="Table  - Opmaakprofiel6 2 16 3 7" xfId="5864"/>
    <cellStyle name="Table  - Opmaakprofiel6 2 16 3 7 2" xfId="16647"/>
    <cellStyle name="Table  - Opmaakprofiel6 2 16 3 7 3" xfId="28699"/>
    <cellStyle name="Table  - Opmaakprofiel6 2 16 3 7 4" xfId="44803"/>
    <cellStyle name="Table  - Opmaakprofiel6 2 16 3 7 5" xfId="49716"/>
    <cellStyle name="Table  - Opmaakprofiel6 2 16 3 8" xfId="7574"/>
    <cellStyle name="Table  - Opmaakprofiel6 2 16 3 8 2" xfId="19872"/>
    <cellStyle name="Table  - Opmaakprofiel6 2 16 3 8 3" xfId="41675"/>
    <cellStyle name="Table  - Opmaakprofiel6 2 16 3 8 4" xfId="43452"/>
    <cellStyle name="Table  - Opmaakprofiel6 2 16 3 8 5" xfId="52544"/>
    <cellStyle name="Table  - Opmaakprofiel6 2 16 3 9" xfId="16641"/>
    <cellStyle name="Table  - Opmaakprofiel6 2 16 4" xfId="825"/>
    <cellStyle name="Table  - Opmaakprofiel6 2 16 4 2" xfId="1572"/>
    <cellStyle name="Table  - Opmaakprofiel6 2 16 4 2 2" xfId="10608"/>
    <cellStyle name="Table  - Opmaakprofiel6 2 16 4 2 2 2" xfId="22906"/>
    <cellStyle name="Table  - Opmaakprofiel6 2 16 4 2 2 3" xfId="34958"/>
    <cellStyle name="Table  - Opmaakprofiel6 2 16 4 2 2 4" xfId="42204"/>
    <cellStyle name="Table  - Opmaakprofiel6 2 16 4 2 2 5" xfId="55573"/>
    <cellStyle name="Table  - Opmaakprofiel6 2 16 4 2 3" xfId="16649"/>
    <cellStyle name="Table  - Opmaakprofiel6 2 16 4 2 4" xfId="28701"/>
    <cellStyle name="Table  - Opmaakprofiel6 2 16 4 2 5" xfId="44802"/>
    <cellStyle name="Table  - Opmaakprofiel6 2 16 4 2 6" xfId="49717"/>
    <cellStyle name="Table  - Opmaakprofiel6 2 16 4 3" xfId="2836"/>
    <cellStyle name="Table  - Opmaakprofiel6 2 16 4 3 2" xfId="10609"/>
    <cellStyle name="Table  - Opmaakprofiel6 2 16 4 3 2 2" xfId="22907"/>
    <cellStyle name="Table  - Opmaakprofiel6 2 16 4 3 2 3" xfId="34959"/>
    <cellStyle name="Table  - Opmaakprofiel6 2 16 4 3 2 4" xfId="34698"/>
    <cellStyle name="Table  - Opmaakprofiel6 2 16 4 3 2 5" xfId="55574"/>
    <cellStyle name="Table  - Opmaakprofiel6 2 16 4 3 3" xfId="16650"/>
    <cellStyle name="Table  - Opmaakprofiel6 2 16 4 3 4" xfId="28702"/>
    <cellStyle name="Table  - Opmaakprofiel6 2 16 4 3 5" xfId="38721"/>
    <cellStyle name="Table  - Opmaakprofiel6 2 16 4 3 6" xfId="49718"/>
    <cellStyle name="Table  - Opmaakprofiel6 2 16 4 4" xfId="3694"/>
    <cellStyle name="Table  - Opmaakprofiel6 2 16 4 4 2" xfId="10610"/>
    <cellStyle name="Table  - Opmaakprofiel6 2 16 4 4 2 2" xfId="22908"/>
    <cellStyle name="Table  - Opmaakprofiel6 2 16 4 4 2 3" xfId="34960"/>
    <cellStyle name="Table  - Opmaakprofiel6 2 16 4 4 2 4" xfId="42203"/>
    <cellStyle name="Table  - Opmaakprofiel6 2 16 4 4 2 5" xfId="55575"/>
    <cellStyle name="Table  - Opmaakprofiel6 2 16 4 4 3" xfId="16651"/>
    <cellStyle name="Table  - Opmaakprofiel6 2 16 4 4 4" xfId="28703"/>
    <cellStyle name="Table  - Opmaakprofiel6 2 16 4 4 5" xfId="44801"/>
    <cellStyle name="Table  - Opmaakprofiel6 2 16 4 4 6" xfId="49719"/>
    <cellStyle name="Table  - Opmaakprofiel6 2 16 4 5" xfId="5865"/>
    <cellStyle name="Table  - Opmaakprofiel6 2 16 4 5 2" xfId="10611"/>
    <cellStyle name="Table  - Opmaakprofiel6 2 16 4 5 2 2" xfId="22909"/>
    <cellStyle name="Table  - Opmaakprofiel6 2 16 4 5 2 3" xfId="34961"/>
    <cellStyle name="Table  - Opmaakprofiel6 2 16 4 5 2 4" xfId="29660"/>
    <cellStyle name="Table  - Opmaakprofiel6 2 16 4 5 2 5" xfId="55576"/>
    <cellStyle name="Table  - Opmaakprofiel6 2 16 4 5 3" xfId="16652"/>
    <cellStyle name="Table  - Opmaakprofiel6 2 16 4 5 4" xfId="28704"/>
    <cellStyle name="Table  - Opmaakprofiel6 2 16 4 5 5" xfId="38720"/>
    <cellStyle name="Table  - Opmaakprofiel6 2 16 4 5 6" xfId="49720"/>
    <cellStyle name="Table  - Opmaakprofiel6 2 16 4 6" xfId="5866"/>
    <cellStyle name="Table  - Opmaakprofiel6 2 16 4 6 2" xfId="10612"/>
    <cellStyle name="Table  - Opmaakprofiel6 2 16 4 6 2 2" xfId="22910"/>
    <cellStyle name="Table  - Opmaakprofiel6 2 16 4 6 2 3" xfId="34962"/>
    <cellStyle name="Table  - Opmaakprofiel6 2 16 4 6 2 4" xfId="31679"/>
    <cellStyle name="Table  - Opmaakprofiel6 2 16 4 6 2 5" xfId="55577"/>
    <cellStyle name="Table  - Opmaakprofiel6 2 16 4 6 3" xfId="16653"/>
    <cellStyle name="Table  - Opmaakprofiel6 2 16 4 6 4" xfId="28705"/>
    <cellStyle name="Table  - Opmaakprofiel6 2 16 4 6 5" xfId="38719"/>
    <cellStyle name="Table  - Opmaakprofiel6 2 16 4 6 6" xfId="49721"/>
    <cellStyle name="Table  - Opmaakprofiel6 2 16 4 7" xfId="5867"/>
    <cellStyle name="Table  - Opmaakprofiel6 2 16 4 7 2" xfId="16654"/>
    <cellStyle name="Table  - Opmaakprofiel6 2 16 4 7 3" xfId="28706"/>
    <cellStyle name="Table  - Opmaakprofiel6 2 16 4 7 4" xfId="38718"/>
    <cellStyle name="Table  - Opmaakprofiel6 2 16 4 7 5" xfId="49722"/>
    <cellStyle name="Table  - Opmaakprofiel6 2 16 4 8" xfId="7430"/>
    <cellStyle name="Table  - Opmaakprofiel6 2 16 4 8 2" xfId="19728"/>
    <cellStyle name="Table  - Opmaakprofiel6 2 16 4 8 3" xfId="41531"/>
    <cellStyle name="Table  - Opmaakprofiel6 2 16 4 8 4" xfId="43512"/>
    <cellStyle name="Table  - Opmaakprofiel6 2 16 4 8 5" xfId="52400"/>
    <cellStyle name="Table  - Opmaakprofiel6 2 16 4 9" xfId="16648"/>
    <cellStyle name="Table  - Opmaakprofiel6 2 16 5" xfId="834"/>
    <cellStyle name="Table  - Opmaakprofiel6 2 16 5 2" xfId="1458"/>
    <cellStyle name="Table  - Opmaakprofiel6 2 16 5 2 2" xfId="10613"/>
    <cellStyle name="Table  - Opmaakprofiel6 2 16 5 2 2 2" xfId="22911"/>
    <cellStyle name="Table  - Opmaakprofiel6 2 16 5 2 2 3" xfId="34963"/>
    <cellStyle name="Table  - Opmaakprofiel6 2 16 5 2 2 4" xfId="42202"/>
    <cellStyle name="Table  - Opmaakprofiel6 2 16 5 2 2 5" xfId="55578"/>
    <cellStyle name="Table  - Opmaakprofiel6 2 16 5 2 3" xfId="16656"/>
    <cellStyle name="Table  - Opmaakprofiel6 2 16 5 2 4" xfId="28708"/>
    <cellStyle name="Table  - Opmaakprofiel6 2 16 5 2 5" xfId="38717"/>
    <cellStyle name="Table  - Opmaakprofiel6 2 16 5 2 6" xfId="49723"/>
    <cellStyle name="Table  - Opmaakprofiel6 2 16 5 3" xfId="2845"/>
    <cellStyle name="Table  - Opmaakprofiel6 2 16 5 3 2" xfId="10614"/>
    <cellStyle name="Table  - Opmaakprofiel6 2 16 5 3 2 2" xfId="22912"/>
    <cellStyle name="Table  - Opmaakprofiel6 2 16 5 3 2 3" xfId="34964"/>
    <cellStyle name="Table  - Opmaakprofiel6 2 16 5 3 2 4" xfId="29667"/>
    <cellStyle name="Table  - Opmaakprofiel6 2 16 5 3 2 5" xfId="55579"/>
    <cellStyle name="Table  - Opmaakprofiel6 2 16 5 3 3" xfId="16657"/>
    <cellStyle name="Table  - Opmaakprofiel6 2 16 5 3 4" xfId="28709"/>
    <cellStyle name="Table  - Opmaakprofiel6 2 16 5 3 5" xfId="44800"/>
    <cellStyle name="Table  - Opmaakprofiel6 2 16 5 3 6" xfId="49724"/>
    <cellStyle name="Table  - Opmaakprofiel6 2 16 5 4" xfId="3701"/>
    <cellStyle name="Table  - Opmaakprofiel6 2 16 5 4 2" xfId="10615"/>
    <cellStyle name="Table  - Opmaakprofiel6 2 16 5 4 2 2" xfId="22913"/>
    <cellStyle name="Table  - Opmaakprofiel6 2 16 5 4 2 3" xfId="34965"/>
    <cellStyle name="Table  - Opmaakprofiel6 2 16 5 4 2 4" xfId="42201"/>
    <cellStyle name="Table  - Opmaakprofiel6 2 16 5 4 2 5" xfId="55580"/>
    <cellStyle name="Table  - Opmaakprofiel6 2 16 5 4 3" xfId="16658"/>
    <cellStyle name="Table  - Opmaakprofiel6 2 16 5 4 4" xfId="28710"/>
    <cellStyle name="Table  - Opmaakprofiel6 2 16 5 4 5" xfId="38716"/>
    <cellStyle name="Table  - Opmaakprofiel6 2 16 5 4 6" xfId="49725"/>
    <cellStyle name="Table  - Opmaakprofiel6 2 16 5 5" xfId="5868"/>
    <cellStyle name="Table  - Opmaakprofiel6 2 16 5 5 2" xfId="10616"/>
    <cellStyle name="Table  - Opmaakprofiel6 2 16 5 5 2 2" xfId="22914"/>
    <cellStyle name="Table  - Opmaakprofiel6 2 16 5 5 2 3" xfId="34966"/>
    <cellStyle name="Table  - Opmaakprofiel6 2 16 5 5 2 4" xfId="32019"/>
    <cellStyle name="Table  - Opmaakprofiel6 2 16 5 5 2 5" xfId="55581"/>
    <cellStyle name="Table  - Opmaakprofiel6 2 16 5 5 3" xfId="16659"/>
    <cellStyle name="Table  - Opmaakprofiel6 2 16 5 5 4" xfId="28711"/>
    <cellStyle name="Table  - Opmaakprofiel6 2 16 5 5 5" xfId="44799"/>
    <cellStyle name="Table  - Opmaakprofiel6 2 16 5 5 6" xfId="49726"/>
    <cellStyle name="Table  - Opmaakprofiel6 2 16 5 6" xfId="5869"/>
    <cellStyle name="Table  - Opmaakprofiel6 2 16 5 6 2" xfId="10617"/>
    <cellStyle name="Table  - Opmaakprofiel6 2 16 5 6 2 2" xfId="22915"/>
    <cellStyle name="Table  - Opmaakprofiel6 2 16 5 6 2 3" xfId="34967"/>
    <cellStyle name="Table  - Opmaakprofiel6 2 16 5 6 2 4" xfId="42200"/>
    <cellStyle name="Table  - Opmaakprofiel6 2 16 5 6 2 5" xfId="55582"/>
    <cellStyle name="Table  - Opmaakprofiel6 2 16 5 6 3" xfId="16660"/>
    <cellStyle name="Table  - Opmaakprofiel6 2 16 5 6 4" xfId="28712"/>
    <cellStyle name="Table  - Opmaakprofiel6 2 16 5 6 5" xfId="38715"/>
    <cellStyle name="Table  - Opmaakprofiel6 2 16 5 6 6" xfId="49727"/>
    <cellStyle name="Table  - Opmaakprofiel6 2 16 5 7" xfId="5870"/>
    <cellStyle name="Table  - Opmaakprofiel6 2 16 5 7 2" xfId="16661"/>
    <cellStyle name="Table  - Opmaakprofiel6 2 16 5 7 3" xfId="28713"/>
    <cellStyle name="Table  - Opmaakprofiel6 2 16 5 7 4" xfId="44798"/>
    <cellStyle name="Table  - Opmaakprofiel6 2 16 5 7 5" xfId="49728"/>
    <cellStyle name="Table  - Opmaakprofiel6 2 16 5 8" xfId="7424"/>
    <cellStyle name="Table  - Opmaakprofiel6 2 16 5 8 2" xfId="19722"/>
    <cellStyle name="Table  - Opmaakprofiel6 2 16 5 8 3" xfId="41525"/>
    <cellStyle name="Table  - Opmaakprofiel6 2 16 5 8 4" xfId="43514"/>
    <cellStyle name="Table  - Opmaakprofiel6 2 16 5 8 5" xfId="52394"/>
    <cellStyle name="Table  - Opmaakprofiel6 2 16 5 9" xfId="16655"/>
    <cellStyle name="Table  - Opmaakprofiel6 2 16 6" xfId="964"/>
    <cellStyle name="Table  - Opmaakprofiel6 2 16 6 2" xfId="1613"/>
    <cellStyle name="Table  - Opmaakprofiel6 2 16 6 2 2" xfId="10618"/>
    <cellStyle name="Table  - Opmaakprofiel6 2 16 6 2 2 2" xfId="22916"/>
    <cellStyle name="Table  - Opmaakprofiel6 2 16 6 2 2 3" xfId="34968"/>
    <cellStyle name="Table  - Opmaakprofiel6 2 16 6 2 2 4" xfId="29674"/>
    <cellStyle name="Table  - Opmaakprofiel6 2 16 6 2 2 5" xfId="55583"/>
    <cellStyle name="Table  - Opmaakprofiel6 2 16 6 2 3" xfId="16663"/>
    <cellStyle name="Table  - Opmaakprofiel6 2 16 6 2 4" xfId="28715"/>
    <cellStyle name="Table  - Opmaakprofiel6 2 16 6 2 5" xfId="44797"/>
    <cellStyle name="Table  - Opmaakprofiel6 2 16 6 2 6" xfId="49729"/>
    <cellStyle name="Table  - Opmaakprofiel6 2 16 6 3" xfId="2975"/>
    <cellStyle name="Table  - Opmaakprofiel6 2 16 6 3 2" xfId="10619"/>
    <cellStyle name="Table  - Opmaakprofiel6 2 16 6 3 2 2" xfId="22917"/>
    <cellStyle name="Table  - Opmaakprofiel6 2 16 6 3 2 3" xfId="34969"/>
    <cellStyle name="Table  - Opmaakprofiel6 2 16 6 3 2 4" xfId="42199"/>
    <cellStyle name="Table  - Opmaakprofiel6 2 16 6 3 2 5" xfId="55584"/>
    <cellStyle name="Table  - Opmaakprofiel6 2 16 6 3 3" xfId="16664"/>
    <cellStyle name="Table  - Opmaakprofiel6 2 16 6 3 4" xfId="28716"/>
    <cellStyle name="Table  - Opmaakprofiel6 2 16 6 3 5" xfId="38713"/>
    <cellStyle name="Table  - Opmaakprofiel6 2 16 6 3 6" xfId="49730"/>
    <cellStyle name="Table  - Opmaakprofiel6 2 16 6 4" xfId="3821"/>
    <cellStyle name="Table  - Opmaakprofiel6 2 16 6 4 2" xfId="10620"/>
    <cellStyle name="Table  - Opmaakprofiel6 2 16 6 4 2 2" xfId="22918"/>
    <cellStyle name="Table  - Opmaakprofiel6 2 16 6 4 2 3" xfId="34970"/>
    <cellStyle name="Table  - Opmaakprofiel6 2 16 6 4 2 4" xfId="31529"/>
    <cellStyle name="Table  - Opmaakprofiel6 2 16 6 4 2 5" xfId="55585"/>
    <cellStyle name="Table  - Opmaakprofiel6 2 16 6 4 3" xfId="16665"/>
    <cellStyle name="Table  - Opmaakprofiel6 2 16 6 4 4" xfId="28717"/>
    <cellStyle name="Table  - Opmaakprofiel6 2 16 6 4 5" xfId="38712"/>
    <cellStyle name="Table  - Opmaakprofiel6 2 16 6 4 6" xfId="49731"/>
    <cellStyle name="Table  - Opmaakprofiel6 2 16 6 5" xfId="5871"/>
    <cellStyle name="Table  - Opmaakprofiel6 2 16 6 5 2" xfId="10621"/>
    <cellStyle name="Table  - Opmaakprofiel6 2 16 6 5 2 2" xfId="22919"/>
    <cellStyle name="Table  - Opmaakprofiel6 2 16 6 5 2 3" xfId="34971"/>
    <cellStyle name="Table  - Opmaakprofiel6 2 16 6 5 2 4" xfId="42198"/>
    <cellStyle name="Table  - Opmaakprofiel6 2 16 6 5 2 5" xfId="55586"/>
    <cellStyle name="Table  - Opmaakprofiel6 2 16 6 5 3" xfId="16666"/>
    <cellStyle name="Table  - Opmaakprofiel6 2 16 6 5 4" xfId="28718"/>
    <cellStyle name="Table  - Opmaakprofiel6 2 16 6 5 5" xfId="38711"/>
    <cellStyle name="Table  - Opmaakprofiel6 2 16 6 5 6" xfId="49732"/>
    <cellStyle name="Table  - Opmaakprofiel6 2 16 6 6" xfId="5872"/>
    <cellStyle name="Table  - Opmaakprofiel6 2 16 6 6 2" xfId="10622"/>
    <cellStyle name="Table  - Opmaakprofiel6 2 16 6 6 2 2" xfId="22920"/>
    <cellStyle name="Table  - Opmaakprofiel6 2 16 6 6 2 3" xfId="34972"/>
    <cellStyle name="Table  - Opmaakprofiel6 2 16 6 6 2 4" xfId="29681"/>
    <cellStyle name="Table  - Opmaakprofiel6 2 16 6 6 2 5" xfId="55587"/>
    <cellStyle name="Table  - Opmaakprofiel6 2 16 6 6 3" xfId="16667"/>
    <cellStyle name="Table  - Opmaakprofiel6 2 16 6 6 4" xfId="28719"/>
    <cellStyle name="Table  - Opmaakprofiel6 2 16 6 6 5" xfId="44796"/>
    <cellStyle name="Table  - Opmaakprofiel6 2 16 6 6 6" xfId="49733"/>
    <cellStyle name="Table  - Opmaakprofiel6 2 16 6 7" xfId="5873"/>
    <cellStyle name="Table  - Opmaakprofiel6 2 16 6 7 2" xfId="16668"/>
    <cellStyle name="Table  - Opmaakprofiel6 2 16 6 7 3" xfId="28720"/>
    <cellStyle name="Table  - Opmaakprofiel6 2 16 6 7 4" xfId="38710"/>
    <cellStyle name="Table  - Opmaakprofiel6 2 16 6 7 5" xfId="49734"/>
    <cellStyle name="Table  - Opmaakprofiel6 2 16 6 8" xfId="7336"/>
    <cellStyle name="Table  - Opmaakprofiel6 2 16 6 8 2" xfId="19634"/>
    <cellStyle name="Table  - Opmaakprofiel6 2 16 6 8 3" xfId="41437"/>
    <cellStyle name="Table  - Opmaakprofiel6 2 16 6 8 4" xfId="36838"/>
    <cellStyle name="Table  - Opmaakprofiel6 2 16 6 8 5" xfId="52306"/>
    <cellStyle name="Table  - Opmaakprofiel6 2 16 6 9" xfId="16662"/>
    <cellStyle name="Table  - Opmaakprofiel6 2 16 7" xfId="2104"/>
    <cellStyle name="Table  - Opmaakprofiel6 2 16 7 2" xfId="10623"/>
    <cellStyle name="Table  - Opmaakprofiel6 2 16 7 2 2" xfId="22921"/>
    <cellStyle name="Table  - Opmaakprofiel6 2 16 7 2 3" xfId="34973"/>
    <cellStyle name="Table  - Opmaakprofiel6 2 16 7 2 4" xfId="31413"/>
    <cellStyle name="Table  - Opmaakprofiel6 2 16 7 2 5" xfId="55588"/>
    <cellStyle name="Table  - Opmaakprofiel6 2 16 7 3" xfId="16669"/>
    <cellStyle name="Table  - Opmaakprofiel6 2 16 7 4" xfId="28721"/>
    <cellStyle name="Table  - Opmaakprofiel6 2 16 7 5" xfId="44795"/>
    <cellStyle name="Table  - Opmaakprofiel6 2 16 7 6" xfId="49735"/>
    <cellStyle name="Table  - Opmaakprofiel6 2 16 8" xfId="2764"/>
    <cellStyle name="Table  - Opmaakprofiel6 2 16 8 2" xfId="10624"/>
    <cellStyle name="Table  - Opmaakprofiel6 2 16 8 2 2" xfId="22922"/>
    <cellStyle name="Table  - Opmaakprofiel6 2 16 8 2 3" xfId="34974"/>
    <cellStyle name="Table  - Opmaakprofiel6 2 16 8 2 4" xfId="29688"/>
    <cellStyle name="Table  - Opmaakprofiel6 2 16 8 2 5" xfId="55589"/>
    <cellStyle name="Table  - Opmaakprofiel6 2 16 8 3" xfId="16670"/>
    <cellStyle name="Table  - Opmaakprofiel6 2 16 8 4" xfId="28722"/>
    <cellStyle name="Table  - Opmaakprofiel6 2 16 8 5" xfId="38709"/>
    <cellStyle name="Table  - Opmaakprofiel6 2 16 8 6" xfId="49736"/>
    <cellStyle name="Table  - Opmaakprofiel6 2 16 9" xfId="3626"/>
    <cellStyle name="Table  - Opmaakprofiel6 2 16 9 2" xfId="10625"/>
    <cellStyle name="Table  - Opmaakprofiel6 2 16 9 2 2" xfId="22923"/>
    <cellStyle name="Table  - Opmaakprofiel6 2 16 9 2 3" xfId="34975"/>
    <cellStyle name="Table  - Opmaakprofiel6 2 16 9 2 4" xfId="42197"/>
    <cellStyle name="Table  - Opmaakprofiel6 2 16 9 2 5" xfId="55590"/>
    <cellStyle name="Table  - Opmaakprofiel6 2 16 9 3" xfId="16671"/>
    <cellStyle name="Table  - Opmaakprofiel6 2 16 9 4" xfId="28723"/>
    <cellStyle name="Table  - Opmaakprofiel6 2 16 9 5" xfId="44794"/>
    <cellStyle name="Table  - Opmaakprofiel6 2 16 9 6" xfId="49737"/>
    <cellStyle name="Table  - Opmaakprofiel6 2 17" xfId="795"/>
    <cellStyle name="Table  - Opmaakprofiel6 2 17 10" xfId="5874"/>
    <cellStyle name="Table  - Opmaakprofiel6 2 17 10 2" xfId="10626"/>
    <cellStyle name="Table  - Opmaakprofiel6 2 17 10 2 2" xfId="22924"/>
    <cellStyle name="Table  - Opmaakprofiel6 2 17 10 2 3" xfId="34976"/>
    <cellStyle name="Table  - Opmaakprofiel6 2 17 10 2 4" xfId="31365"/>
    <cellStyle name="Table  - Opmaakprofiel6 2 17 10 2 5" xfId="55591"/>
    <cellStyle name="Table  - Opmaakprofiel6 2 17 10 3" xfId="16673"/>
    <cellStyle name="Table  - Opmaakprofiel6 2 17 10 4" xfId="28725"/>
    <cellStyle name="Table  - Opmaakprofiel6 2 17 10 5" xfId="44793"/>
    <cellStyle name="Table  - Opmaakprofiel6 2 17 10 6" xfId="49738"/>
    <cellStyle name="Table  - Opmaakprofiel6 2 17 11" xfId="5875"/>
    <cellStyle name="Table  - Opmaakprofiel6 2 17 11 2" xfId="10627"/>
    <cellStyle name="Table  - Opmaakprofiel6 2 17 11 2 2" xfId="22925"/>
    <cellStyle name="Table  - Opmaakprofiel6 2 17 11 2 3" xfId="34977"/>
    <cellStyle name="Table  - Opmaakprofiel6 2 17 11 2 4" xfId="42196"/>
    <cellStyle name="Table  - Opmaakprofiel6 2 17 11 2 5" xfId="55592"/>
    <cellStyle name="Table  - Opmaakprofiel6 2 17 11 3" xfId="16674"/>
    <cellStyle name="Table  - Opmaakprofiel6 2 17 11 4" xfId="28726"/>
    <cellStyle name="Table  - Opmaakprofiel6 2 17 11 5" xfId="38707"/>
    <cellStyle name="Table  - Opmaakprofiel6 2 17 11 6" xfId="49739"/>
    <cellStyle name="Table  - Opmaakprofiel6 2 17 12" xfId="5876"/>
    <cellStyle name="Table  - Opmaakprofiel6 2 17 12 2" xfId="16675"/>
    <cellStyle name="Table  - Opmaakprofiel6 2 17 12 3" xfId="28727"/>
    <cellStyle name="Table  - Opmaakprofiel6 2 17 12 4" xfId="44792"/>
    <cellStyle name="Table  - Opmaakprofiel6 2 17 12 5" xfId="49740"/>
    <cellStyle name="Table  - Opmaakprofiel6 2 17 13" xfId="7450"/>
    <cellStyle name="Table  - Opmaakprofiel6 2 17 13 2" xfId="19748"/>
    <cellStyle name="Table  - Opmaakprofiel6 2 17 13 3" xfId="41551"/>
    <cellStyle name="Table  - Opmaakprofiel6 2 17 13 4" xfId="32146"/>
    <cellStyle name="Table  - Opmaakprofiel6 2 17 13 5" xfId="52420"/>
    <cellStyle name="Table  - Opmaakprofiel6 2 17 14" xfId="16672"/>
    <cellStyle name="Table  - Opmaakprofiel6 2 17 2" xfId="957"/>
    <cellStyle name="Table  - Opmaakprofiel6 2 17 2 2" xfId="2419"/>
    <cellStyle name="Table  - Opmaakprofiel6 2 17 2 2 2" xfId="10628"/>
    <cellStyle name="Table  - Opmaakprofiel6 2 17 2 2 2 2" xfId="22926"/>
    <cellStyle name="Table  - Opmaakprofiel6 2 17 2 2 2 3" xfId="34978"/>
    <cellStyle name="Table  - Opmaakprofiel6 2 17 2 2 2 4" xfId="32129"/>
    <cellStyle name="Table  - Opmaakprofiel6 2 17 2 2 2 5" xfId="55593"/>
    <cellStyle name="Table  - Opmaakprofiel6 2 17 2 2 3" xfId="16677"/>
    <cellStyle name="Table  - Opmaakprofiel6 2 17 2 2 4" xfId="28729"/>
    <cellStyle name="Table  - Opmaakprofiel6 2 17 2 2 5" xfId="38705"/>
    <cellStyle name="Table  - Opmaakprofiel6 2 17 2 2 6" xfId="49741"/>
    <cellStyle name="Table  - Opmaakprofiel6 2 17 2 3" xfId="2968"/>
    <cellStyle name="Table  - Opmaakprofiel6 2 17 2 3 2" xfId="10629"/>
    <cellStyle name="Table  - Opmaakprofiel6 2 17 2 3 2 2" xfId="22927"/>
    <cellStyle name="Table  - Opmaakprofiel6 2 17 2 3 2 3" xfId="34979"/>
    <cellStyle name="Table  - Opmaakprofiel6 2 17 2 3 2 4" xfId="42195"/>
    <cellStyle name="Table  - Opmaakprofiel6 2 17 2 3 2 5" xfId="55594"/>
    <cellStyle name="Table  - Opmaakprofiel6 2 17 2 3 3" xfId="16678"/>
    <cellStyle name="Table  - Opmaakprofiel6 2 17 2 3 4" xfId="28730"/>
    <cellStyle name="Table  - Opmaakprofiel6 2 17 2 3 5" xfId="38704"/>
    <cellStyle name="Table  - Opmaakprofiel6 2 17 2 3 6" xfId="49742"/>
    <cellStyle name="Table  - Opmaakprofiel6 2 17 2 4" xfId="3814"/>
    <cellStyle name="Table  - Opmaakprofiel6 2 17 2 4 2" xfId="10630"/>
    <cellStyle name="Table  - Opmaakprofiel6 2 17 2 4 2 2" xfId="22928"/>
    <cellStyle name="Table  - Opmaakprofiel6 2 17 2 4 2 3" xfId="34980"/>
    <cellStyle name="Table  - Opmaakprofiel6 2 17 2 4 2 4" xfId="29697"/>
    <cellStyle name="Table  - Opmaakprofiel6 2 17 2 4 2 5" xfId="55595"/>
    <cellStyle name="Table  - Opmaakprofiel6 2 17 2 4 3" xfId="16679"/>
    <cellStyle name="Table  - Opmaakprofiel6 2 17 2 4 4" xfId="28731"/>
    <cellStyle name="Table  - Opmaakprofiel6 2 17 2 4 5" xfId="44791"/>
    <cellStyle name="Table  - Opmaakprofiel6 2 17 2 4 6" xfId="49743"/>
    <cellStyle name="Table  - Opmaakprofiel6 2 17 2 5" xfId="5877"/>
    <cellStyle name="Table  - Opmaakprofiel6 2 17 2 5 2" xfId="10631"/>
    <cellStyle name="Table  - Opmaakprofiel6 2 17 2 5 2 2" xfId="22929"/>
    <cellStyle name="Table  - Opmaakprofiel6 2 17 2 5 2 3" xfId="34981"/>
    <cellStyle name="Table  - Opmaakprofiel6 2 17 2 5 2 4" xfId="32075"/>
    <cellStyle name="Table  - Opmaakprofiel6 2 17 2 5 2 5" xfId="55596"/>
    <cellStyle name="Table  - Opmaakprofiel6 2 17 2 5 3" xfId="16680"/>
    <cellStyle name="Table  - Opmaakprofiel6 2 17 2 5 4" xfId="28732"/>
    <cellStyle name="Table  - Opmaakprofiel6 2 17 2 5 5" xfId="38703"/>
    <cellStyle name="Table  - Opmaakprofiel6 2 17 2 5 6" xfId="49744"/>
    <cellStyle name="Table  - Opmaakprofiel6 2 17 2 6" xfId="5878"/>
    <cellStyle name="Table  - Opmaakprofiel6 2 17 2 6 2" xfId="10632"/>
    <cellStyle name="Table  - Opmaakprofiel6 2 17 2 6 2 2" xfId="22930"/>
    <cellStyle name="Table  - Opmaakprofiel6 2 17 2 6 2 3" xfId="34982"/>
    <cellStyle name="Table  - Opmaakprofiel6 2 17 2 6 2 4" xfId="42194"/>
    <cellStyle name="Table  - Opmaakprofiel6 2 17 2 6 2 5" xfId="55597"/>
    <cellStyle name="Table  - Opmaakprofiel6 2 17 2 6 3" xfId="16681"/>
    <cellStyle name="Table  - Opmaakprofiel6 2 17 2 6 4" xfId="28733"/>
    <cellStyle name="Table  - Opmaakprofiel6 2 17 2 6 5" xfId="44790"/>
    <cellStyle name="Table  - Opmaakprofiel6 2 17 2 6 6" xfId="49745"/>
    <cellStyle name="Table  - Opmaakprofiel6 2 17 2 7" xfId="5879"/>
    <cellStyle name="Table  - Opmaakprofiel6 2 17 2 7 2" xfId="16682"/>
    <cellStyle name="Table  - Opmaakprofiel6 2 17 2 7 3" xfId="28734"/>
    <cellStyle name="Table  - Opmaakprofiel6 2 17 2 7 4" xfId="38702"/>
    <cellStyle name="Table  - Opmaakprofiel6 2 17 2 7 5" xfId="49746"/>
    <cellStyle name="Table  - Opmaakprofiel6 2 17 2 8" xfId="7340"/>
    <cellStyle name="Table  - Opmaakprofiel6 2 17 2 8 2" xfId="19638"/>
    <cellStyle name="Table  - Opmaakprofiel6 2 17 2 8 3" xfId="41441"/>
    <cellStyle name="Table  - Opmaakprofiel6 2 17 2 8 4" xfId="43550"/>
    <cellStyle name="Table  - Opmaakprofiel6 2 17 2 8 5" xfId="52310"/>
    <cellStyle name="Table  - Opmaakprofiel6 2 17 2 9" xfId="16676"/>
    <cellStyle name="Table  - Opmaakprofiel6 2 17 3" xfId="1052"/>
    <cellStyle name="Table  - Opmaakprofiel6 2 17 3 2" xfId="2044"/>
    <cellStyle name="Table  - Opmaakprofiel6 2 17 3 2 2" xfId="10633"/>
    <cellStyle name="Table  - Opmaakprofiel6 2 17 3 2 2 2" xfId="22931"/>
    <cellStyle name="Table  - Opmaakprofiel6 2 17 3 2 2 3" xfId="34983"/>
    <cellStyle name="Table  - Opmaakprofiel6 2 17 3 2 2 4" xfId="29704"/>
    <cellStyle name="Table  - Opmaakprofiel6 2 17 3 2 2 5" xfId="55598"/>
    <cellStyle name="Table  - Opmaakprofiel6 2 17 3 2 3" xfId="16684"/>
    <cellStyle name="Table  - Opmaakprofiel6 2 17 3 2 4" xfId="28736"/>
    <cellStyle name="Table  - Opmaakprofiel6 2 17 3 2 5" xfId="38701"/>
    <cellStyle name="Table  - Opmaakprofiel6 2 17 3 2 6" xfId="49747"/>
    <cellStyle name="Table  - Opmaakprofiel6 2 17 3 3" xfId="3063"/>
    <cellStyle name="Table  - Opmaakprofiel6 2 17 3 3 2" xfId="10634"/>
    <cellStyle name="Table  - Opmaakprofiel6 2 17 3 3 2 2" xfId="22932"/>
    <cellStyle name="Table  - Opmaakprofiel6 2 17 3 3 2 3" xfId="34984"/>
    <cellStyle name="Table  - Opmaakprofiel6 2 17 3 3 2 4" xfId="42193"/>
    <cellStyle name="Table  - Opmaakprofiel6 2 17 3 3 2 5" xfId="55599"/>
    <cellStyle name="Table  - Opmaakprofiel6 2 17 3 3 3" xfId="16685"/>
    <cellStyle name="Table  - Opmaakprofiel6 2 17 3 3 4" xfId="28737"/>
    <cellStyle name="Table  - Opmaakprofiel6 2 17 3 3 5" xfId="44788"/>
    <cellStyle name="Table  - Opmaakprofiel6 2 17 3 3 6" xfId="49748"/>
    <cellStyle name="Table  - Opmaakprofiel6 2 17 3 4" xfId="3904"/>
    <cellStyle name="Table  - Opmaakprofiel6 2 17 3 4 2" xfId="10635"/>
    <cellStyle name="Table  - Opmaakprofiel6 2 17 3 4 2 2" xfId="22933"/>
    <cellStyle name="Table  - Opmaakprofiel6 2 17 3 4 2 3" xfId="34985"/>
    <cellStyle name="Table  - Opmaakprofiel6 2 17 3 4 2 4" xfId="31890"/>
    <cellStyle name="Table  - Opmaakprofiel6 2 17 3 4 2 5" xfId="55600"/>
    <cellStyle name="Table  - Opmaakprofiel6 2 17 3 4 3" xfId="16686"/>
    <cellStyle name="Table  - Opmaakprofiel6 2 17 3 4 4" xfId="28738"/>
    <cellStyle name="Table  - Opmaakprofiel6 2 17 3 4 5" xfId="38700"/>
    <cellStyle name="Table  - Opmaakprofiel6 2 17 3 4 6" xfId="49749"/>
    <cellStyle name="Table  - Opmaakprofiel6 2 17 3 5" xfId="5880"/>
    <cellStyle name="Table  - Opmaakprofiel6 2 17 3 5 2" xfId="10636"/>
    <cellStyle name="Table  - Opmaakprofiel6 2 17 3 5 2 2" xfId="22934"/>
    <cellStyle name="Table  - Opmaakprofiel6 2 17 3 5 2 3" xfId="34986"/>
    <cellStyle name="Table  - Opmaakprofiel6 2 17 3 5 2 4" xfId="42192"/>
    <cellStyle name="Table  - Opmaakprofiel6 2 17 3 5 2 5" xfId="55601"/>
    <cellStyle name="Table  - Opmaakprofiel6 2 17 3 5 3" xfId="16687"/>
    <cellStyle name="Table  - Opmaakprofiel6 2 17 3 5 4" xfId="28739"/>
    <cellStyle name="Table  - Opmaakprofiel6 2 17 3 5 5" xfId="44787"/>
    <cellStyle name="Table  - Opmaakprofiel6 2 17 3 5 6" xfId="49750"/>
    <cellStyle name="Table  - Opmaakprofiel6 2 17 3 6" xfId="5881"/>
    <cellStyle name="Table  - Opmaakprofiel6 2 17 3 6 2" xfId="10637"/>
    <cellStyle name="Table  - Opmaakprofiel6 2 17 3 6 2 2" xfId="22935"/>
    <cellStyle name="Table  - Opmaakprofiel6 2 17 3 6 2 3" xfId="34987"/>
    <cellStyle name="Table  - Opmaakprofiel6 2 17 3 6 2 4" xfId="29711"/>
    <cellStyle name="Table  - Opmaakprofiel6 2 17 3 6 2 5" xfId="55602"/>
    <cellStyle name="Table  - Opmaakprofiel6 2 17 3 6 3" xfId="16688"/>
    <cellStyle name="Table  - Opmaakprofiel6 2 17 3 6 4" xfId="28740"/>
    <cellStyle name="Table  - Opmaakprofiel6 2 17 3 6 5" xfId="38699"/>
    <cellStyle name="Table  - Opmaakprofiel6 2 17 3 6 6" xfId="49751"/>
    <cellStyle name="Table  - Opmaakprofiel6 2 17 3 7" xfId="5882"/>
    <cellStyle name="Table  - Opmaakprofiel6 2 17 3 7 2" xfId="16689"/>
    <cellStyle name="Table  - Opmaakprofiel6 2 17 3 7 3" xfId="28741"/>
    <cellStyle name="Table  - Opmaakprofiel6 2 17 3 7 4" xfId="38698"/>
    <cellStyle name="Table  - Opmaakprofiel6 2 17 3 7 5" xfId="49752"/>
    <cellStyle name="Table  - Opmaakprofiel6 2 17 3 8" xfId="9965"/>
    <cellStyle name="Table  - Opmaakprofiel6 2 17 3 8 2" xfId="22263"/>
    <cellStyle name="Table  - Opmaakprofiel6 2 17 3 8 3" xfId="44028"/>
    <cellStyle name="Table  - Opmaakprofiel6 2 17 3 8 4" xfId="28392"/>
    <cellStyle name="Table  - Opmaakprofiel6 2 17 3 8 5" xfId="54930"/>
    <cellStyle name="Table  - Opmaakprofiel6 2 17 3 9" xfId="16683"/>
    <cellStyle name="Table  - Opmaakprofiel6 2 17 4" xfId="492"/>
    <cellStyle name="Table  - Opmaakprofiel6 2 17 4 2" xfId="2320"/>
    <cellStyle name="Table  - Opmaakprofiel6 2 17 4 2 2" xfId="10638"/>
    <cellStyle name="Table  - Opmaakprofiel6 2 17 4 2 2 2" xfId="22936"/>
    <cellStyle name="Table  - Opmaakprofiel6 2 17 4 2 2 3" xfId="34988"/>
    <cellStyle name="Table  - Opmaakprofiel6 2 17 4 2 2 4" xfId="42191"/>
    <cellStyle name="Table  - Opmaakprofiel6 2 17 4 2 2 5" xfId="55603"/>
    <cellStyle name="Table  - Opmaakprofiel6 2 17 4 2 3" xfId="16691"/>
    <cellStyle name="Table  - Opmaakprofiel6 2 17 4 2 4" xfId="28743"/>
    <cellStyle name="Table  - Opmaakprofiel6 2 17 4 2 5" xfId="44786"/>
    <cellStyle name="Table  - Opmaakprofiel6 2 17 4 2 6" xfId="49753"/>
    <cellStyle name="Table  - Opmaakprofiel6 2 17 4 3" xfId="2563"/>
    <cellStyle name="Table  - Opmaakprofiel6 2 17 4 3 2" xfId="10639"/>
    <cellStyle name="Table  - Opmaakprofiel6 2 17 4 3 2 2" xfId="22937"/>
    <cellStyle name="Table  - Opmaakprofiel6 2 17 4 3 2 3" xfId="34989"/>
    <cellStyle name="Table  - Opmaakprofiel6 2 17 4 3 2 4" xfId="31772"/>
    <cellStyle name="Table  - Opmaakprofiel6 2 17 4 3 2 5" xfId="55604"/>
    <cellStyle name="Table  - Opmaakprofiel6 2 17 4 3 3" xfId="16692"/>
    <cellStyle name="Table  - Opmaakprofiel6 2 17 4 3 4" xfId="28744"/>
    <cellStyle name="Table  - Opmaakprofiel6 2 17 4 3 5" xfId="38696"/>
    <cellStyle name="Table  - Opmaakprofiel6 2 17 4 3 6" xfId="49754"/>
    <cellStyle name="Table  - Opmaakprofiel6 2 17 4 4" xfId="3448"/>
    <cellStyle name="Table  - Opmaakprofiel6 2 17 4 4 2" xfId="10640"/>
    <cellStyle name="Table  - Opmaakprofiel6 2 17 4 4 2 2" xfId="22938"/>
    <cellStyle name="Table  - Opmaakprofiel6 2 17 4 4 2 3" xfId="34990"/>
    <cellStyle name="Table  - Opmaakprofiel6 2 17 4 4 2 4" xfId="42190"/>
    <cellStyle name="Table  - Opmaakprofiel6 2 17 4 4 2 5" xfId="55605"/>
    <cellStyle name="Table  - Opmaakprofiel6 2 17 4 4 3" xfId="16693"/>
    <cellStyle name="Table  - Opmaakprofiel6 2 17 4 4 4" xfId="28745"/>
    <cellStyle name="Table  - Opmaakprofiel6 2 17 4 4 5" xfId="44785"/>
    <cellStyle name="Table  - Opmaakprofiel6 2 17 4 4 6" xfId="49755"/>
    <cellStyle name="Table  - Opmaakprofiel6 2 17 4 5" xfId="5883"/>
    <cellStyle name="Table  - Opmaakprofiel6 2 17 4 5 2" xfId="10641"/>
    <cellStyle name="Table  - Opmaakprofiel6 2 17 4 5 2 2" xfId="22939"/>
    <cellStyle name="Table  - Opmaakprofiel6 2 17 4 5 2 3" xfId="34991"/>
    <cellStyle name="Table  - Opmaakprofiel6 2 17 4 5 2 4" xfId="29718"/>
    <cellStyle name="Table  - Opmaakprofiel6 2 17 4 5 2 5" xfId="55606"/>
    <cellStyle name="Table  - Opmaakprofiel6 2 17 4 5 3" xfId="16694"/>
    <cellStyle name="Table  - Opmaakprofiel6 2 17 4 5 4" xfId="28746"/>
    <cellStyle name="Table  - Opmaakprofiel6 2 17 4 5 5" xfId="38695"/>
    <cellStyle name="Table  - Opmaakprofiel6 2 17 4 5 6" xfId="49756"/>
    <cellStyle name="Table  - Opmaakprofiel6 2 17 4 6" xfId="5884"/>
    <cellStyle name="Table  - Opmaakprofiel6 2 17 4 6 2" xfId="10642"/>
    <cellStyle name="Table  - Opmaakprofiel6 2 17 4 6 2 2" xfId="22940"/>
    <cellStyle name="Table  - Opmaakprofiel6 2 17 4 6 2 3" xfId="34992"/>
    <cellStyle name="Table  - Opmaakprofiel6 2 17 4 6 2 4" xfId="32020"/>
    <cellStyle name="Table  - Opmaakprofiel6 2 17 4 6 2 5" xfId="55607"/>
    <cellStyle name="Table  - Opmaakprofiel6 2 17 4 6 3" xfId="16695"/>
    <cellStyle name="Table  - Opmaakprofiel6 2 17 4 6 4" xfId="28747"/>
    <cellStyle name="Table  - Opmaakprofiel6 2 17 4 6 5" xfId="44784"/>
    <cellStyle name="Table  - Opmaakprofiel6 2 17 4 6 6" xfId="49757"/>
    <cellStyle name="Table  - Opmaakprofiel6 2 17 4 7" xfId="5885"/>
    <cellStyle name="Table  - Opmaakprofiel6 2 17 4 7 2" xfId="16696"/>
    <cellStyle name="Table  - Opmaakprofiel6 2 17 4 7 3" xfId="28748"/>
    <cellStyle name="Table  - Opmaakprofiel6 2 17 4 7 4" xfId="38694"/>
    <cellStyle name="Table  - Opmaakprofiel6 2 17 4 7 5" xfId="49758"/>
    <cellStyle name="Table  - Opmaakprofiel6 2 17 4 8" xfId="10341"/>
    <cellStyle name="Table  - Opmaakprofiel6 2 17 4 8 2" xfId="22639"/>
    <cellStyle name="Table  - Opmaakprofiel6 2 17 4 8 3" xfId="44399"/>
    <cellStyle name="Table  - Opmaakprofiel6 2 17 4 8 4" xfId="42315"/>
    <cellStyle name="Table  - Opmaakprofiel6 2 17 4 8 5" xfId="55306"/>
    <cellStyle name="Table  - Opmaakprofiel6 2 17 4 9" xfId="16690"/>
    <cellStyle name="Table  - Opmaakprofiel6 2 17 5" xfId="1222"/>
    <cellStyle name="Table  - Opmaakprofiel6 2 17 5 2" xfId="2113"/>
    <cellStyle name="Table  - Opmaakprofiel6 2 17 5 2 2" xfId="10643"/>
    <cellStyle name="Table  - Opmaakprofiel6 2 17 5 2 2 2" xfId="22941"/>
    <cellStyle name="Table  - Opmaakprofiel6 2 17 5 2 2 3" xfId="34993"/>
    <cellStyle name="Table  - Opmaakprofiel6 2 17 5 2 2 4" xfId="29725"/>
    <cellStyle name="Table  - Opmaakprofiel6 2 17 5 2 2 5" xfId="55608"/>
    <cellStyle name="Table  - Opmaakprofiel6 2 17 5 2 3" xfId="16698"/>
    <cellStyle name="Table  - Opmaakprofiel6 2 17 5 2 4" xfId="28750"/>
    <cellStyle name="Table  - Opmaakprofiel6 2 17 5 2 5" xfId="38693"/>
    <cellStyle name="Table  - Opmaakprofiel6 2 17 5 2 6" xfId="49759"/>
    <cellStyle name="Table  - Opmaakprofiel6 2 17 5 3" xfId="3233"/>
    <cellStyle name="Table  - Opmaakprofiel6 2 17 5 3 2" xfId="10644"/>
    <cellStyle name="Table  - Opmaakprofiel6 2 17 5 3 2 2" xfId="22942"/>
    <cellStyle name="Table  - Opmaakprofiel6 2 17 5 3 2 3" xfId="34994"/>
    <cellStyle name="Table  - Opmaakprofiel6 2 17 5 3 2 4" xfId="42189"/>
    <cellStyle name="Table  - Opmaakprofiel6 2 17 5 3 2 5" xfId="55609"/>
    <cellStyle name="Table  - Opmaakprofiel6 2 17 5 3 3" xfId="16699"/>
    <cellStyle name="Table  - Opmaakprofiel6 2 17 5 3 4" xfId="28751"/>
    <cellStyle name="Table  - Opmaakprofiel6 2 17 5 3 5" xfId="44782"/>
    <cellStyle name="Table  - Opmaakprofiel6 2 17 5 3 6" xfId="49760"/>
    <cellStyle name="Table  - Opmaakprofiel6 2 17 5 4" xfId="4048"/>
    <cellStyle name="Table  - Opmaakprofiel6 2 17 5 4 2" xfId="10645"/>
    <cellStyle name="Table  - Opmaakprofiel6 2 17 5 4 2 2" xfId="22943"/>
    <cellStyle name="Table  - Opmaakprofiel6 2 17 5 4 2 3" xfId="34995"/>
    <cellStyle name="Table  - Opmaakprofiel6 2 17 5 4 2 4" xfId="34331"/>
    <cellStyle name="Table  - Opmaakprofiel6 2 17 5 4 2 5" xfId="55610"/>
    <cellStyle name="Table  - Opmaakprofiel6 2 17 5 4 3" xfId="16700"/>
    <cellStyle name="Table  - Opmaakprofiel6 2 17 5 4 4" xfId="28752"/>
    <cellStyle name="Table  - Opmaakprofiel6 2 17 5 4 5" xfId="38692"/>
    <cellStyle name="Table  - Opmaakprofiel6 2 17 5 4 6" xfId="49761"/>
    <cellStyle name="Table  - Opmaakprofiel6 2 17 5 5" xfId="5886"/>
    <cellStyle name="Table  - Opmaakprofiel6 2 17 5 5 2" xfId="10646"/>
    <cellStyle name="Table  - Opmaakprofiel6 2 17 5 5 2 2" xfId="22944"/>
    <cellStyle name="Table  - Opmaakprofiel6 2 17 5 5 2 3" xfId="34996"/>
    <cellStyle name="Table  - Opmaakprofiel6 2 17 5 5 2 4" xfId="42188"/>
    <cellStyle name="Table  - Opmaakprofiel6 2 17 5 5 2 5" xfId="55611"/>
    <cellStyle name="Table  - Opmaakprofiel6 2 17 5 5 3" xfId="16701"/>
    <cellStyle name="Table  - Opmaakprofiel6 2 17 5 5 4" xfId="28753"/>
    <cellStyle name="Table  - Opmaakprofiel6 2 17 5 5 5" xfId="38691"/>
    <cellStyle name="Table  - Opmaakprofiel6 2 17 5 5 6" xfId="49762"/>
    <cellStyle name="Table  - Opmaakprofiel6 2 17 5 6" xfId="5887"/>
    <cellStyle name="Table  - Opmaakprofiel6 2 17 5 6 2" xfId="10647"/>
    <cellStyle name="Table  - Opmaakprofiel6 2 17 5 6 2 2" xfId="22945"/>
    <cellStyle name="Table  - Opmaakprofiel6 2 17 5 6 2 3" xfId="34997"/>
    <cellStyle name="Table  - Opmaakprofiel6 2 17 5 6 2 4" xfId="29732"/>
    <cellStyle name="Table  - Opmaakprofiel6 2 17 5 6 2 5" xfId="55612"/>
    <cellStyle name="Table  - Opmaakprofiel6 2 17 5 6 3" xfId="16702"/>
    <cellStyle name="Table  - Opmaakprofiel6 2 17 5 6 4" xfId="28754"/>
    <cellStyle name="Table  - Opmaakprofiel6 2 17 5 6 5" xfId="38690"/>
    <cellStyle name="Table  - Opmaakprofiel6 2 17 5 6 6" xfId="49763"/>
    <cellStyle name="Table  - Opmaakprofiel6 2 17 5 7" xfId="5888"/>
    <cellStyle name="Table  - Opmaakprofiel6 2 17 5 7 2" xfId="16703"/>
    <cellStyle name="Table  - Opmaakprofiel6 2 17 5 7 3" xfId="28755"/>
    <cellStyle name="Table  - Opmaakprofiel6 2 17 5 7 4" xfId="44781"/>
    <cellStyle name="Table  - Opmaakprofiel6 2 17 5 7 5" xfId="49764"/>
    <cellStyle name="Table  - Opmaakprofiel6 2 17 5 8" xfId="7152"/>
    <cellStyle name="Table  - Opmaakprofiel6 2 17 5 8 2" xfId="19450"/>
    <cellStyle name="Table  - Opmaakprofiel6 2 17 5 8 3" xfId="41253"/>
    <cellStyle name="Table  - Opmaakprofiel6 2 17 5 8 4" xfId="43628"/>
    <cellStyle name="Table  - Opmaakprofiel6 2 17 5 8 5" xfId="52122"/>
    <cellStyle name="Table  - Opmaakprofiel6 2 17 5 9" xfId="16697"/>
    <cellStyle name="Table  - Opmaakprofiel6 2 17 6" xfId="1086"/>
    <cellStyle name="Table  - Opmaakprofiel6 2 17 6 2" xfId="1556"/>
    <cellStyle name="Table  - Opmaakprofiel6 2 17 6 2 2" xfId="10648"/>
    <cellStyle name="Table  - Opmaakprofiel6 2 17 6 2 2 2" xfId="22946"/>
    <cellStyle name="Table  - Opmaakprofiel6 2 17 6 2 2 3" xfId="34998"/>
    <cellStyle name="Table  - Opmaakprofiel6 2 17 6 2 2 4" xfId="42187"/>
    <cellStyle name="Table  - Opmaakprofiel6 2 17 6 2 2 5" xfId="55613"/>
    <cellStyle name="Table  - Opmaakprofiel6 2 17 6 2 3" xfId="16705"/>
    <cellStyle name="Table  - Opmaakprofiel6 2 17 6 2 4" xfId="28757"/>
    <cellStyle name="Table  - Opmaakprofiel6 2 17 6 2 5" xfId="44780"/>
    <cellStyle name="Table  - Opmaakprofiel6 2 17 6 2 6" xfId="49765"/>
    <cellStyle name="Table  - Opmaakprofiel6 2 17 6 3" xfId="3097"/>
    <cellStyle name="Table  - Opmaakprofiel6 2 17 6 3 2" xfId="10649"/>
    <cellStyle name="Table  - Opmaakprofiel6 2 17 6 3 2 2" xfId="22947"/>
    <cellStyle name="Table  - Opmaakprofiel6 2 17 6 3 2 3" xfId="34999"/>
    <cellStyle name="Table  - Opmaakprofiel6 2 17 6 3 2 4" xfId="34299"/>
    <cellStyle name="Table  - Opmaakprofiel6 2 17 6 3 2 5" xfId="55614"/>
    <cellStyle name="Table  - Opmaakprofiel6 2 17 6 3 3" xfId="16706"/>
    <cellStyle name="Table  - Opmaakprofiel6 2 17 6 3 4" xfId="28758"/>
    <cellStyle name="Table  - Opmaakprofiel6 2 17 6 3 5" xfId="38689"/>
    <cellStyle name="Table  - Opmaakprofiel6 2 17 6 3 6" xfId="49766"/>
    <cellStyle name="Table  - Opmaakprofiel6 2 17 6 4" xfId="3934"/>
    <cellStyle name="Table  - Opmaakprofiel6 2 17 6 4 2" xfId="10650"/>
    <cellStyle name="Table  - Opmaakprofiel6 2 17 6 4 2 2" xfId="22948"/>
    <cellStyle name="Table  - Opmaakprofiel6 2 17 6 4 2 3" xfId="35000"/>
    <cellStyle name="Table  - Opmaakprofiel6 2 17 6 4 2 4" xfId="42186"/>
    <cellStyle name="Table  - Opmaakprofiel6 2 17 6 4 2 5" xfId="55615"/>
    <cellStyle name="Table  - Opmaakprofiel6 2 17 6 4 3" xfId="16707"/>
    <cellStyle name="Table  - Opmaakprofiel6 2 17 6 4 4" xfId="28759"/>
    <cellStyle name="Table  - Opmaakprofiel6 2 17 6 4 5" xfId="44779"/>
    <cellStyle name="Table  - Opmaakprofiel6 2 17 6 4 6" xfId="49767"/>
    <cellStyle name="Table  - Opmaakprofiel6 2 17 6 5" xfId="5889"/>
    <cellStyle name="Table  - Opmaakprofiel6 2 17 6 5 2" xfId="10651"/>
    <cellStyle name="Table  - Opmaakprofiel6 2 17 6 5 2 2" xfId="22949"/>
    <cellStyle name="Table  - Opmaakprofiel6 2 17 6 5 2 3" xfId="35001"/>
    <cellStyle name="Table  - Opmaakprofiel6 2 17 6 5 2 4" xfId="29739"/>
    <cellStyle name="Table  - Opmaakprofiel6 2 17 6 5 2 5" xfId="55616"/>
    <cellStyle name="Table  - Opmaakprofiel6 2 17 6 5 3" xfId="16708"/>
    <cellStyle name="Table  - Opmaakprofiel6 2 17 6 5 4" xfId="28760"/>
    <cellStyle name="Table  - Opmaakprofiel6 2 17 6 5 5" xfId="38688"/>
    <cellStyle name="Table  - Opmaakprofiel6 2 17 6 5 6" xfId="49768"/>
    <cellStyle name="Table  - Opmaakprofiel6 2 17 6 6" xfId="5890"/>
    <cellStyle name="Table  - Opmaakprofiel6 2 17 6 6 2" xfId="10652"/>
    <cellStyle name="Table  - Opmaakprofiel6 2 17 6 6 2 2" xfId="22950"/>
    <cellStyle name="Table  - Opmaakprofiel6 2 17 6 6 2 3" xfId="35002"/>
    <cellStyle name="Table  - Opmaakprofiel6 2 17 6 6 2 4" xfId="42185"/>
    <cellStyle name="Table  - Opmaakprofiel6 2 17 6 6 2 5" xfId="55617"/>
    <cellStyle name="Table  - Opmaakprofiel6 2 17 6 6 3" xfId="16709"/>
    <cellStyle name="Table  - Opmaakprofiel6 2 17 6 6 4" xfId="28761"/>
    <cellStyle name="Table  - Opmaakprofiel6 2 17 6 6 5" xfId="44778"/>
    <cellStyle name="Table  - Opmaakprofiel6 2 17 6 6 6" xfId="49769"/>
    <cellStyle name="Table  - Opmaakprofiel6 2 17 6 7" xfId="5891"/>
    <cellStyle name="Table  - Opmaakprofiel6 2 17 6 7 2" xfId="16710"/>
    <cellStyle name="Table  - Opmaakprofiel6 2 17 6 7 3" xfId="28762"/>
    <cellStyle name="Table  - Opmaakprofiel6 2 17 6 7 4" xfId="38687"/>
    <cellStyle name="Table  - Opmaakprofiel6 2 17 6 7 5" xfId="49770"/>
    <cellStyle name="Table  - Opmaakprofiel6 2 17 6 8" xfId="9943"/>
    <cellStyle name="Table  - Opmaakprofiel6 2 17 6 8 2" xfId="22241"/>
    <cellStyle name="Table  - Opmaakprofiel6 2 17 6 8 3" xfId="44006"/>
    <cellStyle name="Table  - Opmaakprofiel6 2 17 6 8 4" xfId="28373"/>
    <cellStyle name="Table  - Opmaakprofiel6 2 17 6 8 5" xfId="54908"/>
    <cellStyle name="Table  - Opmaakprofiel6 2 17 6 9" xfId="16704"/>
    <cellStyle name="Table  - Opmaakprofiel6 2 17 7" xfId="1465"/>
    <cellStyle name="Table  - Opmaakprofiel6 2 17 7 2" xfId="10653"/>
    <cellStyle name="Table  - Opmaakprofiel6 2 17 7 2 2" xfId="22951"/>
    <cellStyle name="Table  - Opmaakprofiel6 2 17 7 2 3" xfId="35003"/>
    <cellStyle name="Table  - Opmaakprofiel6 2 17 7 2 4" xfId="31761"/>
    <cellStyle name="Table  - Opmaakprofiel6 2 17 7 2 5" xfId="55618"/>
    <cellStyle name="Table  - Opmaakprofiel6 2 17 7 3" xfId="16711"/>
    <cellStyle name="Table  - Opmaakprofiel6 2 17 7 4" xfId="28763"/>
    <cellStyle name="Table  - Opmaakprofiel6 2 17 7 5" xfId="44777"/>
    <cellStyle name="Table  - Opmaakprofiel6 2 17 7 6" xfId="49771"/>
    <cellStyle name="Table  - Opmaakprofiel6 2 17 8" xfId="2819"/>
    <cellStyle name="Table  - Opmaakprofiel6 2 17 8 2" xfId="10654"/>
    <cellStyle name="Table  - Opmaakprofiel6 2 17 8 2 2" xfId="22952"/>
    <cellStyle name="Table  - Opmaakprofiel6 2 17 8 2 3" xfId="35004"/>
    <cellStyle name="Table  - Opmaakprofiel6 2 17 8 2 4" xfId="29746"/>
    <cellStyle name="Table  - Opmaakprofiel6 2 17 8 2 5" xfId="55619"/>
    <cellStyle name="Table  - Opmaakprofiel6 2 17 8 3" xfId="16712"/>
    <cellStyle name="Table  - Opmaakprofiel6 2 17 8 4" xfId="28764"/>
    <cellStyle name="Table  - Opmaakprofiel6 2 17 8 5" xfId="38686"/>
    <cellStyle name="Table  - Opmaakprofiel6 2 17 8 6" xfId="49772"/>
    <cellStyle name="Table  - Opmaakprofiel6 2 17 9" xfId="3678"/>
    <cellStyle name="Table  - Opmaakprofiel6 2 17 9 2" xfId="10655"/>
    <cellStyle name="Table  - Opmaakprofiel6 2 17 9 2 2" xfId="22953"/>
    <cellStyle name="Table  - Opmaakprofiel6 2 17 9 2 3" xfId="35005"/>
    <cellStyle name="Table  - Opmaakprofiel6 2 17 9 2 4" xfId="31400"/>
    <cellStyle name="Table  - Opmaakprofiel6 2 17 9 2 5" xfId="55620"/>
    <cellStyle name="Table  - Opmaakprofiel6 2 17 9 3" xfId="16713"/>
    <cellStyle name="Table  - Opmaakprofiel6 2 17 9 4" xfId="28765"/>
    <cellStyle name="Table  - Opmaakprofiel6 2 17 9 5" xfId="38685"/>
    <cellStyle name="Table  - Opmaakprofiel6 2 17 9 6" xfId="49773"/>
    <cellStyle name="Table  - Opmaakprofiel6 2 18" xfId="806"/>
    <cellStyle name="Table  - Opmaakprofiel6 2 18 10" xfId="5892"/>
    <cellStyle name="Table  - Opmaakprofiel6 2 18 10 2" xfId="10656"/>
    <cellStyle name="Table  - Opmaakprofiel6 2 18 10 2 2" xfId="22954"/>
    <cellStyle name="Table  - Opmaakprofiel6 2 18 10 2 3" xfId="35006"/>
    <cellStyle name="Table  - Opmaakprofiel6 2 18 10 2 4" xfId="42184"/>
    <cellStyle name="Table  - Opmaakprofiel6 2 18 10 2 5" xfId="55621"/>
    <cellStyle name="Table  - Opmaakprofiel6 2 18 10 3" xfId="16715"/>
    <cellStyle name="Table  - Opmaakprofiel6 2 18 10 4" xfId="28767"/>
    <cellStyle name="Table  - Opmaakprofiel6 2 18 10 5" xfId="38684"/>
    <cellStyle name="Table  - Opmaakprofiel6 2 18 10 6" xfId="49774"/>
    <cellStyle name="Table  - Opmaakprofiel6 2 18 11" xfId="5893"/>
    <cellStyle name="Table  - Opmaakprofiel6 2 18 11 2" xfId="10657"/>
    <cellStyle name="Table  - Opmaakprofiel6 2 18 11 2 2" xfId="22955"/>
    <cellStyle name="Table  - Opmaakprofiel6 2 18 11 2 3" xfId="35007"/>
    <cellStyle name="Table  - Opmaakprofiel6 2 18 11 2 4" xfId="29753"/>
    <cellStyle name="Table  - Opmaakprofiel6 2 18 11 2 5" xfId="55622"/>
    <cellStyle name="Table  - Opmaakprofiel6 2 18 11 3" xfId="16716"/>
    <cellStyle name="Table  - Opmaakprofiel6 2 18 11 4" xfId="28768"/>
    <cellStyle name="Table  - Opmaakprofiel6 2 18 11 5" xfId="44775"/>
    <cellStyle name="Table  - Opmaakprofiel6 2 18 11 6" xfId="49775"/>
    <cellStyle name="Table  - Opmaakprofiel6 2 18 12" xfId="5894"/>
    <cellStyle name="Table  - Opmaakprofiel6 2 18 12 2" xfId="16717"/>
    <cellStyle name="Table  - Opmaakprofiel6 2 18 12 3" xfId="28769"/>
    <cellStyle name="Table  - Opmaakprofiel6 2 18 12 4" xfId="38683"/>
    <cellStyle name="Table  - Opmaakprofiel6 2 18 12 5" xfId="49776"/>
    <cellStyle name="Table  - Opmaakprofiel6 2 18 13" xfId="7443"/>
    <cellStyle name="Table  - Opmaakprofiel6 2 18 13 2" xfId="19741"/>
    <cellStyle name="Table  - Opmaakprofiel6 2 18 13 3" xfId="41544"/>
    <cellStyle name="Table  - Opmaakprofiel6 2 18 13 4" xfId="15553"/>
    <cellStyle name="Table  - Opmaakprofiel6 2 18 13 5" xfId="52413"/>
    <cellStyle name="Table  - Opmaakprofiel6 2 18 14" xfId="16714"/>
    <cellStyle name="Table  - Opmaakprofiel6 2 18 2" xfId="966"/>
    <cellStyle name="Table  - Opmaakprofiel6 2 18 2 2" xfId="1714"/>
    <cellStyle name="Table  - Opmaakprofiel6 2 18 2 2 2" xfId="10658"/>
    <cellStyle name="Table  - Opmaakprofiel6 2 18 2 2 2 2" xfId="22956"/>
    <cellStyle name="Table  - Opmaakprofiel6 2 18 2 2 2 3" xfId="35008"/>
    <cellStyle name="Table  - Opmaakprofiel6 2 18 2 2 2 4" xfId="42183"/>
    <cellStyle name="Table  - Opmaakprofiel6 2 18 2 2 2 5" xfId="55623"/>
    <cellStyle name="Table  - Opmaakprofiel6 2 18 2 2 3" xfId="16719"/>
    <cellStyle name="Table  - Opmaakprofiel6 2 18 2 2 4" xfId="28771"/>
    <cellStyle name="Table  - Opmaakprofiel6 2 18 2 2 5" xfId="38682"/>
    <cellStyle name="Table  - Opmaakprofiel6 2 18 2 2 6" xfId="49777"/>
    <cellStyle name="Table  - Opmaakprofiel6 2 18 2 3" xfId="2977"/>
    <cellStyle name="Table  - Opmaakprofiel6 2 18 2 3 2" xfId="10659"/>
    <cellStyle name="Table  - Opmaakprofiel6 2 18 2 3 2 2" xfId="22957"/>
    <cellStyle name="Table  - Opmaakprofiel6 2 18 2 3 2 3" xfId="35009"/>
    <cellStyle name="Table  - Opmaakprofiel6 2 18 2 3 2 4" xfId="31352"/>
    <cellStyle name="Table  - Opmaakprofiel6 2 18 2 3 2 5" xfId="55624"/>
    <cellStyle name="Table  - Opmaakprofiel6 2 18 2 3 3" xfId="16720"/>
    <cellStyle name="Table  - Opmaakprofiel6 2 18 2 3 4" xfId="28772"/>
    <cellStyle name="Table  - Opmaakprofiel6 2 18 2 3 5" xfId="44773"/>
    <cellStyle name="Table  - Opmaakprofiel6 2 18 2 3 6" xfId="49778"/>
    <cellStyle name="Table  - Opmaakprofiel6 2 18 2 4" xfId="3823"/>
    <cellStyle name="Table  - Opmaakprofiel6 2 18 2 4 2" xfId="10660"/>
    <cellStyle name="Table  - Opmaakprofiel6 2 18 2 4 2 2" xfId="22958"/>
    <cellStyle name="Table  - Opmaakprofiel6 2 18 2 4 2 3" xfId="35010"/>
    <cellStyle name="Table  - Opmaakprofiel6 2 18 2 4 2 4" xfId="42182"/>
    <cellStyle name="Table  - Opmaakprofiel6 2 18 2 4 2 5" xfId="55625"/>
    <cellStyle name="Table  - Opmaakprofiel6 2 18 2 4 3" xfId="16721"/>
    <cellStyle name="Table  - Opmaakprofiel6 2 18 2 4 4" xfId="28773"/>
    <cellStyle name="Table  - Opmaakprofiel6 2 18 2 4 5" xfId="38681"/>
    <cellStyle name="Table  - Opmaakprofiel6 2 18 2 4 6" xfId="49779"/>
    <cellStyle name="Table  - Opmaakprofiel6 2 18 2 5" xfId="5895"/>
    <cellStyle name="Table  - Opmaakprofiel6 2 18 2 5 2" xfId="10661"/>
    <cellStyle name="Table  - Opmaakprofiel6 2 18 2 5 2 2" xfId="22959"/>
    <cellStyle name="Table  - Opmaakprofiel6 2 18 2 5 2 3" xfId="35011"/>
    <cellStyle name="Table  - Opmaakprofiel6 2 18 2 5 2 4" xfId="29760"/>
    <cellStyle name="Table  - Opmaakprofiel6 2 18 2 5 2 5" xfId="55626"/>
    <cellStyle name="Table  - Opmaakprofiel6 2 18 2 5 3" xfId="16722"/>
    <cellStyle name="Table  - Opmaakprofiel6 2 18 2 5 4" xfId="28774"/>
    <cellStyle name="Table  - Opmaakprofiel6 2 18 2 5 5" xfId="44772"/>
    <cellStyle name="Table  - Opmaakprofiel6 2 18 2 5 6" xfId="49780"/>
    <cellStyle name="Table  - Opmaakprofiel6 2 18 2 6" xfId="5896"/>
    <cellStyle name="Table  - Opmaakprofiel6 2 18 2 6 2" xfId="10662"/>
    <cellStyle name="Table  - Opmaakprofiel6 2 18 2 6 2 2" xfId="22960"/>
    <cellStyle name="Table  - Opmaakprofiel6 2 18 2 6 2 3" xfId="35012"/>
    <cellStyle name="Table  - Opmaakprofiel6 2 18 2 6 2 4" xfId="42181"/>
    <cellStyle name="Table  - Opmaakprofiel6 2 18 2 6 2 5" xfId="55627"/>
    <cellStyle name="Table  - Opmaakprofiel6 2 18 2 6 3" xfId="16723"/>
    <cellStyle name="Table  - Opmaakprofiel6 2 18 2 6 4" xfId="28775"/>
    <cellStyle name="Table  - Opmaakprofiel6 2 18 2 6 5" xfId="38680"/>
    <cellStyle name="Table  - Opmaakprofiel6 2 18 2 6 6" xfId="49781"/>
    <cellStyle name="Table  - Opmaakprofiel6 2 18 2 7" xfId="5897"/>
    <cellStyle name="Table  - Opmaakprofiel6 2 18 2 7 2" xfId="16724"/>
    <cellStyle name="Table  - Opmaakprofiel6 2 18 2 7 3" xfId="28776"/>
    <cellStyle name="Table  - Opmaakprofiel6 2 18 2 7 4" xfId="38679"/>
    <cellStyle name="Table  - Opmaakprofiel6 2 18 2 7 5" xfId="49782"/>
    <cellStyle name="Table  - Opmaakprofiel6 2 18 2 8" xfId="7335"/>
    <cellStyle name="Table  - Opmaakprofiel6 2 18 2 8 2" xfId="19633"/>
    <cellStyle name="Table  - Opmaakprofiel6 2 18 2 8 3" xfId="41436"/>
    <cellStyle name="Table  - Opmaakprofiel6 2 18 2 8 4" xfId="36839"/>
    <cellStyle name="Table  - Opmaakprofiel6 2 18 2 8 5" xfId="52305"/>
    <cellStyle name="Table  - Opmaakprofiel6 2 18 2 9" xfId="16718"/>
    <cellStyle name="Table  - Opmaakprofiel6 2 18 3" xfId="1061"/>
    <cellStyle name="Table  - Opmaakprofiel6 2 18 3 2" xfId="2317"/>
    <cellStyle name="Table  - Opmaakprofiel6 2 18 3 2 2" xfId="10663"/>
    <cellStyle name="Table  - Opmaakprofiel6 2 18 3 2 2 2" xfId="22961"/>
    <cellStyle name="Table  - Opmaakprofiel6 2 18 3 2 2 3" xfId="35013"/>
    <cellStyle name="Table  - Opmaakprofiel6 2 18 3 2 2 4" xfId="32077"/>
    <cellStyle name="Table  - Opmaakprofiel6 2 18 3 2 2 5" xfId="55628"/>
    <cellStyle name="Table  - Opmaakprofiel6 2 18 3 2 3" xfId="16726"/>
    <cellStyle name="Table  - Opmaakprofiel6 2 18 3 2 4" xfId="28778"/>
    <cellStyle name="Table  - Opmaakprofiel6 2 18 3 2 5" xfId="44771"/>
    <cellStyle name="Table  - Opmaakprofiel6 2 18 3 2 6" xfId="49783"/>
    <cellStyle name="Table  - Opmaakprofiel6 2 18 3 3" xfId="3072"/>
    <cellStyle name="Table  - Opmaakprofiel6 2 18 3 3 2" xfId="10664"/>
    <cellStyle name="Table  - Opmaakprofiel6 2 18 3 3 2 2" xfId="22962"/>
    <cellStyle name="Table  - Opmaakprofiel6 2 18 3 3 2 3" xfId="35014"/>
    <cellStyle name="Table  - Opmaakprofiel6 2 18 3 3 2 4" xfId="42180"/>
    <cellStyle name="Table  - Opmaakprofiel6 2 18 3 3 2 5" xfId="55629"/>
    <cellStyle name="Table  - Opmaakprofiel6 2 18 3 3 3" xfId="16727"/>
    <cellStyle name="Table  - Opmaakprofiel6 2 18 3 3 4" xfId="28779"/>
    <cellStyle name="Table  - Opmaakprofiel6 2 18 3 3 5" xfId="38677"/>
    <cellStyle name="Table  - Opmaakprofiel6 2 18 3 3 6" xfId="49784"/>
    <cellStyle name="Table  - Opmaakprofiel6 2 18 3 4" xfId="3911"/>
    <cellStyle name="Table  - Opmaakprofiel6 2 18 3 4 2" xfId="10665"/>
    <cellStyle name="Table  - Opmaakprofiel6 2 18 3 4 2 2" xfId="22963"/>
    <cellStyle name="Table  - Opmaakprofiel6 2 18 3 4 2 3" xfId="35015"/>
    <cellStyle name="Table  - Opmaakprofiel6 2 18 3 4 2 4" xfId="29767"/>
    <cellStyle name="Table  - Opmaakprofiel6 2 18 3 4 2 5" xfId="55630"/>
    <cellStyle name="Table  - Opmaakprofiel6 2 18 3 4 3" xfId="16728"/>
    <cellStyle name="Table  - Opmaakprofiel6 2 18 3 4 4" xfId="28780"/>
    <cellStyle name="Table  - Opmaakprofiel6 2 18 3 4 5" xfId="44770"/>
    <cellStyle name="Table  - Opmaakprofiel6 2 18 3 4 6" xfId="49785"/>
    <cellStyle name="Table  - Opmaakprofiel6 2 18 3 5" xfId="5898"/>
    <cellStyle name="Table  - Opmaakprofiel6 2 18 3 5 2" xfId="10666"/>
    <cellStyle name="Table  - Opmaakprofiel6 2 18 3 5 2 2" xfId="22964"/>
    <cellStyle name="Table  - Opmaakprofiel6 2 18 3 5 2 3" xfId="35016"/>
    <cellStyle name="Table  - Opmaakprofiel6 2 18 3 5 2 4" xfId="34566"/>
    <cellStyle name="Table  - Opmaakprofiel6 2 18 3 5 2 5" xfId="55631"/>
    <cellStyle name="Table  - Opmaakprofiel6 2 18 3 5 3" xfId="16729"/>
    <cellStyle name="Table  - Opmaakprofiel6 2 18 3 5 4" xfId="28781"/>
    <cellStyle name="Table  - Opmaakprofiel6 2 18 3 5 5" xfId="38676"/>
    <cellStyle name="Table  - Opmaakprofiel6 2 18 3 5 6" xfId="49786"/>
    <cellStyle name="Table  - Opmaakprofiel6 2 18 3 6" xfId="5899"/>
    <cellStyle name="Table  - Opmaakprofiel6 2 18 3 6 2" xfId="10667"/>
    <cellStyle name="Table  - Opmaakprofiel6 2 18 3 6 2 2" xfId="22965"/>
    <cellStyle name="Table  - Opmaakprofiel6 2 18 3 6 2 3" xfId="35017"/>
    <cellStyle name="Table  - Opmaakprofiel6 2 18 3 6 2 4" xfId="29774"/>
    <cellStyle name="Table  - Opmaakprofiel6 2 18 3 6 2 5" xfId="55632"/>
    <cellStyle name="Table  - Opmaakprofiel6 2 18 3 6 3" xfId="16730"/>
    <cellStyle name="Table  - Opmaakprofiel6 2 18 3 6 4" xfId="28782"/>
    <cellStyle name="Table  - Opmaakprofiel6 2 18 3 6 5" xfId="44769"/>
    <cellStyle name="Table  - Opmaakprofiel6 2 18 3 6 6" xfId="49787"/>
    <cellStyle name="Table  - Opmaakprofiel6 2 18 3 7" xfId="5900"/>
    <cellStyle name="Table  - Opmaakprofiel6 2 18 3 7 2" xfId="16731"/>
    <cellStyle name="Table  - Opmaakprofiel6 2 18 3 7 3" xfId="28783"/>
    <cellStyle name="Table  - Opmaakprofiel6 2 18 3 7 4" xfId="38675"/>
    <cellStyle name="Table  - Opmaakprofiel6 2 18 3 7 5" xfId="49788"/>
    <cellStyle name="Table  - Opmaakprofiel6 2 18 3 8" xfId="7268"/>
    <cellStyle name="Table  - Opmaakprofiel6 2 18 3 8 2" xfId="19566"/>
    <cellStyle name="Table  - Opmaakprofiel6 2 18 3 8 3" xfId="41369"/>
    <cellStyle name="Table  - Opmaakprofiel6 2 18 3 8 4" xfId="43580"/>
    <cellStyle name="Table  - Opmaakprofiel6 2 18 3 8 5" xfId="52238"/>
    <cellStyle name="Table  - Opmaakprofiel6 2 18 3 9" xfId="16725"/>
    <cellStyle name="Table  - Opmaakprofiel6 2 18 4" xfId="1084"/>
    <cellStyle name="Table  - Opmaakprofiel6 2 18 4 2" xfId="1558"/>
    <cellStyle name="Table  - Opmaakprofiel6 2 18 4 2 2" xfId="10668"/>
    <cellStyle name="Table  - Opmaakprofiel6 2 18 4 2 2 2" xfId="22966"/>
    <cellStyle name="Table  - Opmaakprofiel6 2 18 4 2 2 3" xfId="35018"/>
    <cellStyle name="Table  - Opmaakprofiel6 2 18 4 2 2 4" xfId="42179"/>
    <cellStyle name="Table  - Opmaakprofiel6 2 18 4 2 2 5" xfId="55633"/>
    <cellStyle name="Table  - Opmaakprofiel6 2 18 4 2 3" xfId="16733"/>
    <cellStyle name="Table  - Opmaakprofiel6 2 18 4 2 4" xfId="28785"/>
    <cellStyle name="Table  - Opmaakprofiel6 2 18 4 2 5" xfId="44768"/>
    <cellStyle name="Table  - Opmaakprofiel6 2 18 4 2 6" xfId="49789"/>
    <cellStyle name="Table  - Opmaakprofiel6 2 18 4 3" xfId="3095"/>
    <cellStyle name="Table  - Opmaakprofiel6 2 18 4 3 2" xfId="10669"/>
    <cellStyle name="Table  - Opmaakprofiel6 2 18 4 3 2 2" xfId="22967"/>
    <cellStyle name="Table  - Opmaakprofiel6 2 18 4 3 2 3" xfId="35019"/>
    <cellStyle name="Table  - Opmaakprofiel6 2 18 4 3 2 4" xfId="34467"/>
    <cellStyle name="Table  - Opmaakprofiel6 2 18 4 3 2 5" xfId="55634"/>
    <cellStyle name="Table  - Opmaakprofiel6 2 18 4 3 3" xfId="16734"/>
    <cellStyle name="Table  - Opmaakprofiel6 2 18 4 3 4" xfId="28786"/>
    <cellStyle name="Table  - Opmaakprofiel6 2 18 4 3 5" xfId="38673"/>
    <cellStyle name="Table  - Opmaakprofiel6 2 18 4 3 6" xfId="49790"/>
    <cellStyle name="Table  - Opmaakprofiel6 2 18 4 4" xfId="3932"/>
    <cellStyle name="Table  - Opmaakprofiel6 2 18 4 4 2" xfId="10670"/>
    <cellStyle name="Table  - Opmaakprofiel6 2 18 4 4 2 2" xfId="22968"/>
    <cellStyle name="Table  - Opmaakprofiel6 2 18 4 4 2 3" xfId="35020"/>
    <cellStyle name="Table  - Opmaakprofiel6 2 18 4 4 2 4" xfId="42178"/>
    <cellStyle name="Table  - Opmaakprofiel6 2 18 4 4 2 5" xfId="55635"/>
    <cellStyle name="Table  - Opmaakprofiel6 2 18 4 4 3" xfId="16735"/>
    <cellStyle name="Table  - Opmaakprofiel6 2 18 4 4 4" xfId="28787"/>
    <cellStyle name="Table  - Opmaakprofiel6 2 18 4 4 5" xfId="44767"/>
    <cellStyle name="Table  - Opmaakprofiel6 2 18 4 4 6" xfId="49791"/>
    <cellStyle name="Table  - Opmaakprofiel6 2 18 4 5" xfId="5901"/>
    <cellStyle name="Table  - Opmaakprofiel6 2 18 4 5 2" xfId="10671"/>
    <cellStyle name="Table  - Opmaakprofiel6 2 18 4 5 2 2" xfId="22969"/>
    <cellStyle name="Table  - Opmaakprofiel6 2 18 4 5 2 3" xfId="35021"/>
    <cellStyle name="Table  - Opmaakprofiel6 2 18 4 5 2 4" xfId="29781"/>
    <cellStyle name="Table  - Opmaakprofiel6 2 18 4 5 2 5" xfId="55636"/>
    <cellStyle name="Table  - Opmaakprofiel6 2 18 4 5 3" xfId="16736"/>
    <cellStyle name="Table  - Opmaakprofiel6 2 18 4 5 4" xfId="28788"/>
    <cellStyle name="Table  - Opmaakprofiel6 2 18 4 5 5" xfId="38672"/>
    <cellStyle name="Table  - Opmaakprofiel6 2 18 4 5 6" xfId="49792"/>
    <cellStyle name="Table  - Opmaakprofiel6 2 18 4 6" xfId="5902"/>
    <cellStyle name="Table  - Opmaakprofiel6 2 18 4 6 2" xfId="10672"/>
    <cellStyle name="Table  - Opmaakprofiel6 2 18 4 6 2 2" xfId="22970"/>
    <cellStyle name="Table  - Opmaakprofiel6 2 18 4 6 2 3" xfId="35022"/>
    <cellStyle name="Table  - Opmaakprofiel6 2 18 4 6 2 4" xfId="42177"/>
    <cellStyle name="Table  - Opmaakprofiel6 2 18 4 6 2 5" xfId="55637"/>
    <cellStyle name="Table  - Opmaakprofiel6 2 18 4 6 3" xfId="16737"/>
    <cellStyle name="Table  - Opmaakprofiel6 2 18 4 6 4" xfId="28789"/>
    <cellStyle name="Table  - Opmaakprofiel6 2 18 4 6 5" xfId="44766"/>
    <cellStyle name="Table  - Opmaakprofiel6 2 18 4 6 6" xfId="49793"/>
    <cellStyle name="Table  - Opmaakprofiel6 2 18 4 7" xfId="5903"/>
    <cellStyle name="Table  - Opmaakprofiel6 2 18 4 7 2" xfId="16738"/>
    <cellStyle name="Table  - Opmaakprofiel6 2 18 4 7 3" xfId="28790"/>
    <cellStyle name="Table  - Opmaakprofiel6 2 18 4 7 4" xfId="38671"/>
    <cellStyle name="Table  - Opmaakprofiel6 2 18 4 7 5" xfId="49794"/>
    <cellStyle name="Table  - Opmaakprofiel6 2 18 4 8" xfId="7254"/>
    <cellStyle name="Table  - Opmaakprofiel6 2 18 4 8 2" xfId="19552"/>
    <cellStyle name="Table  - Opmaakprofiel6 2 18 4 8 3" xfId="41355"/>
    <cellStyle name="Table  - Opmaakprofiel6 2 18 4 8 4" xfId="43586"/>
    <cellStyle name="Table  - Opmaakprofiel6 2 18 4 8 5" xfId="52224"/>
    <cellStyle name="Table  - Opmaakprofiel6 2 18 4 9" xfId="16732"/>
    <cellStyle name="Table  - Opmaakprofiel6 2 18 5" xfId="1231"/>
    <cellStyle name="Table  - Opmaakprofiel6 2 18 5 2" xfId="1887"/>
    <cellStyle name="Table  - Opmaakprofiel6 2 18 5 2 2" xfId="10673"/>
    <cellStyle name="Table  - Opmaakprofiel6 2 18 5 2 2 2" xfId="22971"/>
    <cellStyle name="Table  - Opmaakprofiel6 2 18 5 2 2 3" xfId="35023"/>
    <cellStyle name="Table  - Opmaakprofiel6 2 18 5 2 2 4" xfId="34681"/>
    <cellStyle name="Table  - Opmaakprofiel6 2 18 5 2 2 5" xfId="55638"/>
    <cellStyle name="Table  - Opmaakprofiel6 2 18 5 2 3" xfId="16740"/>
    <cellStyle name="Table  - Opmaakprofiel6 2 18 5 2 4" xfId="28792"/>
    <cellStyle name="Table  - Opmaakprofiel6 2 18 5 2 5" xfId="38670"/>
    <cellStyle name="Table  - Opmaakprofiel6 2 18 5 2 6" xfId="49795"/>
    <cellStyle name="Table  - Opmaakprofiel6 2 18 5 3" xfId="3242"/>
    <cellStyle name="Table  - Opmaakprofiel6 2 18 5 3 2" xfId="10674"/>
    <cellStyle name="Table  - Opmaakprofiel6 2 18 5 3 2 2" xfId="22972"/>
    <cellStyle name="Table  - Opmaakprofiel6 2 18 5 3 2 3" xfId="35024"/>
    <cellStyle name="Table  - Opmaakprofiel6 2 18 5 3 2 4" xfId="42176"/>
    <cellStyle name="Table  - Opmaakprofiel6 2 18 5 3 2 5" xfId="55639"/>
    <cellStyle name="Table  - Opmaakprofiel6 2 18 5 3 3" xfId="16741"/>
    <cellStyle name="Table  - Opmaakprofiel6 2 18 5 3 4" xfId="28793"/>
    <cellStyle name="Table  - Opmaakprofiel6 2 18 5 3 5" xfId="44764"/>
    <cellStyle name="Table  - Opmaakprofiel6 2 18 5 3 6" xfId="49796"/>
    <cellStyle name="Table  - Opmaakprofiel6 2 18 5 4" xfId="4056"/>
    <cellStyle name="Table  - Opmaakprofiel6 2 18 5 4 2" xfId="10675"/>
    <cellStyle name="Table  - Opmaakprofiel6 2 18 5 4 2 2" xfId="22973"/>
    <cellStyle name="Table  - Opmaakprofiel6 2 18 5 4 2 3" xfId="35025"/>
    <cellStyle name="Table  - Opmaakprofiel6 2 18 5 4 2 4" xfId="29788"/>
    <cellStyle name="Table  - Opmaakprofiel6 2 18 5 4 2 5" xfId="55640"/>
    <cellStyle name="Table  - Opmaakprofiel6 2 18 5 4 3" xfId="16742"/>
    <cellStyle name="Table  - Opmaakprofiel6 2 18 5 4 4" xfId="28794"/>
    <cellStyle name="Table  - Opmaakprofiel6 2 18 5 4 5" xfId="38669"/>
    <cellStyle name="Table  - Opmaakprofiel6 2 18 5 4 6" xfId="49797"/>
    <cellStyle name="Table  - Opmaakprofiel6 2 18 5 5" xfId="5904"/>
    <cellStyle name="Table  - Opmaakprofiel6 2 18 5 5 2" xfId="10676"/>
    <cellStyle name="Table  - Opmaakprofiel6 2 18 5 5 2 2" xfId="22974"/>
    <cellStyle name="Table  - Opmaakprofiel6 2 18 5 5 2 3" xfId="35026"/>
    <cellStyle name="Table  - Opmaakprofiel6 2 18 5 5 2 4" xfId="42175"/>
    <cellStyle name="Table  - Opmaakprofiel6 2 18 5 5 2 5" xfId="55641"/>
    <cellStyle name="Table  - Opmaakprofiel6 2 18 5 5 3" xfId="16743"/>
    <cellStyle name="Table  - Opmaakprofiel6 2 18 5 5 4" xfId="28795"/>
    <cellStyle name="Table  - Opmaakprofiel6 2 18 5 5 5" xfId="38668"/>
    <cellStyle name="Table  - Opmaakprofiel6 2 18 5 5 6" xfId="49798"/>
    <cellStyle name="Table  - Opmaakprofiel6 2 18 5 6" xfId="5905"/>
    <cellStyle name="Table  - Opmaakprofiel6 2 18 5 6 2" xfId="10677"/>
    <cellStyle name="Table  - Opmaakprofiel6 2 18 5 6 2 2" xfId="22975"/>
    <cellStyle name="Table  - Opmaakprofiel6 2 18 5 6 2 3" xfId="35027"/>
    <cellStyle name="Table  - Opmaakprofiel6 2 18 5 6 2 4" xfId="31558"/>
    <cellStyle name="Table  - Opmaakprofiel6 2 18 5 6 2 5" xfId="55642"/>
    <cellStyle name="Table  - Opmaakprofiel6 2 18 5 6 3" xfId="16744"/>
    <cellStyle name="Table  - Opmaakprofiel6 2 18 5 6 4" xfId="28796"/>
    <cellStyle name="Table  - Opmaakprofiel6 2 18 5 6 5" xfId="38667"/>
    <cellStyle name="Table  - Opmaakprofiel6 2 18 5 6 6" xfId="49799"/>
    <cellStyle name="Table  - Opmaakprofiel6 2 18 5 7" xfId="5906"/>
    <cellStyle name="Table  - Opmaakprofiel6 2 18 5 7 2" xfId="16745"/>
    <cellStyle name="Table  - Opmaakprofiel6 2 18 5 7 3" xfId="28797"/>
    <cellStyle name="Table  - Opmaakprofiel6 2 18 5 7 4" xfId="44763"/>
    <cellStyle name="Table  - Opmaakprofiel6 2 18 5 7 5" xfId="49800"/>
    <cellStyle name="Table  - Opmaakprofiel6 2 18 5 8" xfId="7143"/>
    <cellStyle name="Table  - Opmaakprofiel6 2 18 5 8 2" xfId="19441"/>
    <cellStyle name="Table  - Opmaakprofiel6 2 18 5 8 3" xfId="41244"/>
    <cellStyle name="Table  - Opmaakprofiel6 2 18 5 8 4" xfId="36951"/>
    <cellStyle name="Table  - Opmaakprofiel6 2 18 5 8 5" xfId="52113"/>
    <cellStyle name="Table  - Opmaakprofiel6 2 18 5 9" xfId="16739"/>
    <cellStyle name="Table  - Opmaakprofiel6 2 18 6" xfId="1106"/>
    <cellStyle name="Table  - Opmaakprofiel6 2 18 6 2" xfId="1543"/>
    <cellStyle name="Table  - Opmaakprofiel6 2 18 6 2 2" xfId="10678"/>
    <cellStyle name="Table  - Opmaakprofiel6 2 18 6 2 2 2" xfId="22976"/>
    <cellStyle name="Table  - Opmaakprofiel6 2 18 6 2 2 3" xfId="35028"/>
    <cellStyle name="Table  - Opmaakprofiel6 2 18 6 2 2 4" xfId="29795"/>
    <cellStyle name="Table  - Opmaakprofiel6 2 18 6 2 2 5" xfId="55643"/>
    <cellStyle name="Table  - Opmaakprofiel6 2 18 6 2 3" xfId="16747"/>
    <cellStyle name="Table  - Opmaakprofiel6 2 18 6 2 4" xfId="28799"/>
    <cellStyle name="Table  - Opmaakprofiel6 2 18 6 2 5" xfId="44762"/>
    <cellStyle name="Table  - Opmaakprofiel6 2 18 6 2 6" xfId="49801"/>
    <cellStyle name="Table  - Opmaakprofiel6 2 18 6 3" xfId="3117"/>
    <cellStyle name="Table  - Opmaakprofiel6 2 18 6 3 2" xfId="10679"/>
    <cellStyle name="Table  - Opmaakprofiel6 2 18 6 3 2 2" xfId="22977"/>
    <cellStyle name="Table  - Opmaakprofiel6 2 18 6 3 2 3" xfId="35029"/>
    <cellStyle name="Table  - Opmaakprofiel6 2 18 6 3 2 4" xfId="34653"/>
    <cellStyle name="Table  - Opmaakprofiel6 2 18 6 3 2 5" xfId="55644"/>
    <cellStyle name="Table  - Opmaakprofiel6 2 18 6 3 3" xfId="16748"/>
    <cellStyle name="Table  - Opmaakprofiel6 2 18 6 3 4" xfId="28800"/>
    <cellStyle name="Table  - Opmaakprofiel6 2 18 6 3 5" xfId="38665"/>
    <cellStyle name="Table  - Opmaakprofiel6 2 18 6 3 6" xfId="49802"/>
    <cellStyle name="Table  - Opmaakprofiel6 2 18 6 4" xfId="3952"/>
    <cellStyle name="Table  - Opmaakprofiel6 2 18 6 4 2" xfId="10680"/>
    <cellStyle name="Table  - Opmaakprofiel6 2 18 6 4 2 2" xfId="22978"/>
    <cellStyle name="Table  - Opmaakprofiel6 2 18 6 4 2 3" xfId="35030"/>
    <cellStyle name="Table  - Opmaakprofiel6 2 18 6 4 2 4" xfId="42174"/>
    <cellStyle name="Table  - Opmaakprofiel6 2 18 6 4 2 5" xfId="55645"/>
    <cellStyle name="Table  - Opmaakprofiel6 2 18 6 4 3" xfId="16749"/>
    <cellStyle name="Table  - Opmaakprofiel6 2 18 6 4 4" xfId="28801"/>
    <cellStyle name="Table  - Opmaakprofiel6 2 18 6 4 5" xfId="44761"/>
    <cellStyle name="Table  - Opmaakprofiel6 2 18 6 4 6" xfId="49803"/>
    <cellStyle name="Table  - Opmaakprofiel6 2 18 6 5" xfId="5907"/>
    <cellStyle name="Table  - Opmaakprofiel6 2 18 6 5 2" xfId="10681"/>
    <cellStyle name="Table  - Opmaakprofiel6 2 18 6 5 2 2" xfId="22979"/>
    <cellStyle name="Table  - Opmaakprofiel6 2 18 6 5 2 3" xfId="35031"/>
    <cellStyle name="Table  - Opmaakprofiel6 2 18 6 5 2 4" xfId="29802"/>
    <cellStyle name="Table  - Opmaakprofiel6 2 18 6 5 2 5" xfId="55646"/>
    <cellStyle name="Table  - Opmaakprofiel6 2 18 6 5 3" xfId="16750"/>
    <cellStyle name="Table  - Opmaakprofiel6 2 18 6 5 4" xfId="28802"/>
    <cellStyle name="Table  - Opmaakprofiel6 2 18 6 5 5" xfId="38664"/>
    <cellStyle name="Table  - Opmaakprofiel6 2 18 6 5 6" xfId="49804"/>
    <cellStyle name="Table  - Opmaakprofiel6 2 18 6 6" xfId="5908"/>
    <cellStyle name="Table  - Opmaakprofiel6 2 18 6 6 2" xfId="10682"/>
    <cellStyle name="Table  - Opmaakprofiel6 2 18 6 6 2 2" xfId="22980"/>
    <cellStyle name="Table  - Opmaakprofiel6 2 18 6 6 2 3" xfId="35032"/>
    <cellStyle name="Table  - Opmaakprofiel6 2 18 6 6 2 4" xfId="42173"/>
    <cellStyle name="Table  - Opmaakprofiel6 2 18 6 6 2 5" xfId="55647"/>
    <cellStyle name="Table  - Opmaakprofiel6 2 18 6 6 3" xfId="16751"/>
    <cellStyle name="Table  - Opmaakprofiel6 2 18 6 6 4" xfId="28803"/>
    <cellStyle name="Table  - Opmaakprofiel6 2 18 6 6 5" xfId="44760"/>
    <cellStyle name="Table  - Opmaakprofiel6 2 18 6 6 6" xfId="49805"/>
    <cellStyle name="Table  - Opmaakprofiel6 2 18 6 7" xfId="5909"/>
    <cellStyle name="Table  - Opmaakprofiel6 2 18 6 7 2" xfId="16752"/>
    <cellStyle name="Table  - Opmaakprofiel6 2 18 6 7 3" xfId="28804"/>
    <cellStyle name="Table  - Opmaakprofiel6 2 18 6 7 4" xfId="38663"/>
    <cellStyle name="Table  - Opmaakprofiel6 2 18 6 7 5" xfId="49806"/>
    <cellStyle name="Table  - Opmaakprofiel6 2 18 6 8" xfId="9929"/>
    <cellStyle name="Table  - Opmaakprofiel6 2 18 6 8 2" xfId="22227"/>
    <cellStyle name="Table  - Opmaakprofiel6 2 18 6 8 3" xfId="43993"/>
    <cellStyle name="Table  - Opmaakprofiel6 2 18 6 8 4" xfId="28361"/>
    <cellStyle name="Table  - Opmaakprofiel6 2 18 6 8 5" xfId="54894"/>
    <cellStyle name="Table  - Opmaakprofiel6 2 18 6 9" xfId="16746"/>
    <cellStyle name="Table  - Opmaakprofiel6 2 18 7" xfId="1645"/>
    <cellStyle name="Table  - Opmaakprofiel6 2 18 7 2" xfId="10683"/>
    <cellStyle name="Table  - Opmaakprofiel6 2 18 7 2 2" xfId="22981"/>
    <cellStyle name="Table  - Opmaakprofiel6 2 18 7 2 3" xfId="35033"/>
    <cellStyle name="Table  - Opmaakprofiel6 2 18 7 2 4" xfId="31507"/>
    <cellStyle name="Table  - Opmaakprofiel6 2 18 7 2 5" xfId="55648"/>
    <cellStyle name="Table  - Opmaakprofiel6 2 18 7 3" xfId="16753"/>
    <cellStyle name="Table  - Opmaakprofiel6 2 18 7 4" xfId="28805"/>
    <cellStyle name="Table  - Opmaakprofiel6 2 18 7 5" xfId="44759"/>
    <cellStyle name="Table  - Opmaakprofiel6 2 18 7 6" xfId="49807"/>
    <cellStyle name="Table  - Opmaakprofiel6 2 18 8" xfId="2825"/>
    <cellStyle name="Table  - Opmaakprofiel6 2 18 8 2" xfId="10684"/>
    <cellStyle name="Table  - Opmaakprofiel6 2 18 8 2 2" xfId="22982"/>
    <cellStyle name="Table  - Opmaakprofiel6 2 18 8 2 3" xfId="35034"/>
    <cellStyle name="Table  - Opmaakprofiel6 2 18 8 2 4" xfId="42172"/>
    <cellStyle name="Table  - Opmaakprofiel6 2 18 8 2 5" xfId="55649"/>
    <cellStyle name="Table  - Opmaakprofiel6 2 18 8 3" xfId="16754"/>
    <cellStyle name="Table  - Opmaakprofiel6 2 18 8 4" xfId="28806"/>
    <cellStyle name="Table  - Opmaakprofiel6 2 18 8 5" xfId="38662"/>
    <cellStyle name="Table  - Opmaakprofiel6 2 18 8 6" xfId="49808"/>
    <cellStyle name="Table  - Opmaakprofiel6 2 18 9" xfId="3683"/>
    <cellStyle name="Table  - Opmaakprofiel6 2 18 9 2" xfId="10685"/>
    <cellStyle name="Table  - Opmaakprofiel6 2 18 9 2 2" xfId="22983"/>
    <cellStyle name="Table  - Opmaakprofiel6 2 18 9 2 3" xfId="35035"/>
    <cellStyle name="Table  - Opmaakprofiel6 2 18 9 2 4" xfId="29809"/>
    <cellStyle name="Table  - Opmaakprofiel6 2 18 9 2 5" xfId="55650"/>
    <cellStyle name="Table  - Opmaakprofiel6 2 18 9 3" xfId="16755"/>
    <cellStyle name="Table  - Opmaakprofiel6 2 18 9 4" xfId="28807"/>
    <cellStyle name="Table  - Opmaakprofiel6 2 18 9 5" xfId="38661"/>
    <cellStyle name="Table  - Opmaakprofiel6 2 18 9 6" xfId="49809"/>
    <cellStyle name="Table  - Opmaakprofiel6 2 19" xfId="813"/>
    <cellStyle name="Table  - Opmaakprofiel6 2 19 10" xfId="5910"/>
    <cellStyle name="Table  - Opmaakprofiel6 2 19 10 2" xfId="10686"/>
    <cellStyle name="Table  - Opmaakprofiel6 2 19 10 2 2" xfId="22984"/>
    <cellStyle name="Table  - Opmaakprofiel6 2 19 10 2 3" xfId="35036"/>
    <cellStyle name="Table  - Opmaakprofiel6 2 19 10 2 4" xfId="42171"/>
    <cellStyle name="Table  - Opmaakprofiel6 2 19 10 2 5" xfId="55651"/>
    <cellStyle name="Table  - Opmaakprofiel6 2 19 10 3" xfId="16757"/>
    <cellStyle name="Table  - Opmaakprofiel6 2 19 10 4" xfId="28809"/>
    <cellStyle name="Table  - Opmaakprofiel6 2 19 10 5" xfId="44758"/>
    <cellStyle name="Table  - Opmaakprofiel6 2 19 10 6" xfId="49810"/>
    <cellStyle name="Table  - Opmaakprofiel6 2 19 11" xfId="5911"/>
    <cellStyle name="Table  - Opmaakprofiel6 2 19 11 2" xfId="10687"/>
    <cellStyle name="Table  - Opmaakprofiel6 2 19 11 2 2" xfId="22985"/>
    <cellStyle name="Table  - Opmaakprofiel6 2 19 11 2 3" xfId="35037"/>
    <cellStyle name="Table  - Opmaakprofiel6 2 19 11 2 4" xfId="31401"/>
    <cellStyle name="Table  - Opmaakprofiel6 2 19 11 2 5" xfId="55652"/>
    <cellStyle name="Table  - Opmaakprofiel6 2 19 11 3" xfId="16758"/>
    <cellStyle name="Table  - Opmaakprofiel6 2 19 11 4" xfId="28810"/>
    <cellStyle name="Table  - Opmaakprofiel6 2 19 11 5" xfId="38660"/>
    <cellStyle name="Table  - Opmaakprofiel6 2 19 11 6" xfId="49811"/>
    <cellStyle name="Table  - Opmaakprofiel6 2 19 12" xfId="5912"/>
    <cellStyle name="Table  - Opmaakprofiel6 2 19 12 2" xfId="16759"/>
    <cellStyle name="Table  - Opmaakprofiel6 2 19 12 3" xfId="28811"/>
    <cellStyle name="Table  - Opmaakprofiel6 2 19 12 4" xfId="44757"/>
    <cellStyle name="Table  - Opmaakprofiel6 2 19 12 5" xfId="49812"/>
    <cellStyle name="Table  - Opmaakprofiel6 2 19 13" xfId="7438"/>
    <cellStyle name="Table  - Opmaakprofiel6 2 19 13 2" xfId="19736"/>
    <cellStyle name="Table  - Opmaakprofiel6 2 19 13 3" xfId="41539"/>
    <cellStyle name="Table  - Opmaakprofiel6 2 19 13 4" xfId="15556"/>
    <cellStyle name="Table  - Opmaakprofiel6 2 19 13 5" xfId="52408"/>
    <cellStyle name="Table  - Opmaakprofiel6 2 19 14" xfId="16756"/>
    <cellStyle name="Table  - Opmaakprofiel6 2 19 2" xfId="972"/>
    <cellStyle name="Table  - Opmaakprofiel6 2 19 2 2" xfId="2093"/>
    <cellStyle name="Table  - Opmaakprofiel6 2 19 2 2 2" xfId="10688"/>
    <cellStyle name="Table  - Opmaakprofiel6 2 19 2 2 2 2" xfId="22986"/>
    <cellStyle name="Table  - Opmaakprofiel6 2 19 2 2 2 3" xfId="35038"/>
    <cellStyle name="Table  - Opmaakprofiel6 2 19 2 2 2 4" xfId="42170"/>
    <cellStyle name="Table  - Opmaakprofiel6 2 19 2 2 2 5" xfId="55653"/>
    <cellStyle name="Table  - Opmaakprofiel6 2 19 2 2 3" xfId="16761"/>
    <cellStyle name="Table  - Opmaakprofiel6 2 19 2 2 4" xfId="28813"/>
    <cellStyle name="Table  - Opmaakprofiel6 2 19 2 2 5" xfId="44756"/>
    <cellStyle name="Table  - Opmaakprofiel6 2 19 2 2 6" xfId="49813"/>
    <cellStyle name="Table  - Opmaakprofiel6 2 19 2 3" xfId="2983"/>
    <cellStyle name="Table  - Opmaakprofiel6 2 19 2 3 2" xfId="10689"/>
    <cellStyle name="Table  - Opmaakprofiel6 2 19 2 3 2 2" xfId="22987"/>
    <cellStyle name="Table  - Opmaakprofiel6 2 19 2 3 2 3" xfId="35039"/>
    <cellStyle name="Table  - Opmaakprofiel6 2 19 2 3 2 4" xfId="29816"/>
    <cellStyle name="Table  - Opmaakprofiel6 2 19 2 3 2 5" xfId="55654"/>
    <cellStyle name="Table  - Opmaakprofiel6 2 19 2 3 3" xfId="16762"/>
    <cellStyle name="Table  - Opmaakprofiel6 2 19 2 3 4" xfId="28814"/>
    <cellStyle name="Table  - Opmaakprofiel6 2 19 2 3 5" xfId="38658"/>
    <cellStyle name="Table  - Opmaakprofiel6 2 19 2 3 6" xfId="49814"/>
    <cellStyle name="Table  - Opmaakprofiel6 2 19 2 4" xfId="3829"/>
    <cellStyle name="Table  - Opmaakprofiel6 2 19 2 4 2" xfId="10690"/>
    <cellStyle name="Table  - Opmaakprofiel6 2 19 2 4 2 2" xfId="22988"/>
    <cellStyle name="Table  - Opmaakprofiel6 2 19 2 4 2 3" xfId="35040"/>
    <cellStyle name="Table  - Opmaakprofiel6 2 19 2 4 2 4" xfId="31353"/>
    <cellStyle name="Table  - Opmaakprofiel6 2 19 2 4 2 5" xfId="55655"/>
    <cellStyle name="Table  - Opmaakprofiel6 2 19 2 4 3" xfId="16763"/>
    <cellStyle name="Table  - Opmaakprofiel6 2 19 2 4 4" xfId="28815"/>
    <cellStyle name="Table  - Opmaakprofiel6 2 19 2 4 5" xfId="44755"/>
    <cellStyle name="Table  - Opmaakprofiel6 2 19 2 4 6" xfId="49815"/>
    <cellStyle name="Table  - Opmaakprofiel6 2 19 2 5" xfId="5913"/>
    <cellStyle name="Table  - Opmaakprofiel6 2 19 2 5 2" xfId="10691"/>
    <cellStyle name="Table  - Opmaakprofiel6 2 19 2 5 2 2" xfId="22989"/>
    <cellStyle name="Table  - Opmaakprofiel6 2 19 2 5 2 3" xfId="35041"/>
    <cellStyle name="Table  - Opmaakprofiel6 2 19 2 5 2 4" xfId="29823"/>
    <cellStyle name="Table  - Opmaakprofiel6 2 19 2 5 2 5" xfId="55656"/>
    <cellStyle name="Table  - Opmaakprofiel6 2 19 2 5 3" xfId="16764"/>
    <cellStyle name="Table  - Opmaakprofiel6 2 19 2 5 4" xfId="28816"/>
    <cellStyle name="Table  - Opmaakprofiel6 2 19 2 5 5" xfId="38657"/>
    <cellStyle name="Table  - Opmaakprofiel6 2 19 2 5 6" xfId="49816"/>
    <cellStyle name="Table  - Opmaakprofiel6 2 19 2 6" xfId="5914"/>
    <cellStyle name="Table  - Opmaakprofiel6 2 19 2 6 2" xfId="10692"/>
    <cellStyle name="Table  - Opmaakprofiel6 2 19 2 6 2 2" xfId="22990"/>
    <cellStyle name="Table  - Opmaakprofiel6 2 19 2 6 2 3" xfId="35042"/>
    <cellStyle name="Table  - Opmaakprofiel6 2 19 2 6 2 4" xfId="42169"/>
    <cellStyle name="Table  - Opmaakprofiel6 2 19 2 6 2 5" xfId="55657"/>
    <cellStyle name="Table  - Opmaakprofiel6 2 19 2 6 3" xfId="16765"/>
    <cellStyle name="Table  - Opmaakprofiel6 2 19 2 6 4" xfId="28817"/>
    <cellStyle name="Table  - Opmaakprofiel6 2 19 2 6 5" xfId="44754"/>
    <cellStyle name="Table  - Opmaakprofiel6 2 19 2 6 6" xfId="49817"/>
    <cellStyle name="Table  - Opmaakprofiel6 2 19 2 7" xfId="5915"/>
    <cellStyle name="Table  - Opmaakprofiel6 2 19 2 7 2" xfId="16766"/>
    <cellStyle name="Table  - Opmaakprofiel6 2 19 2 7 3" xfId="28818"/>
    <cellStyle name="Table  - Opmaakprofiel6 2 19 2 7 4" xfId="38656"/>
    <cellStyle name="Table  - Opmaakprofiel6 2 19 2 7 5" xfId="49818"/>
    <cellStyle name="Table  - Opmaakprofiel6 2 19 2 8" xfId="10021"/>
    <cellStyle name="Table  - Opmaakprofiel6 2 19 2 8 2" xfId="22319"/>
    <cellStyle name="Table  - Opmaakprofiel6 2 19 2 8 3" xfId="44083"/>
    <cellStyle name="Table  - Opmaakprofiel6 2 19 2 8 4" xfId="28448"/>
    <cellStyle name="Table  - Opmaakprofiel6 2 19 2 8 5" xfId="54986"/>
    <cellStyle name="Table  - Opmaakprofiel6 2 19 2 9" xfId="16760"/>
    <cellStyle name="Table  - Opmaakprofiel6 2 19 3" xfId="1068"/>
    <cellStyle name="Table  - Opmaakprofiel6 2 19 3 2" xfId="1853"/>
    <cellStyle name="Table  - Opmaakprofiel6 2 19 3 2 2" xfId="10693"/>
    <cellStyle name="Table  - Opmaakprofiel6 2 19 3 2 2 2" xfId="22991"/>
    <cellStyle name="Table  - Opmaakprofiel6 2 19 3 2 2 3" xfId="35043"/>
    <cellStyle name="Table  - Opmaakprofiel6 2 19 3 2 2 4" xfId="32114"/>
    <cellStyle name="Table  - Opmaakprofiel6 2 19 3 2 2 5" xfId="55658"/>
    <cellStyle name="Table  - Opmaakprofiel6 2 19 3 2 3" xfId="16768"/>
    <cellStyle name="Table  - Opmaakprofiel6 2 19 3 2 4" xfId="28820"/>
    <cellStyle name="Table  - Opmaakprofiel6 2 19 3 2 5" xfId="38654"/>
    <cellStyle name="Table  - Opmaakprofiel6 2 19 3 2 6" xfId="49819"/>
    <cellStyle name="Table  - Opmaakprofiel6 2 19 3 3" xfId="3079"/>
    <cellStyle name="Table  - Opmaakprofiel6 2 19 3 3 2" xfId="10694"/>
    <cellStyle name="Table  - Opmaakprofiel6 2 19 3 3 2 2" xfId="22992"/>
    <cellStyle name="Table  - Opmaakprofiel6 2 19 3 3 2 3" xfId="35044"/>
    <cellStyle name="Table  - Opmaakprofiel6 2 19 3 3 2 4" xfId="42168"/>
    <cellStyle name="Table  - Opmaakprofiel6 2 19 3 3 2 5" xfId="55659"/>
    <cellStyle name="Table  - Opmaakprofiel6 2 19 3 3 3" xfId="16769"/>
    <cellStyle name="Table  - Opmaakprofiel6 2 19 3 3 4" xfId="28821"/>
    <cellStyle name="Table  - Opmaakprofiel6 2 19 3 3 5" xfId="44753"/>
    <cellStyle name="Table  - Opmaakprofiel6 2 19 3 3 6" xfId="49820"/>
    <cellStyle name="Table  - Opmaakprofiel6 2 19 3 4" xfId="3918"/>
    <cellStyle name="Table  - Opmaakprofiel6 2 19 3 4 2" xfId="10695"/>
    <cellStyle name="Table  - Opmaakprofiel6 2 19 3 4 2 2" xfId="22993"/>
    <cellStyle name="Table  - Opmaakprofiel6 2 19 3 4 2 3" xfId="35045"/>
    <cellStyle name="Table  - Opmaakprofiel6 2 19 3 4 2 4" xfId="29828"/>
    <cellStyle name="Table  - Opmaakprofiel6 2 19 3 4 2 5" xfId="55660"/>
    <cellStyle name="Table  - Opmaakprofiel6 2 19 3 4 3" xfId="16770"/>
    <cellStyle name="Table  - Opmaakprofiel6 2 19 3 4 4" xfId="28822"/>
    <cellStyle name="Table  - Opmaakprofiel6 2 19 3 4 5" xfId="38653"/>
    <cellStyle name="Table  - Opmaakprofiel6 2 19 3 4 6" xfId="49821"/>
    <cellStyle name="Table  - Opmaakprofiel6 2 19 3 5" xfId="5916"/>
    <cellStyle name="Table  - Opmaakprofiel6 2 19 3 5 2" xfId="10696"/>
    <cellStyle name="Table  - Opmaakprofiel6 2 19 3 5 2 2" xfId="22994"/>
    <cellStyle name="Table  - Opmaakprofiel6 2 19 3 5 2 3" xfId="35046"/>
    <cellStyle name="Table  - Opmaakprofiel6 2 19 3 5 2 4" xfId="34623"/>
    <cellStyle name="Table  - Opmaakprofiel6 2 19 3 5 2 5" xfId="55661"/>
    <cellStyle name="Table  - Opmaakprofiel6 2 19 3 5 3" xfId="16771"/>
    <cellStyle name="Table  - Opmaakprofiel6 2 19 3 5 4" xfId="28823"/>
    <cellStyle name="Table  - Opmaakprofiel6 2 19 3 5 5" xfId="44752"/>
    <cellStyle name="Table  - Opmaakprofiel6 2 19 3 5 6" xfId="49822"/>
    <cellStyle name="Table  - Opmaakprofiel6 2 19 3 6" xfId="5917"/>
    <cellStyle name="Table  - Opmaakprofiel6 2 19 3 6 2" xfId="10697"/>
    <cellStyle name="Table  - Opmaakprofiel6 2 19 3 6 2 2" xfId="22995"/>
    <cellStyle name="Table  - Opmaakprofiel6 2 19 3 6 2 3" xfId="35047"/>
    <cellStyle name="Table  - Opmaakprofiel6 2 19 3 6 2 4" xfId="42167"/>
    <cellStyle name="Table  - Opmaakprofiel6 2 19 3 6 2 5" xfId="55662"/>
    <cellStyle name="Table  - Opmaakprofiel6 2 19 3 6 3" xfId="16772"/>
    <cellStyle name="Table  - Opmaakprofiel6 2 19 3 6 4" xfId="28824"/>
    <cellStyle name="Table  - Opmaakprofiel6 2 19 3 6 5" xfId="38652"/>
    <cellStyle name="Table  - Opmaakprofiel6 2 19 3 6 6" xfId="49823"/>
    <cellStyle name="Table  - Opmaakprofiel6 2 19 3 7" xfId="5918"/>
    <cellStyle name="Table  - Opmaakprofiel6 2 19 3 7 2" xfId="16773"/>
    <cellStyle name="Table  - Opmaakprofiel6 2 19 3 7 3" xfId="28825"/>
    <cellStyle name="Table  - Opmaakprofiel6 2 19 3 7 4" xfId="44751"/>
    <cellStyle name="Table  - Opmaakprofiel6 2 19 3 7 5" xfId="49824"/>
    <cellStyle name="Table  - Opmaakprofiel6 2 19 3 8" xfId="9952"/>
    <cellStyle name="Table  - Opmaakprofiel6 2 19 3 8 2" xfId="22250"/>
    <cellStyle name="Table  - Opmaakprofiel6 2 19 3 8 3" xfId="44015"/>
    <cellStyle name="Table  - Opmaakprofiel6 2 19 3 8 4" xfId="28380"/>
    <cellStyle name="Table  - Opmaakprofiel6 2 19 3 8 5" xfId="54917"/>
    <cellStyle name="Table  - Opmaakprofiel6 2 19 3 9" xfId="16767"/>
    <cellStyle name="Table  - Opmaakprofiel6 2 19 4" xfId="950"/>
    <cellStyle name="Table  - Opmaakprofiel6 2 19 4 2" xfId="2474"/>
    <cellStyle name="Table  - Opmaakprofiel6 2 19 4 2 2" xfId="10698"/>
    <cellStyle name="Table  - Opmaakprofiel6 2 19 4 2 2 2" xfId="22996"/>
    <cellStyle name="Table  - Opmaakprofiel6 2 19 4 2 2 3" xfId="35048"/>
    <cellStyle name="Table  - Opmaakprofiel6 2 19 4 2 2 4" xfId="29835"/>
    <cellStyle name="Table  - Opmaakprofiel6 2 19 4 2 2 5" xfId="55663"/>
    <cellStyle name="Table  - Opmaakprofiel6 2 19 4 2 3" xfId="16775"/>
    <cellStyle name="Table  - Opmaakprofiel6 2 19 4 2 4" xfId="28827"/>
    <cellStyle name="Table  - Opmaakprofiel6 2 19 4 2 5" xfId="44750"/>
    <cellStyle name="Table  - Opmaakprofiel6 2 19 4 2 6" xfId="49825"/>
    <cellStyle name="Table  - Opmaakprofiel6 2 19 4 3" xfId="2961"/>
    <cellStyle name="Table  - Opmaakprofiel6 2 19 4 3 2" xfId="10699"/>
    <cellStyle name="Table  - Opmaakprofiel6 2 19 4 3 2 2" xfId="22997"/>
    <cellStyle name="Table  - Opmaakprofiel6 2 19 4 3 2 3" xfId="35049"/>
    <cellStyle name="Table  - Opmaakprofiel6 2 19 4 3 2 4" xfId="42166"/>
    <cellStyle name="Table  - Opmaakprofiel6 2 19 4 3 2 5" xfId="55664"/>
    <cellStyle name="Table  - Opmaakprofiel6 2 19 4 3 3" xfId="16776"/>
    <cellStyle name="Table  - Opmaakprofiel6 2 19 4 3 4" xfId="28828"/>
    <cellStyle name="Table  - Opmaakprofiel6 2 19 4 3 5" xfId="38650"/>
    <cellStyle name="Table  - Opmaakprofiel6 2 19 4 3 6" xfId="49826"/>
    <cellStyle name="Table  - Opmaakprofiel6 2 19 4 4" xfId="3807"/>
    <cellStyle name="Table  - Opmaakprofiel6 2 19 4 4 2" xfId="10700"/>
    <cellStyle name="Table  - Opmaakprofiel6 2 19 4 4 2 2" xfId="22998"/>
    <cellStyle name="Table  - Opmaakprofiel6 2 19 4 4 2 3" xfId="35050"/>
    <cellStyle name="Table  - Opmaakprofiel6 2 19 4 4 2 4" xfId="31979"/>
    <cellStyle name="Table  - Opmaakprofiel6 2 19 4 4 2 5" xfId="55665"/>
    <cellStyle name="Table  - Opmaakprofiel6 2 19 4 4 3" xfId="16777"/>
    <cellStyle name="Table  - Opmaakprofiel6 2 19 4 4 4" xfId="28829"/>
    <cellStyle name="Table  - Opmaakprofiel6 2 19 4 4 5" xfId="44749"/>
    <cellStyle name="Table  - Opmaakprofiel6 2 19 4 4 6" xfId="49827"/>
    <cellStyle name="Table  - Opmaakprofiel6 2 19 4 5" xfId="5919"/>
    <cellStyle name="Table  - Opmaakprofiel6 2 19 4 5 2" xfId="10701"/>
    <cellStyle name="Table  - Opmaakprofiel6 2 19 4 5 2 2" xfId="22999"/>
    <cellStyle name="Table  - Opmaakprofiel6 2 19 4 5 2 3" xfId="35051"/>
    <cellStyle name="Table  - Opmaakprofiel6 2 19 4 5 2 4" xfId="42165"/>
    <cellStyle name="Table  - Opmaakprofiel6 2 19 4 5 2 5" xfId="55666"/>
    <cellStyle name="Table  - Opmaakprofiel6 2 19 4 5 3" xfId="16778"/>
    <cellStyle name="Table  - Opmaakprofiel6 2 19 4 5 4" xfId="28830"/>
    <cellStyle name="Table  - Opmaakprofiel6 2 19 4 5 5" xfId="38649"/>
    <cellStyle name="Table  - Opmaakprofiel6 2 19 4 5 6" xfId="49828"/>
    <cellStyle name="Table  - Opmaakprofiel6 2 19 4 6" xfId="5920"/>
    <cellStyle name="Table  - Opmaakprofiel6 2 19 4 6 2" xfId="10702"/>
    <cellStyle name="Table  - Opmaakprofiel6 2 19 4 6 2 2" xfId="23000"/>
    <cellStyle name="Table  - Opmaakprofiel6 2 19 4 6 2 3" xfId="35052"/>
    <cellStyle name="Table  - Opmaakprofiel6 2 19 4 6 2 4" xfId="29842"/>
    <cellStyle name="Table  - Opmaakprofiel6 2 19 4 6 2 5" xfId="55667"/>
    <cellStyle name="Table  - Opmaakprofiel6 2 19 4 6 3" xfId="16779"/>
    <cellStyle name="Table  - Opmaakprofiel6 2 19 4 6 4" xfId="28831"/>
    <cellStyle name="Table  - Opmaakprofiel6 2 19 4 6 5" xfId="38648"/>
    <cellStyle name="Table  - Opmaakprofiel6 2 19 4 6 6" xfId="49829"/>
    <cellStyle name="Table  - Opmaakprofiel6 2 19 4 7" xfId="5921"/>
    <cellStyle name="Table  - Opmaakprofiel6 2 19 4 7 2" xfId="16780"/>
    <cellStyle name="Table  - Opmaakprofiel6 2 19 4 7 3" xfId="28832"/>
    <cellStyle name="Table  - Opmaakprofiel6 2 19 4 7 4" xfId="38647"/>
    <cellStyle name="Table  - Opmaakprofiel6 2 19 4 7 5" xfId="49830"/>
    <cellStyle name="Table  - Opmaakprofiel6 2 19 4 8" xfId="7345"/>
    <cellStyle name="Table  - Opmaakprofiel6 2 19 4 8 2" xfId="19643"/>
    <cellStyle name="Table  - Opmaakprofiel6 2 19 4 8 3" xfId="41446"/>
    <cellStyle name="Table  - Opmaakprofiel6 2 19 4 8 4" xfId="36833"/>
    <cellStyle name="Table  - Opmaakprofiel6 2 19 4 8 5" xfId="52315"/>
    <cellStyle name="Table  - Opmaakprofiel6 2 19 4 9" xfId="16774"/>
    <cellStyle name="Table  - Opmaakprofiel6 2 19 5" xfId="1237"/>
    <cellStyle name="Table  - Opmaakprofiel6 2 19 5 2" xfId="2001"/>
    <cellStyle name="Table  - Opmaakprofiel6 2 19 5 2 2" xfId="10703"/>
    <cellStyle name="Table  - Opmaakprofiel6 2 19 5 2 2 2" xfId="23001"/>
    <cellStyle name="Table  - Opmaakprofiel6 2 19 5 2 2 3" xfId="35053"/>
    <cellStyle name="Table  - Opmaakprofiel6 2 19 5 2 2 4" xfId="31886"/>
    <cellStyle name="Table  - Opmaakprofiel6 2 19 5 2 2 5" xfId="55668"/>
    <cellStyle name="Table  - Opmaakprofiel6 2 19 5 2 3" xfId="16782"/>
    <cellStyle name="Table  - Opmaakprofiel6 2 19 5 2 4" xfId="28834"/>
    <cellStyle name="Table  - Opmaakprofiel6 2 19 5 2 5" xfId="38646"/>
    <cellStyle name="Table  - Opmaakprofiel6 2 19 5 2 6" xfId="49831"/>
    <cellStyle name="Table  - Opmaakprofiel6 2 19 5 3" xfId="3248"/>
    <cellStyle name="Table  - Opmaakprofiel6 2 19 5 3 2" xfId="10704"/>
    <cellStyle name="Table  - Opmaakprofiel6 2 19 5 3 2 2" xfId="23002"/>
    <cellStyle name="Table  - Opmaakprofiel6 2 19 5 3 2 3" xfId="35054"/>
    <cellStyle name="Table  - Opmaakprofiel6 2 19 5 3 2 4" xfId="42164"/>
    <cellStyle name="Table  - Opmaakprofiel6 2 19 5 3 2 5" xfId="55669"/>
    <cellStyle name="Table  - Opmaakprofiel6 2 19 5 3 3" xfId="16783"/>
    <cellStyle name="Table  - Opmaakprofiel6 2 19 5 3 4" xfId="28835"/>
    <cellStyle name="Table  - Opmaakprofiel6 2 19 5 3 5" xfId="44747"/>
    <cellStyle name="Table  - Opmaakprofiel6 2 19 5 3 6" xfId="49832"/>
    <cellStyle name="Table  - Opmaakprofiel6 2 19 5 4" xfId="4062"/>
    <cellStyle name="Table  - Opmaakprofiel6 2 19 5 4 2" xfId="10705"/>
    <cellStyle name="Table  - Opmaakprofiel6 2 19 5 4 2 2" xfId="23003"/>
    <cellStyle name="Table  - Opmaakprofiel6 2 19 5 4 2 3" xfId="35055"/>
    <cellStyle name="Table  - Opmaakprofiel6 2 19 5 4 2 4" xfId="29849"/>
    <cellStyle name="Table  - Opmaakprofiel6 2 19 5 4 2 5" xfId="55670"/>
    <cellStyle name="Table  - Opmaakprofiel6 2 19 5 4 3" xfId="16784"/>
    <cellStyle name="Table  - Opmaakprofiel6 2 19 5 4 4" xfId="28836"/>
    <cellStyle name="Table  - Opmaakprofiel6 2 19 5 4 5" xfId="38645"/>
    <cellStyle name="Table  - Opmaakprofiel6 2 19 5 4 6" xfId="49833"/>
    <cellStyle name="Table  - Opmaakprofiel6 2 19 5 5" xfId="5922"/>
    <cellStyle name="Table  - Opmaakprofiel6 2 19 5 5 2" xfId="10706"/>
    <cellStyle name="Table  - Opmaakprofiel6 2 19 5 5 2 2" xfId="23004"/>
    <cellStyle name="Table  - Opmaakprofiel6 2 19 5 5 2 3" xfId="35056"/>
    <cellStyle name="Table  - Opmaakprofiel6 2 19 5 5 2 4" xfId="42163"/>
    <cellStyle name="Table  - Opmaakprofiel6 2 19 5 5 2 5" xfId="55671"/>
    <cellStyle name="Table  - Opmaakprofiel6 2 19 5 5 3" xfId="16785"/>
    <cellStyle name="Table  - Opmaakprofiel6 2 19 5 5 4" xfId="28837"/>
    <cellStyle name="Table  - Opmaakprofiel6 2 19 5 5 5" xfId="44746"/>
    <cellStyle name="Table  - Opmaakprofiel6 2 19 5 5 6" xfId="49834"/>
    <cellStyle name="Table  - Opmaakprofiel6 2 19 5 6" xfId="5923"/>
    <cellStyle name="Table  - Opmaakprofiel6 2 19 5 6 2" xfId="10707"/>
    <cellStyle name="Table  - Opmaakprofiel6 2 19 5 6 2 2" xfId="23005"/>
    <cellStyle name="Table  - Opmaakprofiel6 2 19 5 6 2 3" xfId="35057"/>
    <cellStyle name="Table  - Opmaakprofiel6 2 19 5 6 2 4" xfId="32021"/>
    <cellStyle name="Table  - Opmaakprofiel6 2 19 5 6 2 5" xfId="55672"/>
    <cellStyle name="Table  - Opmaakprofiel6 2 19 5 6 3" xfId="16786"/>
    <cellStyle name="Table  - Opmaakprofiel6 2 19 5 6 4" xfId="28838"/>
    <cellStyle name="Table  - Opmaakprofiel6 2 19 5 6 5" xfId="38644"/>
    <cellStyle name="Table  - Opmaakprofiel6 2 19 5 6 6" xfId="49835"/>
    <cellStyle name="Table  - Opmaakprofiel6 2 19 5 7" xfId="5924"/>
    <cellStyle name="Table  - Opmaakprofiel6 2 19 5 7 2" xfId="16787"/>
    <cellStyle name="Table  - Opmaakprofiel6 2 19 5 7 3" xfId="28839"/>
    <cellStyle name="Table  - Opmaakprofiel6 2 19 5 7 4" xfId="44745"/>
    <cellStyle name="Table  - Opmaakprofiel6 2 19 5 7 5" xfId="49836"/>
    <cellStyle name="Table  - Opmaakprofiel6 2 19 5 8" xfId="7137"/>
    <cellStyle name="Table  - Opmaakprofiel6 2 19 5 8 2" xfId="19435"/>
    <cellStyle name="Table  - Opmaakprofiel6 2 19 5 8 3" xfId="41238"/>
    <cellStyle name="Table  - Opmaakprofiel6 2 19 5 8 4" xfId="36954"/>
    <cellStyle name="Table  - Opmaakprofiel6 2 19 5 8 5" xfId="52107"/>
    <cellStyle name="Table  - Opmaakprofiel6 2 19 5 9" xfId="16781"/>
    <cellStyle name="Table  - Opmaakprofiel6 2 19 6" xfId="673"/>
    <cellStyle name="Table  - Opmaakprofiel6 2 19 6 2" xfId="2364"/>
    <cellStyle name="Table  - Opmaakprofiel6 2 19 6 2 2" xfId="10708"/>
    <cellStyle name="Table  - Opmaakprofiel6 2 19 6 2 2 2" xfId="23006"/>
    <cellStyle name="Table  - Opmaakprofiel6 2 19 6 2 2 3" xfId="35058"/>
    <cellStyle name="Table  - Opmaakprofiel6 2 19 6 2 2 4" xfId="42162"/>
    <cellStyle name="Table  - Opmaakprofiel6 2 19 6 2 2 5" xfId="55673"/>
    <cellStyle name="Table  - Opmaakprofiel6 2 19 6 2 3" xfId="16789"/>
    <cellStyle name="Table  - Opmaakprofiel6 2 19 6 2 4" xfId="28841"/>
    <cellStyle name="Table  - Opmaakprofiel6 2 19 6 2 5" xfId="44744"/>
    <cellStyle name="Table  - Opmaakprofiel6 2 19 6 2 6" xfId="49837"/>
    <cellStyle name="Table  - Opmaakprofiel6 2 19 6 3" xfId="2739"/>
    <cellStyle name="Table  - Opmaakprofiel6 2 19 6 3 2" xfId="10709"/>
    <cellStyle name="Table  - Opmaakprofiel6 2 19 6 3 2 2" xfId="23007"/>
    <cellStyle name="Table  - Opmaakprofiel6 2 19 6 3 2 3" xfId="35059"/>
    <cellStyle name="Table  - Opmaakprofiel6 2 19 6 3 2 4" xfId="29856"/>
    <cellStyle name="Table  - Opmaakprofiel6 2 19 6 3 2 5" xfId="55674"/>
    <cellStyle name="Table  - Opmaakprofiel6 2 19 6 3 3" xfId="16790"/>
    <cellStyle name="Table  - Opmaakprofiel6 2 19 6 3 4" xfId="28842"/>
    <cellStyle name="Table  - Opmaakprofiel6 2 19 6 3 5" xfId="38642"/>
    <cellStyle name="Table  - Opmaakprofiel6 2 19 6 3 6" xfId="49838"/>
    <cellStyle name="Table  - Opmaakprofiel6 2 19 6 4" xfId="3606"/>
    <cellStyle name="Table  - Opmaakprofiel6 2 19 6 4 2" xfId="10710"/>
    <cellStyle name="Table  - Opmaakprofiel6 2 19 6 4 2 2" xfId="23008"/>
    <cellStyle name="Table  - Opmaakprofiel6 2 19 6 4 2 3" xfId="35060"/>
    <cellStyle name="Table  - Opmaakprofiel6 2 19 6 4 2 4" xfId="42161"/>
    <cellStyle name="Table  - Opmaakprofiel6 2 19 6 4 2 5" xfId="55675"/>
    <cellStyle name="Table  - Opmaakprofiel6 2 19 6 4 3" xfId="16791"/>
    <cellStyle name="Table  - Opmaakprofiel6 2 19 6 4 4" xfId="28843"/>
    <cellStyle name="Table  - Opmaakprofiel6 2 19 6 4 5" xfId="38641"/>
    <cellStyle name="Table  - Opmaakprofiel6 2 19 6 4 6" xfId="49839"/>
    <cellStyle name="Table  - Opmaakprofiel6 2 19 6 5" xfId="5925"/>
    <cellStyle name="Table  - Opmaakprofiel6 2 19 6 5 2" xfId="10711"/>
    <cellStyle name="Table  - Opmaakprofiel6 2 19 6 5 2 2" xfId="23009"/>
    <cellStyle name="Table  - Opmaakprofiel6 2 19 6 5 2 3" xfId="35061"/>
    <cellStyle name="Table  - Opmaakprofiel6 2 19 6 5 2 4" xfId="34597"/>
    <cellStyle name="Table  - Opmaakprofiel6 2 19 6 5 2 5" xfId="55676"/>
    <cellStyle name="Table  - Opmaakprofiel6 2 19 6 5 3" xfId="16792"/>
    <cellStyle name="Table  - Opmaakprofiel6 2 19 6 5 4" xfId="28844"/>
    <cellStyle name="Table  - Opmaakprofiel6 2 19 6 5 5" xfId="38640"/>
    <cellStyle name="Table  - Opmaakprofiel6 2 19 6 5 6" xfId="49840"/>
    <cellStyle name="Table  - Opmaakprofiel6 2 19 6 6" xfId="5926"/>
    <cellStyle name="Table  - Opmaakprofiel6 2 19 6 6 2" xfId="10712"/>
    <cellStyle name="Table  - Opmaakprofiel6 2 19 6 6 2 2" xfId="23010"/>
    <cellStyle name="Table  - Opmaakprofiel6 2 19 6 6 2 3" xfId="35062"/>
    <cellStyle name="Table  - Opmaakprofiel6 2 19 6 6 2 4" xfId="42160"/>
    <cellStyle name="Table  - Opmaakprofiel6 2 19 6 6 2 5" xfId="55677"/>
    <cellStyle name="Table  - Opmaakprofiel6 2 19 6 6 3" xfId="16793"/>
    <cellStyle name="Table  - Opmaakprofiel6 2 19 6 6 4" xfId="28845"/>
    <cellStyle name="Table  - Opmaakprofiel6 2 19 6 6 5" xfId="44743"/>
    <cellStyle name="Table  - Opmaakprofiel6 2 19 6 6 6" xfId="49841"/>
    <cellStyle name="Table  - Opmaakprofiel6 2 19 6 7" xfId="5927"/>
    <cellStyle name="Table  - Opmaakprofiel6 2 19 6 7 2" xfId="16794"/>
    <cellStyle name="Table  - Opmaakprofiel6 2 19 6 7 3" xfId="28846"/>
    <cellStyle name="Table  - Opmaakprofiel6 2 19 6 7 4" xfId="38639"/>
    <cellStyle name="Table  - Opmaakprofiel6 2 19 6 7 5" xfId="49842"/>
    <cellStyle name="Table  - Opmaakprofiel6 2 19 6 8" xfId="10224"/>
    <cellStyle name="Table  - Opmaakprofiel6 2 19 6 8 2" xfId="22522"/>
    <cellStyle name="Table  - Opmaakprofiel6 2 19 6 8 3" xfId="44284"/>
    <cellStyle name="Table  - Opmaakprofiel6 2 19 6 8 4" xfId="42364"/>
    <cellStyle name="Table  - Opmaakprofiel6 2 19 6 8 5" xfId="55189"/>
    <cellStyle name="Table  - Opmaakprofiel6 2 19 6 9" xfId="16788"/>
    <cellStyle name="Table  - Opmaakprofiel6 2 19 7" xfId="1581"/>
    <cellStyle name="Table  - Opmaakprofiel6 2 19 7 2" xfId="10713"/>
    <cellStyle name="Table  - Opmaakprofiel6 2 19 7 2 2" xfId="23011"/>
    <cellStyle name="Table  - Opmaakprofiel6 2 19 7 2 3" xfId="35063"/>
    <cellStyle name="Table  - Opmaakprofiel6 2 19 7 2 4" xfId="29863"/>
    <cellStyle name="Table  - Opmaakprofiel6 2 19 7 2 5" xfId="55678"/>
    <cellStyle name="Table  - Opmaakprofiel6 2 19 7 3" xfId="16795"/>
    <cellStyle name="Table  - Opmaakprofiel6 2 19 7 4" xfId="28847"/>
    <cellStyle name="Table  - Opmaakprofiel6 2 19 7 5" xfId="44742"/>
    <cellStyle name="Table  - Opmaakprofiel6 2 19 7 6" xfId="49843"/>
    <cellStyle name="Table  - Opmaakprofiel6 2 19 8" xfId="2830"/>
    <cellStyle name="Table  - Opmaakprofiel6 2 19 8 2" xfId="10714"/>
    <cellStyle name="Table  - Opmaakprofiel6 2 19 8 2 2" xfId="23012"/>
    <cellStyle name="Table  - Opmaakprofiel6 2 19 8 2 3" xfId="35064"/>
    <cellStyle name="Table  - Opmaakprofiel6 2 19 8 2 4" xfId="31987"/>
    <cellStyle name="Table  - Opmaakprofiel6 2 19 8 2 5" xfId="55679"/>
    <cellStyle name="Table  - Opmaakprofiel6 2 19 8 3" xfId="16796"/>
    <cellStyle name="Table  - Opmaakprofiel6 2 19 8 4" xfId="28848"/>
    <cellStyle name="Table  - Opmaakprofiel6 2 19 8 5" xfId="38638"/>
    <cellStyle name="Table  - Opmaakprofiel6 2 19 8 6" xfId="49844"/>
    <cellStyle name="Table  - Opmaakprofiel6 2 19 9" xfId="3688"/>
    <cellStyle name="Table  - Opmaakprofiel6 2 19 9 2" xfId="10715"/>
    <cellStyle name="Table  - Opmaakprofiel6 2 19 9 2 2" xfId="23013"/>
    <cellStyle name="Table  - Opmaakprofiel6 2 19 9 2 3" xfId="35065"/>
    <cellStyle name="Table  - Opmaakprofiel6 2 19 9 2 4" xfId="29872"/>
    <cellStyle name="Table  - Opmaakprofiel6 2 19 9 2 5" xfId="55680"/>
    <cellStyle name="Table  - Opmaakprofiel6 2 19 9 3" xfId="16797"/>
    <cellStyle name="Table  - Opmaakprofiel6 2 19 9 4" xfId="28849"/>
    <cellStyle name="Table  - Opmaakprofiel6 2 19 9 5" xfId="38637"/>
    <cellStyle name="Table  - Opmaakprofiel6 2 19 9 6" xfId="49845"/>
    <cellStyle name="Table  - Opmaakprofiel6 2 2" xfId="147"/>
    <cellStyle name="Table  - Opmaakprofiel6 2 2 10" xfId="1363"/>
    <cellStyle name="Table  - Opmaakprofiel6 2 2 10 2" xfId="1406"/>
    <cellStyle name="Table  - Opmaakprofiel6 2 2 10 2 2" xfId="10716"/>
    <cellStyle name="Table  - Opmaakprofiel6 2 2 10 2 2 2" xfId="23014"/>
    <cellStyle name="Table  - Opmaakprofiel6 2 2 10 2 2 3" xfId="35066"/>
    <cellStyle name="Table  - Opmaakprofiel6 2 2 10 2 2 4" xfId="42159"/>
    <cellStyle name="Table  - Opmaakprofiel6 2 2 10 2 2 5" xfId="55681"/>
    <cellStyle name="Table  - Opmaakprofiel6 2 2 10 2 3" xfId="16800"/>
    <cellStyle name="Table  - Opmaakprofiel6 2 2 10 2 4" xfId="28852"/>
    <cellStyle name="Table  - Opmaakprofiel6 2 2 10 2 5" xfId="44740"/>
    <cellStyle name="Table  - Opmaakprofiel6 2 2 10 2 6" xfId="49846"/>
    <cellStyle name="Table  - Opmaakprofiel6 2 2 10 3" xfId="3374"/>
    <cellStyle name="Table  - Opmaakprofiel6 2 2 10 3 2" xfId="10717"/>
    <cellStyle name="Table  - Opmaakprofiel6 2 2 10 3 2 2" xfId="23015"/>
    <cellStyle name="Table  - Opmaakprofiel6 2 2 10 3 2 3" xfId="35067"/>
    <cellStyle name="Table  - Opmaakprofiel6 2 2 10 3 2 4" xfId="34660"/>
    <cellStyle name="Table  - Opmaakprofiel6 2 2 10 3 2 5" xfId="55682"/>
    <cellStyle name="Table  - Opmaakprofiel6 2 2 10 3 3" xfId="16801"/>
    <cellStyle name="Table  - Opmaakprofiel6 2 2 10 3 4" xfId="28853"/>
    <cellStyle name="Table  - Opmaakprofiel6 2 2 10 3 5" xfId="38636"/>
    <cellStyle name="Table  - Opmaakprofiel6 2 2 10 3 6" xfId="49847"/>
    <cellStyle name="Table  - Opmaakprofiel6 2 2 10 4" xfId="4135"/>
    <cellStyle name="Table  - Opmaakprofiel6 2 2 10 4 2" xfId="10718"/>
    <cellStyle name="Table  - Opmaakprofiel6 2 2 10 4 2 2" xfId="23016"/>
    <cellStyle name="Table  - Opmaakprofiel6 2 2 10 4 2 3" xfId="35068"/>
    <cellStyle name="Table  - Opmaakprofiel6 2 2 10 4 2 4" xfId="42158"/>
    <cellStyle name="Table  - Opmaakprofiel6 2 2 10 4 2 5" xfId="55683"/>
    <cellStyle name="Table  - Opmaakprofiel6 2 2 10 4 3" xfId="16802"/>
    <cellStyle name="Table  - Opmaakprofiel6 2 2 10 4 4" xfId="28854"/>
    <cellStyle name="Table  - Opmaakprofiel6 2 2 10 4 5" xfId="44739"/>
    <cellStyle name="Table  - Opmaakprofiel6 2 2 10 4 6" xfId="49848"/>
    <cellStyle name="Table  - Opmaakprofiel6 2 2 10 5" xfId="5928"/>
    <cellStyle name="Table  - Opmaakprofiel6 2 2 10 5 2" xfId="10719"/>
    <cellStyle name="Table  - Opmaakprofiel6 2 2 10 5 2 2" xfId="23017"/>
    <cellStyle name="Table  - Opmaakprofiel6 2 2 10 5 2 3" xfId="35069"/>
    <cellStyle name="Table  - Opmaakprofiel6 2 2 10 5 2 4" xfId="29879"/>
    <cellStyle name="Table  - Opmaakprofiel6 2 2 10 5 2 5" xfId="55684"/>
    <cellStyle name="Table  - Opmaakprofiel6 2 2 10 5 3" xfId="16803"/>
    <cellStyle name="Table  - Opmaakprofiel6 2 2 10 5 4" xfId="28855"/>
    <cellStyle name="Table  - Opmaakprofiel6 2 2 10 5 5" xfId="38635"/>
    <cellStyle name="Table  - Opmaakprofiel6 2 2 10 5 6" xfId="49849"/>
    <cellStyle name="Table  - Opmaakprofiel6 2 2 10 6" xfId="5929"/>
    <cellStyle name="Table  - Opmaakprofiel6 2 2 10 6 2" xfId="10720"/>
    <cellStyle name="Table  - Opmaakprofiel6 2 2 10 6 2 2" xfId="23018"/>
    <cellStyle name="Table  - Opmaakprofiel6 2 2 10 6 2 3" xfId="35070"/>
    <cellStyle name="Table  - Opmaakprofiel6 2 2 10 6 2 4" xfId="42157"/>
    <cellStyle name="Table  - Opmaakprofiel6 2 2 10 6 2 5" xfId="55685"/>
    <cellStyle name="Table  - Opmaakprofiel6 2 2 10 6 3" xfId="16804"/>
    <cellStyle name="Table  - Opmaakprofiel6 2 2 10 6 4" xfId="28856"/>
    <cellStyle name="Table  - Opmaakprofiel6 2 2 10 6 5" xfId="38634"/>
    <cellStyle name="Table  - Opmaakprofiel6 2 2 10 6 6" xfId="49850"/>
    <cellStyle name="Table  - Opmaakprofiel6 2 2 10 7" xfId="5930"/>
    <cellStyle name="Table  - Opmaakprofiel6 2 2 10 7 2" xfId="16805"/>
    <cellStyle name="Table  - Opmaakprofiel6 2 2 10 7 3" xfId="28857"/>
    <cellStyle name="Table  - Opmaakprofiel6 2 2 10 7 4" xfId="44738"/>
    <cellStyle name="Table  - Opmaakprofiel6 2 2 10 7 5" xfId="49851"/>
    <cellStyle name="Table  - Opmaakprofiel6 2 2 10 8" xfId="7021"/>
    <cellStyle name="Table  - Opmaakprofiel6 2 2 10 8 2" xfId="19319"/>
    <cellStyle name="Table  - Opmaakprofiel6 2 2 10 8 3" xfId="41122"/>
    <cellStyle name="Table  - Opmaakprofiel6 2 2 10 8 4" xfId="43683"/>
    <cellStyle name="Table  - Opmaakprofiel6 2 2 10 8 5" xfId="51992"/>
    <cellStyle name="Table  - Opmaakprofiel6 2 2 10 9" xfId="16799"/>
    <cellStyle name="Table  - Opmaakprofiel6 2 2 11" xfId="1869"/>
    <cellStyle name="Table  - Opmaakprofiel6 2 2 11 2" xfId="10721"/>
    <cellStyle name="Table  - Opmaakprofiel6 2 2 11 2 2" xfId="23019"/>
    <cellStyle name="Table  - Opmaakprofiel6 2 2 11 2 3" xfId="35071"/>
    <cellStyle name="Table  - Opmaakprofiel6 2 2 11 2 4" xfId="32012"/>
    <cellStyle name="Table  - Opmaakprofiel6 2 2 11 2 5" xfId="55686"/>
    <cellStyle name="Table  - Opmaakprofiel6 2 2 11 3" xfId="16806"/>
    <cellStyle name="Table  - Opmaakprofiel6 2 2 11 4" xfId="28858"/>
    <cellStyle name="Table  - Opmaakprofiel6 2 2 11 5" xfId="38633"/>
    <cellStyle name="Table  - Opmaakprofiel6 2 2 11 6" xfId="49852"/>
    <cellStyle name="Table  - Opmaakprofiel6 2 2 12" xfId="2376"/>
    <cellStyle name="Table  - Opmaakprofiel6 2 2 12 2" xfId="10722"/>
    <cellStyle name="Table  - Opmaakprofiel6 2 2 12 2 2" xfId="23020"/>
    <cellStyle name="Table  - Opmaakprofiel6 2 2 12 2 3" xfId="35072"/>
    <cellStyle name="Table  - Opmaakprofiel6 2 2 12 2 4" xfId="42156"/>
    <cellStyle name="Table  - Opmaakprofiel6 2 2 12 2 5" xfId="55687"/>
    <cellStyle name="Table  - Opmaakprofiel6 2 2 12 3" xfId="16807"/>
    <cellStyle name="Table  - Opmaakprofiel6 2 2 12 4" xfId="28859"/>
    <cellStyle name="Table  - Opmaakprofiel6 2 2 12 5" xfId="44737"/>
    <cellStyle name="Table  - Opmaakprofiel6 2 2 12 6" xfId="49853"/>
    <cellStyle name="Table  - Opmaakprofiel6 2 2 13" xfId="2457"/>
    <cellStyle name="Table  - Opmaakprofiel6 2 2 13 2" xfId="10723"/>
    <cellStyle name="Table  - Opmaakprofiel6 2 2 13 2 2" xfId="23021"/>
    <cellStyle name="Table  - Opmaakprofiel6 2 2 13 2 3" xfId="35073"/>
    <cellStyle name="Table  - Opmaakprofiel6 2 2 13 2 4" xfId="29886"/>
    <cellStyle name="Table  - Opmaakprofiel6 2 2 13 2 5" xfId="55688"/>
    <cellStyle name="Table  - Opmaakprofiel6 2 2 13 3" xfId="16808"/>
    <cellStyle name="Table  - Opmaakprofiel6 2 2 13 4" xfId="28860"/>
    <cellStyle name="Table  - Opmaakprofiel6 2 2 13 5" xfId="38632"/>
    <cellStyle name="Table  - Opmaakprofiel6 2 2 13 6" xfId="49854"/>
    <cellStyle name="Table  - Opmaakprofiel6 2 2 14" xfId="5931"/>
    <cellStyle name="Table  - Opmaakprofiel6 2 2 14 2" xfId="10724"/>
    <cellStyle name="Table  - Opmaakprofiel6 2 2 14 2 2" xfId="23022"/>
    <cellStyle name="Table  - Opmaakprofiel6 2 2 14 2 3" xfId="35074"/>
    <cellStyle name="Table  - Opmaakprofiel6 2 2 14 2 4" xfId="42155"/>
    <cellStyle name="Table  - Opmaakprofiel6 2 2 14 2 5" xfId="55689"/>
    <cellStyle name="Table  - Opmaakprofiel6 2 2 14 3" xfId="16809"/>
    <cellStyle name="Table  - Opmaakprofiel6 2 2 14 4" xfId="28861"/>
    <cellStyle name="Table  - Opmaakprofiel6 2 2 14 5" xfId="44736"/>
    <cellStyle name="Table  - Opmaakprofiel6 2 2 14 6" xfId="49855"/>
    <cellStyle name="Table  - Opmaakprofiel6 2 2 15" xfId="5932"/>
    <cellStyle name="Table  - Opmaakprofiel6 2 2 15 2" xfId="10725"/>
    <cellStyle name="Table  - Opmaakprofiel6 2 2 15 2 2" xfId="23023"/>
    <cellStyle name="Table  - Opmaakprofiel6 2 2 15 2 3" xfId="35075"/>
    <cellStyle name="Table  - Opmaakprofiel6 2 2 15 2 4" xfId="31971"/>
    <cellStyle name="Table  - Opmaakprofiel6 2 2 15 2 5" xfId="55690"/>
    <cellStyle name="Table  - Opmaakprofiel6 2 2 15 3" xfId="16810"/>
    <cellStyle name="Table  - Opmaakprofiel6 2 2 15 4" xfId="28862"/>
    <cellStyle name="Table  - Opmaakprofiel6 2 2 15 5" xfId="38631"/>
    <cellStyle name="Table  - Opmaakprofiel6 2 2 15 6" xfId="49856"/>
    <cellStyle name="Table  - Opmaakprofiel6 2 2 16" xfId="5933"/>
    <cellStyle name="Table  - Opmaakprofiel6 2 2 16 2" xfId="16811"/>
    <cellStyle name="Table  - Opmaakprofiel6 2 2 16 3" xfId="28863"/>
    <cellStyle name="Table  - Opmaakprofiel6 2 2 16 4" xfId="44735"/>
    <cellStyle name="Table  - Opmaakprofiel6 2 2 16 5" xfId="49857"/>
    <cellStyle name="Table  - Opmaakprofiel6 2 2 17" xfId="7768"/>
    <cellStyle name="Table  - Opmaakprofiel6 2 2 17 2" xfId="20066"/>
    <cellStyle name="Table  - Opmaakprofiel6 2 2 17 3" xfId="41869"/>
    <cellStyle name="Table  - Opmaakprofiel6 2 2 17 4" xfId="25234"/>
    <cellStyle name="Table  - Opmaakprofiel6 2 2 17 5" xfId="52738"/>
    <cellStyle name="Table  - Opmaakprofiel6 2 2 18" xfId="16798"/>
    <cellStyle name="Table  - Opmaakprofiel6 2 2 2" xfId="337"/>
    <cellStyle name="Table  - Opmaakprofiel6 2 2 2 10" xfId="1602"/>
    <cellStyle name="Table  - Opmaakprofiel6 2 2 2 10 2" xfId="10726"/>
    <cellStyle name="Table  - Opmaakprofiel6 2 2 2 10 2 2" xfId="23024"/>
    <cellStyle name="Table  - Opmaakprofiel6 2 2 2 10 2 3" xfId="35076"/>
    <cellStyle name="Table  - Opmaakprofiel6 2 2 2 10 2 4" xfId="29893"/>
    <cellStyle name="Table  - Opmaakprofiel6 2 2 2 10 2 5" xfId="55691"/>
    <cellStyle name="Table  - Opmaakprofiel6 2 2 2 10 3" xfId="16813"/>
    <cellStyle name="Table  - Opmaakprofiel6 2 2 2 10 4" xfId="28865"/>
    <cellStyle name="Table  - Opmaakprofiel6 2 2 2 10 5" xfId="44734"/>
    <cellStyle name="Table  - Opmaakprofiel6 2 2 2 10 6" xfId="49858"/>
    <cellStyle name="Table  - Opmaakprofiel6 2 2 2 11" xfId="2412"/>
    <cellStyle name="Table  - Opmaakprofiel6 2 2 2 11 2" xfId="10727"/>
    <cellStyle name="Table  - Opmaakprofiel6 2 2 2 11 2 2" xfId="23025"/>
    <cellStyle name="Table  - Opmaakprofiel6 2 2 2 11 2 3" xfId="35077"/>
    <cellStyle name="Table  - Opmaakprofiel6 2 2 2 11 2 4" xfId="34649"/>
    <cellStyle name="Table  - Opmaakprofiel6 2 2 2 11 2 5" xfId="55692"/>
    <cellStyle name="Table  - Opmaakprofiel6 2 2 2 11 3" xfId="16814"/>
    <cellStyle name="Table  - Opmaakprofiel6 2 2 2 11 4" xfId="28866"/>
    <cellStyle name="Table  - Opmaakprofiel6 2 2 2 11 5" xfId="38629"/>
    <cellStyle name="Table  - Opmaakprofiel6 2 2 2 11 6" xfId="49859"/>
    <cellStyle name="Table  - Opmaakprofiel6 2 2 2 12" xfId="2092"/>
    <cellStyle name="Table  - Opmaakprofiel6 2 2 2 12 2" xfId="10728"/>
    <cellStyle name="Table  - Opmaakprofiel6 2 2 2 12 2 2" xfId="23026"/>
    <cellStyle name="Table  - Opmaakprofiel6 2 2 2 12 2 3" xfId="35078"/>
    <cellStyle name="Table  - Opmaakprofiel6 2 2 2 12 2 4" xfId="42154"/>
    <cellStyle name="Table  - Opmaakprofiel6 2 2 2 12 2 5" xfId="55693"/>
    <cellStyle name="Table  - Opmaakprofiel6 2 2 2 12 3" xfId="16815"/>
    <cellStyle name="Table  - Opmaakprofiel6 2 2 2 12 4" xfId="28867"/>
    <cellStyle name="Table  - Opmaakprofiel6 2 2 2 12 5" xfId="38628"/>
    <cellStyle name="Table  - Opmaakprofiel6 2 2 2 12 6" xfId="49860"/>
    <cellStyle name="Table  - Opmaakprofiel6 2 2 2 13" xfId="5934"/>
    <cellStyle name="Table  - Opmaakprofiel6 2 2 2 13 2" xfId="10729"/>
    <cellStyle name="Table  - Opmaakprofiel6 2 2 2 13 2 2" xfId="23027"/>
    <cellStyle name="Table  - Opmaakprofiel6 2 2 2 13 2 3" xfId="35079"/>
    <cellStyle name="Table  - Opmaakprofiel6 2 2 2 13 2 4" xfId="29900"/>
    <cellStyle name="Table  - Opmaakprofiel6 2 2 2 13 2 5" xfId="55694"/>
    <cellStyle name="Table  - Opmaakprofiel6 2 2 2 13 3" xfId="16816"/>
    <cellStyle name="Table  - Opmaakprofiel6 2 2 2 13 4" xfId="28868"/>
    <cellStyle name="Table  - Opmaakprofiel6 2 2 2 13 5" xfId="38627"/>
    <cellStyle name="Table  - Opmaakprofiel6 2 2 2 13 6" xfId="49861"/>
    <cellStyle name="Table  - Opmaakprofiel6 2 2 2 14" xfId="5935"/>
    <cellStyle name="Table  - Opmaakprofiel6 2 2 2 14 2" xfId="10730"/>
    <cellStyle name="Table  - Opmaakprofiel6 2 2 2 14 2 2" xfId="23028"/>
    <cellStyle name="Table  - Opmaakprofiel6 2 2 2 14 2 3" xfId="35080"/>
    <cellStyle name="Table  - Opmaakprofiel6 2 2 2 14 2 4" xfId="42153"/>
    <cellStyle name="Table  - Opmaakprofiel6 2 2 2 14 2 5" xfId="55695"/>
    <cellStyle name="Table  - Opmaakprofiel6 2 2 2 14 3" xfId="16817"/>
    <cellStyle name="Table  - Opmaakprofiel6 2 2 2 14 4" xfId="28869"/>
    <cellStyle name="Table  - Opmaakprofiel6 2 2 2 14 5" xfId="44733"/>
    <cellStyle name="Table  - Opmaakprofiel6 2 2 2 14 6" xfId="49862"/>
    <cellStyle name="Table  - Opmaakprofiel6 2 2 2 15" xfId="5936"/>
    <cellStyle name="Table  - Opmaakprofiel6 2 2 2 15 2" xfId="16818"/>
    <cellStyle name="Table  - Opmaakprofiel6 2 2 2 15 3" xfId="28870"/>
    <cellStyle name="Table  - Opmaakprofiel6 2 2 2 15 4" xfId="38626"/>
    <cellStyle name="Table  - Opmaakprofiel6 2 2 2 15 5" xfId="49863"/>
    <cellStyle name="Table  - Opmaakprofiel6 2 2 2 16" xfId="7761"/>
    <cellStyle name="Table  - Opmaakprofiel6 2 2 2 16 2" xfId="20059"/>
    <cellStyle name="Table  - Opmaakprofiel6 2 2 2 16 3" xfId="41862"/>
    <cellStyle name="Table  - Opmaakprofiel6 2 2 2 16 4" xfId="25223"/>
    <cellStyle name="Table  - Opmaakprofiel6 2 2 2 16 5" xfId="52731"/>
    <cellStyle name="Table  - Opmaakprofiel6 2 2 2 17" xfId="16812"/>
    <cellStyle name="Table  - Opmaakprofiel6 2 2 2 2" xfId="615"/>
    <cellStyle name="Table  - Opmaakprofiel6 2 2 2 2 2" xfId="1933"/>
    <cellStyle name="Table  - Opmaakprofiel6 2 2 2 2 2 2" xfId="10731"/>
    <cellStyle name="Table  - Opmaakprofiel6 2 2 2 2 2 2 2" xfId="23029"/>
    <cellStyle name="Table  - Opmaakprofiel6 2 2 2 2 2 2 3" xfId="35081"/>
    <cellStyle name="Table  - Opmaakprofiel6 2 2 2 2 2 2 4" xfId="32104"/>
    <cellStyle name="Table  - Opmaakprofiel6 2 2 2 2 2 2 5" xfId="55696"/>
    <cellStyle name="Table  - Opmaakprofiel6 2 2 2 2 2 3" xfId="16820"/>
    <cellStyle name="Table  - Opmaakprofiel6 2 2 2 2 2 4" xfId="28872"/>
    <cellStyle name="Table  - Opmaakprofiel6 2 2 2 2 2 5" xfId="38625"/>
    <cellStyle name="Table  - Opmaakprofiel6 2 2 2 2 2 6" xfId="49864"/>
    <cellStyle name="Table  - Opmaakprofiel6 2 2 2 2 3" xfId="2686"/>
    <cellStyle name="Table  - Opmaakprofiel6 2 2 2 2 3 2" xfId="10732"/>
    <cellStyle name="Table  - Opmaakprofiel6 2 2 2 2 3 2 2" xfId="23030"/>
    <cellStyle name="Table  - Opmaakprofiel6 2 2 2 2 3 2 3" xfId="35082"/>
    <cellStyle name="Table  - Opmaakprofiel6 2 2 2 2 3 2 4" xfId="42152"/>
    <cellStyle name="Table  - Opmaakprofiel6 2 2 2 2 3 2 5" xfId="55697"/>
    <cellStyle name="Table  - Opmaakprofiel6 2 2 2 2 3 3" xfId="16821"/>
    <cellStyle name="Table  - Opmaakprofiel6 2 2 2 2 3 4" xfId="28873"/>
    <cellStyle name="Table  - Opmaakprofiel6 2 2 2 2 3 5" xfId="44731"/>
    <cellStyle name="Table  - Opmaakprofiel6 2 2 2 2 3 6" xfId="49865"/>
    <cellStyle name="Table  - Opmaakprofiel6 2 2 2 2 4" xfId="3558"/>
    <cellStyle name="Table  - Opmaakprofiel6 2 2 2 2 4 2" xfId="10733"/>
    <cellStyle name="Table  - Opmaakprofiel6 2 2 2 2 4 2 2" xfId="23031"/>
    <cellStyle name="Table  - Opmaakprofiel6 2 2 2 2 4 2 3" xfId="35083"/>
    <cellStyle name="Table  - Opmaakprofiel6 2 2 2 2 4 2 4" xfId="29907"/>
    <cellStyle name="Table  - Opmaakprofiel6 2 2 2 2 4 2 5" xfId="55698"/>
    <cellStyle name="Table  - Opmaakprofiel6 2 2 2 2 4 3" xfId="16822"/>
    <cellStyle name="Table  - Opmaakprofiel6 2 2 2 2 4 4" xfId="28874"/>
    <cellStyle name="Table  - Opmaakprofiel6 2 2 2 2 4 5" xfId="38624"/>
    <cellStyle name="Table  - Opmaakprofiel6 2 2 2 2 4 6" xfId="49866"/>
    <cellStyle name="Table  - Opmaakprofiel6 2 2 2 2 5" xfId="5937"/>
    <cellStyle name="Table  - Opmaakprofiel6 2 2 2 2 5 2" xfId="10734"/>
    <cellStyle name="Table  - Opmaakprofiel6 2 2 2 2 5 2 2" xfId="23032"/>
    <cellStyle name="Table  - Opmaakprofiel6 2 2 2 2 5 2 3" xfId="35084"/>
    <cellStyle name="Table  - Opmaakprofiel6 2 2 2 2 5 2 4" xfId="42151"/>
    <cellStyle name="Table  - Opmaakprofiel6 2 2 2 2 5 2 5" xfId="55699"/>
    <cellStyle name="Table  - Opmaakprofiel6 2 2 2 2 5 3" xfId="16823"/>
    <cellStyle name="Table  - Opmaakprofiel6 2 2 2 2 5 4" xfId="28875"/>
    <cellStyle name="Table  - Opmaakprofiel6 2 2 2 2 5 5" xfId="44730"/>
    <cellStyle name="Table  - Opmaakprofiel6 2 2 2 2 5 6" xfId="49867"/>
    <cellStyle name="Table  - Opmaakprofiel6 2 2 2 2 6" xfId="5938"/>
    <cellStyle name="Table  - Opmaakprofiel6 2 2 2 2 6 2" xfId="10735"/>
    <cellStyle name="Table  - Opmaakprofiel6 2 2 2 2 6 2 2" xfId="23033"/>
    <cellStyle name="Table  - Opmaakprofiel6 2 2 2 2 6 2 3" xfId="35085"/>
    <cellStyle name="Table  - Opmaakprofiel6 2 2 2 2 6 2 4" xfId="31916"/>
    <cellStyle name="Table  - Opmaakprofiel6 2 2 2 2 6 2 5" xfId="55700"/>
    <cellStyle name="Table  - Opmaakprofiel6 2 2 2 2 6 3" xfId="16824"/>
    <cellStyle name="Table  - Opmaakprofiel6 2 2 2 2 6 4" xfId="28876"/>
    <cellStyle name="Table  - Opmaakprofiel6 2 2 2 2 6 5" xfId="38623"/>
    <cellStyle name="Table  - Opmaakprofiel6 2 2 2 2 6 6" xfId="49868"/>
    <cellStyle name="Table  - Opmaakprofiel6 2 2 2 2 7" xfId="5939"/>
    <cellStyle name="Table  - Opmaakprofiel6 2 2 2 2 7 2" xfId="16825"/>
    <cellStyle name="Table  - Opmaakprofiel6 2 2 2 2 7 3" xfId="28877"/>
    <cellStyle name="Table  - Opmaakprofiel6 2 2 2 2 7 4" xfId="44729"/>
    <cellStyle name="Table  - Opmaakprofiel6 2 2 2 2 7 5" xfId="49869"/>
    <cellStyle name="Table  - Opmaakprofiel6 2 2 2 2 8" xfId="7572"/>
    <cellStyle name="Table  - Opmaakprofiel6 2 2 2 2 8 2" xfId="19870"/>
    <cellStyle name="Table  - Opmaakprofiel6 2 2 2 2 8 3" xfId="41673"/>
    <cellStyle name="Table  - Opmaakprofiel6 2 2 2 2 8 4" xfId="43453"/>
    <cellStyle name="Table  - Opmaakprofiel6 2 2 2 2 8 5" xfId="52542"/>
    <cellStyle name="Table  - Opmaakprofiel6 2 2 2 2 9" xfId="16819"/>
    <cellStyle name="Table  - Opmaakprofiel6 2 2 2 3" xfId="448"/>
    <cellStyle name="Table  - Opmaakprofiel6 2 2 2 3 2" xfId="1532"/>
    <cellStyle name="Table  - Opmaakprofiel6 2 2 2 3 2 2" xfId="10736"/>
    <cellStyle name="Table  - Opmaakprofiel6 2 2 2 3 2 2 2" xfId="23034"/>
    <cellStyle name="Table  - Opmaakprofiel6 2 2 2 3 2 2 3" xfId="35086"/>
    <cellStyle name="Table  - Opmaakprofiel6 2 2 2 3 2 2 4" xfId="42150"/>
    <cellStyle name="Table  - Opmaakprofiel6 2 2 2 3 2 2 5" xfId="55701"/>
    <cellStyle name="Table  - Opmaakprofiel6 2 2 2 3 2 3" xfId="16827"/>
    <cellStyle name="Table  - Opmaakprofiel6 2 2 2 3 2 4" xfId="28879"/>
    <cellStyle name="Table  - Opmaakprofiel6 2 2 2 3 2 5" xfId="38621"/>
    <cellStyle name="Table  - Opmaakprofiel6 2 2 2 3 2 6" xfId="49870"/>
    <cellStyle name="Table  - Opmaakprofiel6 2 2 2 3 3" xfId="2519"/>
    <cellStyle name="Table  - Opmaakprofiel6 2 2 2 3 3 2" xfId="10737"/>
    <cellStyle name="Table  - Opmaakprofiel6 2 2 2 3 3 2 2" xfId="23035"/>
    <cellStyle name="Table  - Opmaakprofiel6 2 2 2 3 3 2 3" xfId="35087"/>
    <cellStyle name="Table  - Opmaakprofiel6 2 2 2 3 3 2 4" xfId="29914"/>
    <cellStyle name="Table  - Opmaakprofiel6 2 2 2 3 3 2 5" xfId="55702"/>
    <cellStyle name="Table  - Opmaakprofiel6 2 2 2 3 3 3" xfId="16828"/>
    <cellStyle name="Table  - Opmaakprofiel6 2 2 2 3 3 4" xfId="28880"/>
    <cellStyle name="Table  - Opmaakprofiel6 2 2 2 3 3 5" xfId="38620"/>
    <cellStyle name="Table  - Opmaakprofiel6 2 2 2 3 3 6" xfId="49871"/>
    <cellStyle name="Table  - Opmaakprofiel6 2 2 2 3 4" xfId="3407"/>
    <cellStyle name="Table  - Opmaakprofiel6 2 2 2 3 4 2" xfId="10738"/>
    <cellStyle name="Table  - Opmaakprofiel6 2 2 2 3 4 2 2" xfId="23036"/>
    <cellStyle name="Table  - Opmaakprofiel6 2 2 2 3 4 2 3" xfId="35088"/>
    <cellStyle name="Table  - Opmaakprofiel6 2 2 2 3 4 2 4" xfId="32039"/>
    <cellStyle name="Table  - Opmaakprofiel6 2 2 2 3 4 2 5" xfId="55703"/>
    <cellStyle name="Table  - Opmaakprofiel6 2 2 2 3 4 3" xfId="16829"/>
    <cellStyle name="Table  - Opmaakprofiel6 2 2 2 3 4 4" xfId="28881"/>
    <cellStyle name="Table  - Opmaakprofiel6 2 2 2 3 4 5" xfId="44728"/>
    <cellStyle name="Table  - Opmaakprofiel6 2 2 2 3 4 6" xfId="49872"/>
    <cellStyle name="Table  - Opmaakprofiel6 2 2 2 3 5" xfId="5940"/>
    <cellStyle name="Table  - Opmaakprofiel6 2 2 2 3 5 2" xfId="10739"/>
    <cellStyle name="Table  - Opmaakprofiel6 2 2 2 3 5 2 2" xfId="23037"/>
    <cellStyle name="Table  - Opmaakprofiel6 2 2 2 3 5 2 3" xfId="35089"/>
    <cellStyle name="Table  - Opmaakprofiel6 2 2 2 3 5 2 4" xfId="29921"/>
    <cellStyle name="Table  - Opmaakprofiel6 2 2 2 3 5 2 5" xfId="55704"/>
    <cellStyle name="Table  - Opmaakprofiel6 2 2 2 3 5 3" xfId="16830"/>
    <cellStyle name="Table  - Opmaakprofiel6 2 2 2 3 5 4" xfId="28882"/>
    <cellStyle name="Table  - Opmaakprofiel6 2 2 2 3 5 5" xfId="38619"/>
    <cellStyle name="Table  - Opmaakprofiel6 2 2 2 3 5 6" xfId="49873"/>
    <cellStyle name="Table  - Opmaakprofiel6 2 2 2 3 6" xfId="5941"/>
    <cellStyle name="Table  - Opmaakprofiel6 2 2 2 3 6 2" xfId="10740"/>
    <cellStyle name="Table  - Opmaakprofiel6 2 2 2 3 6 2 2" xfId="23038"/>
    <cellStyle name="Table  - Opmaakprofiel6 2 2 2 3 6 2 3" xfId="35090"/>
    <cellStyle name="Table  - Opmaakprofiel6 2 2 2 3 6 2 4" xfId="42149"/>
    <cellStyle name="Table  - Opmaakprofiel6 2 2 2 3 6 2 5" xfId="55705"/>
    <cellStyle name="Table  - Opmaakprofiel6 2 2 2 3 6 3" xfId="16831"/>
    <cellStyle name="Table  - Opmaakprofiel6 2 2 2 3 6 4" xfId="28883"/>
    <cellStyle name="Table  - Opmaakprofiel6 2 2 2 3 6 5" xfId="44727"/>
    <cellStyle name="Table  - Opmaakprofiel6 2 2 2 3 6 6" xfId="49874"/>
    <cellStyle name="Table  - Opmaakprofiel6 2 2 2 3 7" xfId="5942"/>
    <cellStyle name="Table  - Opmaakprofiel6 2 2 2 3 7 2" xfId="16832"/>
    <cellStyle name="Table  - Opmaakprofiel6 2 2 2 3 7 3" xfId="28884"/>
    <cellStyle name="Table  - Opmaakprofiel6 2 2 2 3 7 4" xfId="38618"/>
    <cellStyle name="Table  - Opmaakprofiel6 2 2 2 3 7 5" xfId="49875"/>
    <cellStyle name="Table  - Opmaakprofiel6 2 2 2 3 8" xfId="10375"/>
    <cellStyle name="Table  - Opmaakprofiel6 2 2 2 3 8 2" xfId="22673"/>
    <cellStyle name="Table  - Opmaakprofiel6 2 2 2 3 8 3" xfId="44433"/>
    <cellStyle name="Table  - Opmaakprofiel6 2 2 2 3 8 4" xfId="29169"/>
    <cellStyle name="Table  - Opmaakprofiel6 2 2 2 3 8 5" xfId="55340"/>
    <cellStyle name="Table  - Opmaakprofiel6 2 2 2 3 9" xfId="16826"/>
    <cellStyle name="Table  - Opmaakprofiel6 2 2 2 4" xfId="634"/>
    <cellStyle name="Table  - Opmaakprofiel6 2 2 2 4 2" xfId="2074"/>
    <cellStyle name="Table  - Opmaakprofiel6 2 2 2 4 2 2" xfId="10741"/>
    <cellStyle name="Table  - Opmaakprofiel6 2 2 2 4 2 2 2" xfId="23039"/>
    <cellStyle name="Table  - Opmaakprofiel6 2 2 2 4 2 2 3" xfId="35091"/>
    <cellStyle name="Table  - Opmaakprofiel6 2 2 2 4 2 2 4" xfId="32008"/>
    <cellStyle name="Table  - Opmaakprofiel6 2 2 2 4 2 2 5" xfId="55706"/>
    <cellStyle name="Table  - Opmaakprofiel6 2 2 2 4 2 3" xfId="16834"/>
    <cellStyle name="Table  - Opmaakprofiel6 2 2 2 4 2 4" xfId="28886"/>
    <cellStyle name="Table  - Opmaakprofiel6 2 2 2 4 2 5" xfId="38617"/>
    <cellStyle name="Table  - Opmaakprofiel6 2 2 2 4 2 6" xfId="49876"/>
    <cellStyle name="Table  - Opmaakprofiel6 2 2 2 4 3" xfId="2700"/>
    <cellStyle name="Table  - Opmaakprofiel6 2 2 2 4 3 2" xfId="10742"/>
    <cellStyle name="Table  - Opmaakprofiel6 2 2 2 4 3 2 2" xfId="23040"/>
    <cellStyle name="Table  - Opmaakprofiel6 2 2 2 4 3 2 3" xfId="35092"/>
    <cellStyle name="Table  - Opmaakprofiel6 2 2 2 4 3 2 4" xfId="42148"/>
    <cellStyle name="Table  - Opmaakprofiel6 2 2 2 4 3 2 5" xfId="55707"/>
    <cellStyle name="Table  - Opmaakprofiel6 2 2 2 4 3 3" xfId="16835"/>
    <cellStyle name="Table  - Opmaakprofiel6 2 2 2 4 3 4" xfId="28887"/>
    <cellStyle name="Table  - Opmaakprofiel6 2 2 2 4 3 5" xfId="44725"/>
    <cellStyle name="Table  - Opmaakprofiel6 2 2 2 4 3 6" xfId="49877"/>
    <cellStyle name="Table  - Opmaakprofiel6 2 2 2 4 4" xfId="3571"/>
    <cellStyle name="Table  - Opmaakprofiel6 2 2 2 4 4 2" xfId="10743"/>
    <cellStyle name="Table  - Opmaakprofiel6 2 2 2 4 4 2 2" xfId="23041"/>
    <cellStyle name="Table  - Opmaakprofiel6 2 2 2 4 4 2 3" xfId="35093"/>
    <cellStyle name="Table  - Opmaakprofiel6 2 2 2 4 4 2 4" xfId="29928"/>
    <cellStyle name="Table  - Opmaakprofiel6 2 2 2 4 4 2 5" xfId="55708"/>
    <cellStyle name="Table  - Opmaakprofiel6 2 2 2 4 4 3" xfId="16836"/>
    <cellStyle name="Table  - Opmaakprofiel6 2 2 2 4 4 4" xfId="28888"/>
    <cellStyle name="Table  - Opmaakprofiel6 2 2 2 4 4 5" xfId="38616"/>
    <cellStyle name="Table  - Opmaakprofiel6 2 2 2 4 4 6" xfId="49878"/>
    <cellStyle name="Table  - Opmaakprofiel6 2 2 2 4 5" xfId="5943"/>
    <cellStyle name="Table  - Opmaakprofiel6 2 2 2 4 5 2" xfId="10744"/>
    <cellStyle name="Table  - Opmaakprofiel6 2 2 2 4 5 2 2" xfId="23042"/>
    <cellStyle name="Table  - Opmaakprofiel6 2 2 2 4 5 2 3" xfId="35094"/>
    <cellStyle name="Table  - Opmaakprofiel6 2 2 2 4 5 2 4" xfId="42147"/>
    <cellStyle name="Table  - Opmaakprofiel6 2 2 2 4 5 2 5" xfId="55709"/>
    <cellStyle name="Table  - Opmaakprofiel6 2 2 2 4 5 3" xfId="16837"/>
    <cellStyle name="Table  - Opmaakprofiel6 2 2 2 4 5 4" xfId="28889"/>
    <cellStyle name="Table  - Opmaakprofiel6 2 2 2 4 5 5" xfId="44724"/>
    <cellStyle name="Table  - Opmaakprofiel6 2 2 2 4 5 6" xfId="49879"/>
    <cellStyle name="Table  - Opmaakprofiel6 2 2 2 4 6" xfId="5944"/>
    <cellStyle name="Table  - Opmaakprofiel6 2 2 2 4 6 2" xfId="10745"/>
    <cellStyle name="Table  - Opmaakprofiel6 2 2 2 4 6 2 2" xfId="23043"/>
    <cellStyle name="Table  - Opmaakprofiel6 2 2 2 4 6 2 3" xfId="35095"/>
    <cellStyle name="Table  - Opmaakprofiel6 2 2 2 4 6 2 4" xfId="31581"/>
    <cellStyle name="Table  - Opmaakprofiel6 2 2 2 4 6 2 5" xfId="55710"/>
    <cellStyle name="Table  - Opmaakprofiel6 2 2 2 4 6 3" xfId="16838"/>
    <cellStyle name="Table  - Opmaakprofiel6 2 2 2 4 6 4" xfId="28890"/>
    <cellStyle name="Table  - Opmaakprofiel6 2 2 2 4 6 5" xfId="38615"/>
    <cellStyle name="Table  - Opmaakprofiel6 2 2 2 4 6 6" xfId="49880"/>
    <cellStyle name="Table  - Opmaakprofiel6 2 2 2 4 7" xfId="5945"/>
    <cellStyle name="Table  - Opmaakprofiel6 2 2 2 4 7 2" xfId="16839"/>
    <cellStyle name="Table  - Opmaakprofiel6 2 2 2 4 7 3" xfId="28891"/>
    <cellStyle name="Table  - Opmaakprofiel6 2 2 2 4 7 4" xfId="38614"/>
    <cellStyle name="Table  - Opmaakprofiel6 2 2 2 4 7 5" xfId="49881"/>
    <cellStyle name="Table  - Opmaakprofiel6 2 2 2 4 8" xfId="7559"/>
    <cellStyle name="Table  - Opmaakprofiel6 2 2 2 4 8 2" xfId="19857"/>
    <cellStyle name="Table  - Opmaakprofiel6 2 2 2 4 8 3" xfId="41660"/>
    <cellStyle name="Table  - Opmaakprofiel6 2 2 2 4 8 4" xfId="24807"/>
    <cellStyle name="Table  - Opmaakprofiel6 2 2 2 4 8 5" xfId="52529"/>
    <cellStyle name="Table  - Opmaakprofiel6 2 2 2 4 9" xfId="16833"/>
    <cellStyle name="Table  - Opmaakprofiel6 2 2 2 5" xfId="856"/>
    <cellStyle name="Table  - Opmaakprofiel6 2 2 2 5 2" xfId="1443"/>
    <cellStyle name="Table  - Opmaakprofiel6 2 2 2 5 2 2" xfId="10746"/>
    <cellStyle name="Table  - Opmaakprofiel6 2 2 2 5 2 2 2" xfId="23044"/>
    <cellStyle name="Table  - Opmaakprofiel6 2 2 2 5 2 2 3" xfId="35096"/>
    <cellStyle name="Table  - Opmaakprofiel6 2 2 2 5 2 2 4" xfId="42146"/>
    <cellStyle name="Table  - Opmaakprofiel6 2 2 2 5 2 2 5" xfId="55711"/>
    <cellStyle name="Table  - Opmaakprofiel6 2 2 2 5 2 3" xfId="16841"/>
    <cellStyle name="Table  - Opmaakprofiel6 2 2 2 5 2 4" xfId="28893"/>
    <cellStyle name="Table  - Opmaakprofiel6 2 2 2 5 2 5" xfId="44723"/>
    <cellStyle name="Table  - Opmaakprofiel6 2 2 2 5 2 6" xfId="49882"/>
    <cellStyle name="Table  - Opmaakprofiel6 2 2 2 5 3" xfId="2867"/>
    <cellStyle name="Table  - Opmaakprofiel6 2 2 2 5 3 2" xfId="10747"/>
    <cellStyle name="Table  - Opmaakprofiel6 2 2 2 5 3 2 2" xfId="23045"/>
    <cellStyle name="Table  - Opmaakprofiel6 2 2 2 5 3 2 3" xfId="35097"/>
    <cellStyle name="Table  - Opmaakprofiel6 2 2 2 5 3 2 4" xfId="29935"/>
    <cellStyle name="Table  - Opmaakprofiel6 2 2 2 5 3 2 5" xfId="55712"/>
    <cellStyle name="Table  - Opmaakprofiel6 2 2 2 5 3 3" xfId="16842"/>
    <cellStyle name="Table  - Opmaakprofiel6 2 2 2 5 3 4" xfId="28894"/>
    <cellStyle name="Table  - Opmaakprofiel6 2 2 2 5 3 5" xfId="38612"/>
    <cellStyle name="Table  - Opmaakprofiel6 2 2 2 5 3 6" xfId="49883"/>
    <cellStyle name="Table  - Opmaakprofiel6 2 2 2 5 4" xfId="3720"/>
    <cellStyle name="Table  - Opmaakprofiel6 2 2 2 5 4 2" xfId="10748"/>
    <cellStyle name="Table  - Opmaakprofiel6 2 2 2 5 4 2 2" xfId="23046"/>
    <cellStyle name="Table  - Opmaakprofiel6 2 2 2 5 4 2 3" xfId="35098"/>
    <cellStyle name="Table  - Opmaakprofiel6 2 2 2 5 4 2 4" xfId="42145"/>
    <cellStyle name="Table  - Opmaakprofiel6 2 2 2 5 4 2 5" xfId="55713"/>
    <cellStyle name="Table  - Opmaakprofiel6 2 2 2 5 4 3" xfId="16843"/>
    <cellStyle name="Table  - Opmaakprofiel6 2 2 2 5 4 4" xfId="28895"/>
    <cellStyle name="Table  - Opmaakprofiel6 2 2 2 5 4 5" xfId="44722"/>
    <cellStyle name="Table  - Opmaakprofiel6 2 2 2 5 4 6" xfId="49884"/>
    <cellStyle name="Table  - Opmaakprofiel6 2 2 2 5 5" xfId="5946"/>
    <cellStyle name="Table  - Opmaakprofiel6 2 2 2 5 5 2" xfId="10749"/>
    <cellStyle name="Table  - Opmaakprofiel6 2 2 2 5 5 2 2" xfId="23047"/>
    <cellStyle name="Table  - Opmaakprofiel6 2 2 2 5 5 2 3" xfId="35099"/>
    <cellStyle name="Table  - Opmaakprofiel6 2 2 2 5 5 2 4" xfId="31703"/>
    <cellStyle name="Table  - Opmaakprofiel6 2 2 2 5 5 2 5" xfId="55714"/>
    <cellStyle name="Table  - Opmaakprofiel6 2 2 2 5 5 3" xfId="16844"/>
    <cellStyle name="Table  - Opmaakprofiel6 2 2 2 5 5 4" xfId="28896"/>
    <cellStyle name="Table  - Opmaakprofiel6 2 2 2 5 5 5" xfId="38611"/>
    <cellStyle name="Table  - Opmaakprofiel6 2 2 2 5 5 6" xfId="49885"/>
    <cellStyle name="Table  - Opmaakprofiel6 2 2 2 5 6" xfId="5947"/>
    <cellStyle name="Table  - Opmaakprofiel6 2 2 2 5 6 2" xfId="10750"/>
    <cellStyle name="Table  - Opmaakprofiel6 2 2 2 5 6 2 2" xfId="23048"/>
    <cellStyle name="Table  - Opmaakprofiel6 2 2 2 5 6 2 3" xfId="35100"/>
    <cellStyle name="Table  - Opmaakprofiel6 2 2 2 5 6 2 4" xfId="29942"/>
    <cellStyle name="Table  - Opmaakprofiel6 2 2 2 5 6 2 5" xfId="55715"/>
    <cellStyle name="Table  - Opmaakprofiel6 2 2 2 5 6 3" xfId="16845"/>
    <cellStyle name="Table  - Opmaakprofiel6 2 2 2 5 6 4" xfId="28897"/>
    <cellStyle name="Table  - Opmaakprofiel6 2 2 2 5 6 5" xfId="44721"/>
    <cellStyle name="Table  - Opmaakprofiel6 2 2 2 5 6 6" xfId="49886"/>
    <cellStyle name="Table  - Opmaakprofiel6 2 2 2 5 7" xfId="5948"/>
    <cellStyle name="Table  - Opmaakprofiel6 2 2 2 5 7 2" xfId="16846"/>
    <cellStyle name="Table  - Opmaakprofiel6 2 2 2 5 7 3" xfId="28898"/>
    <cellStyle name="Table  - Opmaakprofiel6 2 2 2 5 7 4" xfId="38610"/>
    <cellStyle name="Table  - Opmaakprofiel6 2 2 2 5 7 5" xfId="49887"/>
    <cellStyle name="Table  - Opmaakprofiel6 2 2 2 5 8" xfId="10096"/>
    <cellStyle name="Table  - Opmaakprofiel6 2 2 2 5 8 2" xfId="22394"/>
    <cellStyle name="Table  - Opmaakprofiel6 2 2 2 5 8 3" xfId="44158"/>
    <cellStyle name="Table  - Opmaakprofiel6 2 2 2 5 8 4" xfId="42417"/>
    <cellStyle name="Table  - Opmaakprofiel6 2 2 2 5 8 5" xfId="55061"/>
    <cellStyle name="Table  - Opmaakprofiel6 2 2 2 5 9" xfId="16840"/>
    <cellStyle name="Table  - Opmaakprofiel6 2 2 2 6" xfId="550"/>
    <cellStyle name="Table  - Opmaakprofiel6 2 2 2 6 2" xfId="2314"/>
    <cellStyle name="Table  - Opmaakprofiel6 2 2 2 6 2 2" xfId="10751"/>
    <cellStyle name="Table  - Opmaakprofiel6 2 2 2 6 2 2 2" xfId="23049"/>
    <cellStyle name="Table  - Opmaakprofiel6 2 2 2 6 2 2 3" xfId="35101"/>
    <cellStyle name="Table  - Opmaakprofiel6 2 2 2 6 2 2 4" xfId="31928"/>
    <cellStyle name="Table  - Opmaakprofiel6 2 2 2 6 2 2 5" xfId="55716"/>
    <cellStyle name="Table  - Opmaakprofiel6 2 2 2 6 2 3" xfId="16848"/>
    <cellStyle name="Table  - Opmaakprofiel6 2 2 2 6 2 4" xfId="28900"/>
    <cellStyle name="Table  - Opmaakprofiel6 2 2 2 6 2 5" xfId="38609"/>
    <cellStyle name="Table  - Opmaakprofiel6 2 2 2 6 2 6" xfId="49888"/>
    <cellStyle name="Table  - Opmaakprofiel6 2 2 2 6 3" xfId="2621"/>
    <cellStyle name="Table  - Opmaakprofiel6 2 2 2 6 3 2" xfId="10752"/>
    <cellStyle name="Table  - Opmaakprofiel6 2 2 2 6 3 2 2" xfId="23050"/>
    <cellStyle name="Table  - Opmaakprofiel6 2 2 2 6 3 2 3" xfId="35102"/>
    <cellStyle name="Table  - Opmaakprofiel6 2 2 2 6 3 2 4" xfId="42144"/>
    <cellStyle name="Table  - Opmaakprofiel6 2 2 2 6 3 2 5" xfId="55717"/>
    <cellStyle name="Table  - Opmaakprofiel6 2 2 2 6 3 3" xfId="16849"/>
    <cellStyle name="Table  - Opmaakprofiel6 2 2 2 6 3 4" xfId="28901"/>
    <cellStyle name="Table  - Opmaakprofiel6 2 2 2 6 3 5" xfId="44719"/>
    <cellStyle name="Table  - Opmaakprofiel6 2 2 2 6 3 6" xfId="49889"/>
    <cellStyle name="Table  - Opmaakprofiel6 2 2 2 6 4" xfId="3499"/>
    <cellStyle name="Table  - Opmaakprofiel6 2 2 2 6 4 2" xfId="10753"/>
    <cellStyle name="Table  - Opmaakprofiel6 2 2 2 6 4 2 2" xfId="23051"/>
    <cellStyle name="Table  - Opmaakprofiel6 2 2 2 6 4 2 3" xfId="35103"/>
    <cellStyle name="Table  - Opmaakprofiel6 2 2 2 6 4 2 4" xfId="29949"/>
    <cellStyle name="Table  - Opmaakprofiel6 2 2 2 6 4 2 5" xfId="55718"/>
    <cellStyle name="Table  - Opmaakprofiel6 2 2 2 6 4 3" xfId="16850"/>
    <cellStyle name="Table  - Opmaakprofiel6 2 2 2 6 4 4" xfId="28902"/>
    <cellStyle name="Table  - Opmaakprofiel6 2 2 2 6 4 5" xfId="38608"/>
    <cellStyle name="Table  - Opmaakprofiel6 2 2 2 6 4 6" xfId="49890"/>
    <cellStyle name="Table  - Opmaakprofiel6 2 2 2 6 5" xfId="5949"/>
    <cellStyle name="Table  - Opmaakprofiel6 2 2 2 6 5 2" xfId="10754"/>
    <cellStyle name="Table  - Opmaakprofiel6 2 2 2 6 5 2 2" xfId="23052"/>
    <cellStyle name="Table  - Opmaakprofiel6 2 2 2 6 5 2 3" xfId="35104"/>
    <cellStyle name="Table  - Opmaakprofiel6 2 2 2 6 5 2 4" xfId="42143"/>
    <cellStyle name="Table  - Opmaakprofiel6 2 2 2 6 5 2 5" xfId="55719"/>
    <cellStyle name="Table  - Opmaakprofiel6 2 2 2 6 5 3" xfId="16851"/>
    <cellStyle name="Table  - Opmaakprofiel6 2 2 2 6 5 4" xfId="28903"/>
    <cellStyle name="Table  - Opmaakprofiel6 2 2 2 6 5 5" xfId="38607"/>
    <cellStyle name="Table  - Opmaakprofiel6 2 2 2 6 5 6" xfId="49891"/>
    <cellStyle name="Table  - Opmaakprofiel6 2 2 2 6 6" xfId="5950"/>
    <cellStyle name="Table  - Opmaakprofiel6 2 2 2 6 6 2" xfId="10755"/>
    <cellStyle name="Table  - Opmaakprofiel6 2 2 2 6 6 2 2" xfId="23053"/>
    <cellStyle name="Table  - Opmaakprofiel6 2 2 2 6 6 2 3" xfId="35105"/>
    <cellStyle name="Table  - Opmaakprofiel6 2 2 2 6 6 2 4" xfId="31407"/>
    <cellStyle name="Table  - Opmaakprofiel6 2 2 2 6 6 2 5" xfId="55720"/>
    <cellStyle name="Table  - Opmaakprofiel6 2 2 2 6 6 3" xfId="16852"/>
    <cellStyle name="Table  - Opmaakprofiel6 2 2 2 6 6 4" xfId="28904"/>
    <cellStyle name="Table  - Opmaakprofiel6 2 2 2 6 6 5" xfId="38606"/>
    <cellStyle name="Table  - Opmaakprofiel6 2 2 2 6 6 6" xfId="49892"/>
    <cellStyle name="Table  - Opmaakprofiel6 2 2 2 6 7" xfId="5951"/>
    <cellStyle name="Table  - Opmaakprofiel6 2 2 2 6 7 2" xfId="16853"/>
    <cellStyle name="Table  - Opmaakprofiel6 2 2 2 6 7 3" xfId="28905"/>
    <cellStyle name="Table  - Opmaakprofiel6 2 2 2 6 7 4" xfId="44718"/>
    <cellStyle name="Table  - Opmaakprofiel6 2 2 2 6 7 5" xfId="49893"/>
    <cellStyle name="Table  - Opmaakprofiel6 2 2 2 6 8" xfId="7615"/>
    <cellStyle name="Table  - Opmaakprofiel6 2 2 2 6 8 2" xfId="19913"/>
    <cellStyle name="Table  - Opmaakprofiel6 2 2 2 6 8 3" xfId="41716"/>
    <cellStyle name="Table  - Opmaakprofiel6 2 2 2 6 8 4" xfId="24919"/>
    <cellStyle name="Table  - Opmaakprofiel6 2 2 2 6 8 5" xfId="52585"/>
    <cellStyle name="Table  - Opmaakprofiel6 2 2 2 6 9" xfId="16847"/>
    <cellStyle name="Table  - Opmaakprofiel6 2 2 2 7" xfId="479"/>
    <cellStyle name="Table  - Opmaakprofiel6 2 2 2 7 2" xfId="2028"/>
    <cellStyle name="Table  - Opmaakprofiel6 2 2 2 7 2 2" xfId="10756"/>
    <cellStyle name="Table  - Opmaakprofiel6 2 2 2 7 2 2 2" xfId="23054"/>
    <cellStyle name="Table  - Opmaakprofiel6 2 2 2 7 2 2 3" xfId="35106"/>
    <cellStyle name="Table  - Opmaakprofiel6 2 2 2 7 2 2 4" xfId="42142"/>
    <cellStyle name="Table  - Opmaakprofiel6 2 2 2 7 2 2 5" xfId="55721"/>
    <cellStyle name="Table  - Opmaakprofiel6 2 2 2 7 2 3" xfId="16855"/>
    <cellStyle name="Table  - Opmaakprofiel6 2 2 2 7 2 4" xfId="28907"/>
    <cellStyle name="Table  - Opmaakprofiel6 2 2 2 7 2 5" xfId="44717"/>
    <cellStyle name="Table  - Opmaakprofiel6 2 2 2 7 2 6" xfId="49894"/>
    <cellStyle name="Table  - Opmaakprofiel6 2 2 2 7 3" xfId="2550"/>
    <cellStyle name="Table  - Opmaakprofiel6 2 2 2 7 3 2" xfId="10757"/>
    <cellStyle name="Table  - Opmaakprofiel6 2 2 2 7 3 2 2" xfId="23055"/>
    <cellStyle name="Table  - Opmaakprofiel6 2 2 2 7 3 2 3" xfId="35107"/>
    <cellStyle name="Table  - Opmaakprofiel6 2 2 2 7 3 2 4" xfId="29956"/>
    <cellStyle name="Table  - Opmaakprofiel6 2 2 2 7 3 2 5" xfId="55722"/>
    <cellStyle name="Table  - Opmaakprofiel6 2 2 2 7 3 3" xfId="16856"/>
    <cellStyle name="Table  - Opmaakprofiel6 2 2 2 7 3 4" xfId="28908"/>
    <cellStyle name="Table  - Opmaakprofiel6 2 2 2 7 3 5" xfId="38605"/>
    <cellStyle name="Table  - Opmaakprofiel6 2 2 2 7 3 6" xfId="49895"/>
    <cellStyle name="Table  - Opmaakprofiel6 2 2 2 7 4" xfId="3435"/>
    <cellStyle name="Table  - Opmaakprofiel6 2 2 2 7 4 2" xfId="10758"/>
    <cellStyle name="Table  - Opmaakprofiel6 2 2 2 7 4 2 2" xfId="23056"/>
    <cellStyle name="Table  - Opmaakprofiel6 2 2 2 7 4 2 3" xfId="35108"/>
    <cellStyle name="Table  - Opmaakprofiel6 2 2 2 7 4 2 4" xfId="42141"/>
    <cellStyle name="Table  - Opmaakprofiel6 2 2 2 7 4 2 5" xfId="55723"/>
    <cellStyle name="Table  - Opmaakprofiel6 2 2 2 7 4 3" xfId="16857"/>
    <cellStyle name="Table  - Opmaakprofiel6 2 2 2 7 4 4" xfId="28909"/>
    <cellStyle name="Table  - Opmaakprofiel6 2 2 2 7 4 5" xfId="44716"/>
    <cellStyle name="Table  - Opmaakprofiel6 2 2 2 7 4 6" xfId="49896"/>
    <cellStyle name="Table  - Opmaakprofiel6 2 2 2 7 5" xfId="5952"/>
    <cellStyle name="Table  - Opmaakprofiel6 2 2 2 7 5 2" xfId="10759"/>
    <cellStyle name="Table  - Opmaakprofiel6 2 2 2 7 5 2 2" xfId="23057"/>
    <cellStyle name="Table  - Opmaakprofiel6 2 2 2 7 5 2 3" xfId="35109"/>
    <cellStyle name="Table  - Opmaakprofiel6 2 2 2 7 5 2 4" xfId="31359"/>
    <cellStyle name="Table  - Opmaakprofiel6 2 2 2 7 5 2 5" xfId="55724"/>
    <cellStyle name="Table  - Opmaakprofiel6 2 2 2 7 5 3" xfId="16858"/>
    <cellStyle name="Table  - Opmaakprofiel6 2 2 2 7 5 4" xfId="28910"/>
    <cellStyle name="Table  - Opmaakprofiel6 2 2 2 7 5 5" xfId="38604"/>
    <cellStyle name="Table  - Opmaakprofiel6 2 2 2 7 5 6" xfId="49897"/>
    <cellStyle name="Table  - Opmaakprofiel6 2 2 2 7 6" xfId="5953"/>
    <cellStyle name="Table  - Opmaakprofiel6 2 2 2 7 6 2" xfId="10760"/>
    <cellStyle name="Table  - Opmaakprofiel6 2 2 2 7 6 2 2" xfId="23058"/>
    <cellStyle name="Table  - Opmaakprofiel6 2 2 2 7 6 2 3" xfId="35110"/>
    <cellStyle name="Table  - Opmaakprofiel6 2 2 2 7 6 2 4" xfId="42140"/>
    <cellStyle name="Table  - Opmaakprofiel6 2 2 2 7 6 2 5" xfId="55725"/>
    <cellStyle name="Table  - Opmaakprofiel6 2 2 2 7 6 3" xfId="16859"/>
    <cellStyle name="Table  - Opmaakprofiel6 2 2 2 7 6 4" xfId="28911"/>
    <cellStyle name="Table  - Opmaakprofiel6 2 2 2 7 6 5" xfId="44715"/>
    <cellStyle name="Table  - Opmaakprofiel6 2 2 2 7 6 6" xfId="49898"/>
    <cellStyle name="Table  - Opmaakprofiel6 2 2 2 7 7" xfId="5954"/>
    <cellStyle name="Table  - Opmaakprofiel6 2 2 2 7 7 2" xfId="16860"/>
    <cellStyle name="Table  - Opmaakprofiel6 2 2 2 7 7 3" xfId="28912"/>
    <cellStyle name="Table  - Opmaakprofiel6 2 2 2 7 7 4" xfId="38603"/>
    <cellStyle name="Table  - Opmaakprofiel6 2 2 2 7 7 5" xfId="49899"/>
    <cellStyle name="Table  - Opmaakprofiel6 2 2 2 7 8" xfId="7663"/>
    <cellStyle name="Table  - Opmaakprofiel6 2 2 2 7 8 2" xfId="19961"/>
    <cellStyle name="Table  - Opmaakprofiel6 2 2 2 7 8 3" xfId="41764"/>
    <cellStyle name="Table  - Opmaakprofiel6 2 2 2 7 8 4" xfId="43415"/>
    <cellStyle name="Table  - Opmaakprofiel6 2 2 2 7 8 5" xfId="52633"/>
    <cellStyle name="Table  - Opmaakprofiel6 2 2 2 7 9" xfId="16854"/>
    <cellStyle name="Table  - Opmaakprofiel6 2 2 2 8" xfId="1313"/>
    <cellStyle name="Table  - Opmaakprofiel6 2 2 2 8 2" xfId="1676"/>
    <cellStyle name="Table  - Opmaakprofiel6 2 2 2 8 2 2" xfId="10761"/>
    <cellStyle name="Table  - Opmaakprofiel6 2 2 2 8 2 2 2" xfId="23059"/>
    <cellStyle name="Table  - Opmaakprofiel6 2 2 2 8 2 2 3" xfId="35111"/>
    <cellStyle name="Table  - Opmaakprofiel6 2 2 2 8 2 2 4" xfId="29968"/>
    <cellStyle name="Table  - Opmaakprofiel6 2 2 2 8 2 2 5" xfId="55726"/>
    <cellStyle name="Table  - Opmaakprofiel6 2 2 2 8 2 3" xfId="16862"/>
    <cellStyle name="Table  - Opmaakprofiel6 2 2 2 8 2 4" xfId="28914"/>
    <cellStyle name="Table  - Opmaakprofiel6 2 2 2 8 2 5" xfId="38602"/>
    <cellStyle name="Table  - Opmaakprofiel6 2 2 2 8 2 6" xfId="49900"/>
    <cellStyle name="Table  - Opmaakprofiel6 2 2 2 8 3" xfId="3324"/>
    <cellStyle name="Table  - Opmaakprofiel6 2 2 2 8 3 2" xfId="10762"/>
    <cellStyle name="Table  - Opmaakprofiel6 2 2 2 8 3 2 2" xfId="23060"/>
    <cellStyle name="Table  - Opmaakprofiel6 2 2 2 8 3 2 3" xfId="35112"/>
    <cellStyle name="Table  - Opmaakprofiel6 2 2 2 8 3 2 4" xfId="29969"/>
    <cellStyle name="Table  - Opmaakprofiel6 2 2 2 8 3 2 5" xfId="55727"/>
    <cellStyle name="Table  - Opmaakprofiel6 2 2 2 8 3 3" xfId="16863"/>
    <cellStyle name="Table  - Opmaakprofiel6 2 2 2 8 3 4" xfId="28915"/>
    <cellStyle name="Table  - Opmaakprofiel6 2 2 2 8 3 5" xfId="38601"/>
    <cellStyle name="Table  - Opmaakprofiel6 2 2 2 8 3 6" xfId="49901"/>
    <cellStyle name="Table  - Opmaakprofiel6 2 2 2 8 4" xfId="4105"/>
    <cellStyle name="Table  - Opmaakprofiel6 2 2 2 8 4 2" xfId="10763"/>
    <cellStyle name="Table  - Opmaakprofiel6 2 2 2 8 4 2 2" xfId="23061"/>
    <cellStyle name="Table  - Opmaakprofiel6 2 2 2 8 4 2 3" xfId="35113"/>
    <cellStyle name="Table  - Opmaakprofiel6 2 2 2 8 4 2 4" xfId="29970"/>
    <cellStyle name="Table  - Opmaakprofiel6 2 2 2 8 4 2 5" xfId="55728"/>
    <cellStyle name="Table  - Opmaakprofiel6 2 2 2 8 4 3" xfId="16864"/>
    <cellStyle name="Table  - Opmaakprofiel6 2 2 2 8 4 4" xfId="28916"/>
    <cellStyle name="Table  - Opmaakprofiel6 2 2 2 8 4 5" xfId="38600"/>
    <cellStyle name="Table  - Opmaakprofiel6 2 2 2 8 4 6" xfId="49902"/>
    <cellStyle name="Table  - Opmaakprofiel6 2 2 2 8 5" xfId="5955"/>
    <cellStyle name="Table  - Opmaakprofiel6 2 2 2 8 5 2" xfId="10764"/>
    <cellStyle name="Table  - Opmaakprofiel6 2 2 2 8 5 2 2" xfId="23062"/>
    <cellStyle name="Table  - Opmaakprofiel6 2 2 2 8 5 2 3" xfId="35114"/>
    <cellStyle name="Table  - Opmaakprofiel6 2 2 2 8 5 2 4" xfId="42139"/>
    <cellStyle name="Table  - Opmaakprofiel6 2 2 2 8 5 2 5" xfId="55729"/>
    <cellStyle name="Table  - Opmaakprofiel6 2 2 2 8 5 3" xfId="16865"/>
    <cellStyle name="Table  - Opmaakprofiel6 2 2 2 8 5 4" xfId="28917"/>
    <cellStyle name="Table  - Opmaakprofiel6 2 2 2 8 5 5" xfId="44713"/>
    <cellStyle name="Table  - Opmaakprofiel6 2 2 2 8 5 6" xfId="49903"/>
    <cellStyle name="Table  - Opmaakprofiel6 2 2 2 8 6" xfId="5956"/>
    <cellStyle name="Table  - Opmaakprofiel6 2 2 2 8 6 2" xfId="10765"/>
    <cellStyle name="Table  - Opmaakprofiel6 2 2 2 8 6 2 2" xfId="23063"/>
    <cellStyle name="Table  - Opmaakprofiel6 2 2 2 8 6 2 3" xfId="35115"/>
    <cellStyle name="Table  - Opmaakprofiel6 2 2 2 8 6 2 4" xfId="29971"/>
    <cellStyle name="Table  - Opmaakprofiel6 2 2 2 8 6 2 5" xfId="55730"/>
    <cellStyle name="Table  - Opmaakprofiel6 2 2 2 8 6 3" xfId="16866"/>
    <cellStyle name="Table  - Opmaakprofiel6 2 2 2 8 6 4" xfId="28918"/>
    <cellStyle name="Table  - Opmaakprofiel6 2 2 2 8 6 5" xfId="38599"/>
    <cellStyle name="Table  - Opmaakprofiel6 2 2 2 8 6 6" xfId="49904"/>
    <cellStyle name="Table  - Opmaakprofiel6 2 2 2 8 7" xfId="5957"/>
    <cellStyle name="Table  - Opmaakprofiel6 2 2 2 8 7 2" xfId="16867"/>
    <cellStyle name="Table  - Opmaakprofiel6 2 2 2 8 7 3" xfId="28919"/>
    <cellStyle name="Table  - Opmaakprofiel6 2 2 2 8 7 4" xfId="44712"/>
    <cellStyle name="Table  - Opmaakprofiel6 2 2 2 8 7 5" xfId="49905"/>
    <cellStyle name="Table  - Opmaakprofiel6 2 2 2 8 8" xfId="7064"/>
    <cellStyle name="Table  - Opmaakprofiel6 2 2 2 8 8 2" xfId="19362"/>
    <cellStyle name="Table  - Opmaakprofiel6 2 2 2 8 8 3" xfId="41165"/>
    <cellStyle name="Table  - Opmaakprofiel6 2 2 2 8 8 4" xfId="43665"/>
    <cellStyle name="Table  - Opmaakprofiel6 2 2 2 8 8 5" xfId="52035"/>
    <cellStyle name="Table  - Opmaakprofiel6 2 2 2 8 9" xfId="16861"/>
    <cellStyle name="Table  - Opmaakprofiel6 2 2 2 9" xfId="1369"/>
    <cellStyle name="Table  - Opmaakprofiel6 2 2 2 9 2" xfId="1400"/>
    <cellStyle name="Table  - Opmaakprofiel6 2 2 2 9 2 2" xfId="10766"/>
    <cellStyle name="Table  - Opmaakprofiel6 2 2 2 9 2 2 2" xfId="23064"/>
    <cellStyle name="Table  - Opmaakprofiel6 2 2 2 9 2 2 3" xfId="35116"/>
    <cellStyle name="Table  - Opmaakprofiel6 2 2 2 9 2 2 4" xfId="42138"/>
    <cellStyle name="Table  - Opmaakprofiel6 2 2 2 9 2 2 5" xfId="55731"/>
    <cellStyle name="Table  - Opmaakprofiel6 2 2 2 9 2 3" xfId="16869"/>
    <cellStyle name="Table  - Opmaakprofiel6 2 2 2 9 2 4" xfId="28921"/>
    <cellStyle name="Table  - Opmaakprofiel6 2 2 2 9 2 5" xfId="38597"/>
    <cellStyle name="Table  - Opmaakprofiel6 2 2 2 9 2 6" xfId="49906"/>
    <cellStyle name="Table  - Opmaakprofiel6 2 2 2 9 3" xfId="3380"/>
    <cellStyle name="Table  - Opmaakprofiel6 2 2 2 9 3 2" xfId="10767"/>
    <cellStyle name="Table  - Opmaakprofiel6 2 2 2 9 3 2 2" xfId="23065"/>
    <cellStyle name="Table  - Opmaakprofiel6 2 2 2 9 3 2 3" xfId="35117"/>
    <cellStyle name="Table  - Opmaakprofiel6 2 2 2 9 3 2 4" xfId="29972"/>
    <cellStyle name="Table  - Opmaakprofiel6 2 2 2 9 3 2 5" xfId="55732"/>
    <cellStyle name="Table  - Opmaakprofiel6 2 2 2 9 3 3" xfId="16870"/>
    <cellStyle name="Table  - Opmaakprofiel6 2 2 2 9 3 4" xfId="28922"/>
    <cellStyle name="Table  - Opmaakprofiel6 2 2 2 9 3 5" xfId="44711"/>
    <cellStyle name="Table  - Opmaakprofiel6 2 2 2 9 3 6" xfId="49907"/>
    <cellStyle name="Table  - Opmaakprofiel6 2 2 2 9 4" xfId="4141"/>
    <cellStyle name="Table  - Opmaakprofiel6 2 2 2 9 4 2" xfId="10768"/>
    <cellStyle name="Table  - Opmaakprofiel6 2 2 2 9 4 2 2" xfId="23066"/>
    <cellStyle name="Table  - Opmaakprofiel6 2 2 2 9 4 2 3" xfId="35118"/>
    <cellStyle name="Table  - Opmaakprofiel6 2 2 2 9 4 2 4" xfId="29973"/>
    <cellStyle name="Table  - Opmaakprofiel6 2 2 2 9 4 2 5" xfId="55733"/>
    <cellStyle name="Table  - Opmaakprofiel6 2 2 2 9 4 3" xfId="16871"/>
    <cellStyle name="Table  - Opmaakprofiel6 2 2 2 9 4 4" xfId="28923"/>
    <cellStyle name="Table  - Opmaakprofiel6 2 2 2 9 4 5" xfId="38596"/>
    <cellStyle name="Table  - Opmaakprofiel6 2 2 2 9 4 6" xfId="49908"/>
    <cellStyle name="Table  - Opmaakprofiel6 2 2 2 9 5" xfId="5958"/>
    <cellStyle name="Table  - Opmaakprofiel6 2 2 2 9 5 2" xfId="10769"/>
    <cellStyle name="Table  - Opmaakprofiel6 2 2 2 9 5 2 2" xfId="23067"/>
    <cellStyle name="Table  - Opmaakprofiel6 2 2 2 9 5 2 3" xfId="35119"/>
    <cellStyle name="Table  - Opmaakprofiel6 2 2 2 9 5 2 4" xfId="42137"/>
    <cellStyle name="Table  - Opmaakprofiel6 2 2 2 9 5 2 5" xfId="55734"/>
    <cellStyle name="Table  - Opmaakprofiel6 2 2 2 9 5 3" xfId="16872"/>
    <cellStyle name="Table  - Opmaakprofiel6 2 2 2 9 5 4" xfId="28924"/>
    <cellStyle name="Table  - Opmaakprofiel6 2 2 2 9 5 5" xfId="44710"/>
    <cellStyle name="Table  - Opmaakprofiel6 2 2 2 9 5 6" xfId="49909"/>
    <cellStyle name="Table  - Opmaakprofiel6 2 2 2 9 6" xfId="5959"/>
    <cellStyle name="Table  - Opmaakprofiel6 2 2 2 9 6 2" xfId="10770"/>
    <cellStyle name="Table  - Opmaakprofiel6 2 2 2 9 6 2 2" xfId="23068"/>
    <cellStyle name="Table  - Opmaakprofiel6 2 2 2 9 6 2 3" xfId="35120"/>
    <cellStyle name="Table  - Opmaakprofiel6 2 2 2 9 6 2 4" xfId="29974"/>
    <cellStyle name="Table  - Opmaakprofiel6 2 2 2 9 6 2 5" xfId="55735"/>
    <cellStyle name="Table  - Opmaakprofiel6 2 2 2 9 6 3" xfId="16873"/>
    <cellStyle name="Table  - Opmaakprofiel6 2 2 2 9 6 4" xfId="28925"/>
    <cellStyle name="Table  - Opmaakprofiel6 2 2 2 9 6 5" xfId="38595"/>
    <cellStyle name="Table  - Opmaakprofiel6 2 2 2 9 6 6" xfId="49910"/>
    <cellStyle name="Table  - Opmaakprofiel6 2 2 2 9 7" xfId="5960"/>
    <cellStyle name="Table  - Opmaakprofiel6 2 2 2 9 7 2" xfId="16874"/>
    <cellStyle name="Table  - Opmaakprofiel6 2 2 2 9 7 3" xfId="28926"/>
    <cellStyle name="Table  - Opmaakprofiel6 2 2 2 9 7 4" xfId="44709"/>
    <cellStyle name="Table  - Opmaakprofiel6 2 2 2 9 7 5" xfId="49911"/>
    <cellStyle name="Table  - Opmaakprofiel6 2 2 2 9 8" xfId="7016"/>
    <cellStyle name="Table  - Opmaakprofiel6 2 2 2 9 8 2" xfId="19314"/>
    <cellStyle name="Table  - Opmaakprofiel6 2 2 2 9 8 3" xfId="41117"/>
    <cellStyle name="Table  - Opmaakprofiel6 2 2 2 9 8 4" xfId="37025"/>
    <cellStyle name="Table  - Opmaakprofiel6 2 2 2 9 8 5" xfId="51987"/>
    <cellStyle name="Table  - Opmaakprofiel6 2 2 2 9 9" xfId="16868"/>
    <cellStyle name="Table  - Opmaakprofiel6 2 2 3" xfId="551"/>
    <cellStyle name="Table  - Opmaakprofiel6 2 2 3 2" xfId="1640"/>
    <cellStyle name="Table  - Opmaakprofiel6 2 2 3 2 2" xfId="10771"/>
    <cellStyle name="Table  - Opmaakprofiel6 2 2 3 2 2 2" xfId="23069"/>
    <cellStyle name="Table  - Opmaakprofiel6 2 2 3 2 2 3" xfId="35121"/>
    <cellStyle name="Table  - Opmaakprofiel6 2 2 3 2 2 4" xfId="42136"/>
    <cellStyle name="Table  - Opmaakprofiel6 2 2 3 2 2 5" xfId="55736"/>
    <cellStyle name="Table  - Opmaakprofiel6 2 2 3 2 3" xfId="16876"/>
    <cellStyle name="Table  - Opmaakprofiel6 2 2 3 2 4" xfId="28928"/>
    <cellStyle name="Table  - Opmaakprofiel6 2 2 3 2 5" xfId="38593"/>
    <cellStyle name="Table  - Opmaakprofiel6 2 2 3 2 6" xfId="49912"/>
    <cellStyle name="Table  - Opmaakprofiel6 2 2 3 3" xfId="2622"/>
    <cellStyle name="Table  - Opmaakprofiel6 2 2 3 3 2" xfId="10772"/>
    <cellStyle name="Table  - Opmaakprofiel6 2 2 3 3 2 2" xfId="23070"/>
    <cellStyle name="Table  - Opmaakprofiel6 2 2 3 3 2 3" xfId="35122"/>
    <cellStyle name="Table  - Opmaakprofiel6 2 2 3 3 2 4" xfId="32139"/>
    <cellStyle name="Table  - Opmaakprofiel6 2 2 3 3 2 5" xfId="55737"/>
    <cellStyle name="Table  - Opmaakprofiel6 2 2 3 3 3" xfId="16877"/>
    <cellStyle name="Table  - Opmaakprofiel6 2 2 3 3 4" xfId="28929"/>
    <cellStyle name="Table  - Opmaakprofiel6 2 2 3 3 5" xfId="44708"/>
    <cellStyle name="Table  - Opmaakprofiel6 2 2 3 3 6" xfId="49913"/>
    <cellStyle name="Table  - Opmaakprofiel6 2 2 3 4" xfId="3500"/>
    <cellStyle name="Table  - Opmaakprofiel6 2 2 3 4 2" xfId="10773"/>
    <cellStyle name="Table  - Opmaakprofiel6 2 2 3 4 2 2" xfId="23071"/>
    <cellStyle name="Table  - Opmaakprofiel6 2 2 3 4 2 3" xfId="35123"/>
    <cellStyle name="Table  - Opmaakprofiel6 2 2 3 4 2 4" xfId="42135"/>
    <cellStyle name="Table  - Opmaakprofiel6 2 2 3 4 2 5" xfId="55738"/>
    <cellStyle name="Table  - Opmaakprofiel6 2 2 3 4 3" xfId="16878"/>
    <cellStyle name="Table  - Opmaakprofiel6 2 2 3 4 4" xfId="28930"/>
    <cellStyle name="Table  - Opmaakprofiel6 2 2 3 4 5" xfId="38592"/>
    <cellStyle name="Table  - Opmaakprofiel6 2 2 3 4 6" xfId="49914"/>
    <cellStyle name="Table  - Opmaakprofiel6 2 2 3 5" xfId="5961"/>
    <cellStyle name="Table  - Opmaakprofiel6 2 2 3 5 2" xfId="10774"/>
    <cellStyle name="Table  - Opmaakprofiel6 2 2 3 5 2 2" xfId="23072"/>
    <cellStyle name="Table  - Opmaakprofiel6 2 2 3 5 2 3" xfId="35124"/>
    <cellStyle name="Table  - Opmaakprofiel6 2 2 3 5 2 4" xfId="29975"/>
    <cellStyle name="Table  - Opmaakprofiel6 2 2 3 5 2 5" xfId="55739"/>
    <cellStyle name="Table  - Opmaakprofiel6 2 2 3 5 3" xfId="16879"/>
    <cellStyle name="Table  - Opmaakprofiel6 2 2 3 5 4" xfId="28931"/>
    <cellStyle name="Table  - Opmaakprofiel6 2 2 3 5 5" xfId="44707"/>
    <cellStyle name="Table  - Opmaakprofiel6 2 2 3 5 6" xfId="49915"/>
    <cellStyle name="Table  - Opmaakprofiel6 2 2 3 6" xfId="5962"/>
    <cellStyle name="Table  - Opmaakprofiel6 2 2 3 6 2" xfId="10775"/>
    <cellStyle name="Table  - Opmaakprofiel6 2 2 3 6 2 2" xfId="23073"/>
    <cellStyle name="Table  - Opmaakprofiel6 2 2 3 6 2 3" xfId="35125"/>
    <cellStyle name="Table  - Opmaakprofiel6 2 2 3 6 2 4" xfId="29976"/>
    <cellStyle name="Table  - Opmaakprofiel6 2 2 3 6 2 5" xfId="55740"/>
    <cellStyle name="Table  - Opmaakprofiel6 2 2 3 6 3" xfId="16880"/>
    <cellStyle name="Table  - Opmaakprofiel6 2 2 3 6 4" xfId="28932"/>
    <cellStyle name="Table  - Opmaakprofiel6 2 2 3 6 5" xfId="38591"/>
    <cellStyle name="Table  - Opmaakprofiel6 2 2 3 6 6" xfId="49916"/>
    <cellStyle name="Table  - Opmaakprofiel6 2 2 3 7" xfId="5963"/>
    <cellStyle name="Table  - Opmaakprofiel6 2 2 3 7 2" xfId="16881"/>
    <cellStyle name="Table  - Opmaakprofiel6 2 2 3 7 3" xfId="28933"/>
    <cellStyle name="Table  - Opmaakprofiel6 2 2 3 7 4" xfId="44706"/>
    <cellStyle name="Table  - Opmaakprofiel6 2 2 3 7 5" xfId="49917"/>
    <cellStyle name="Table  - Opmaakprofiel6 2 2 3 8" xfId="7614"/>
    <cellStyle name="Table  - Opmaakprofiel6 2 2 3 8 2" xfId="19912"/>
    <cellStyle name="Table  - Opmaakprofiel6 2 2 3 8 3" xfId="41715"/>
    <cellStyle name="Table  - Opmaakprofiel6 2 2 3 8 4" xfId="43435"/>
    <cellStyle name="Table  - Opmaakprofiel6 2 2 3 8 5" xfId="52584"/>
    <cellStyle name="Table  - Opmaakprofiel6 2 2 3 9" xfId="16875"/>
    <cellStyle name="Table  - Opmaakprofiel6 2 2 4" xfId="474"/>
    <cellStyle name="Table  - Opmaakprofiel6 2 2 4 2" xfId="2324"/>
    <cellStyle name="Table  - Opmaakprofiel6 2 2 4 2 2" xfId="10776"/>
    <cellStyle name="Table  - Opmaakprofiel6 2 2 4 2 2 2" xfId="23074"/>
    <cellStyle name="Table  - Opmaakprofiel6 2 2 4 2 2 3" xfId="35126"/>
    <cellStyle name="Table  - Opmaakprofiel6 2 2 4 2 2 4" xfId="42134"/>
    <cellStyle name="Table  - Opmaakprofiel6 2 2 4 2 2 5" xfId="55741"/>
    <cellStyle name="Table  - Opmaakprofiel6 2 2 4 2 3" xfId="16883"/>
    <cellStyle name="Table  - Opmaakprofiel6 2 2 4 2 4" xfId="28935"/>
    <cellStyle name="Table  - Opmaakprofiel6 2 2 4 2 5" xfId="44705"/>
    <cellStyle name="Table  - Opmaakprofiel6 2 2 4 2 6" xfId="49918"/>
    <cellStyle name="Table  - Opmaakprofiel6 2 2 4 3" xfId="2545"/>
    <cellStyle name="Table  - Opmaakprofiel6 2 2 4 3 2" xfId="10777"/>
    <cellStyle name="Table  - Opmaakprofiel6 2 2 4 3 2 2" xfId="23075"/>
    <cellStyle name="Table  - Opmaakprofiel6 2 2 4 3 2 3" xfId="35127"/>
    <cellStyle name="Table  - Opmaakprofiel6 2 2 4 3 2 4" xfId="31846"/>
    <cellStyle name="Table  - Opmaakprofiel6 2 2 4 3 2 5" xfId="55742"/>
    <cellStyle name="Table  - Opmaakprofiel6 2 2 4 3 3" xfId="16884"/>
    <cellStyle name="Table  - Opmaakprofiel6 2 2 4 3 4" xfId="28936"/>
    <cellStyle name="Table  - Opmaakprofiel6 2 2 4 3 5" xfId="38590"/>
    <cellStyle name="Table  - Opmaakprofiel6 2 2 4 3 6" xfId="49919"/>
    <cellStyle name="Table  - Opmaakprofiel6 2 2 4 4" xfId="3431"/>
    <cellStyle name="Table  - Opmaakprofiel6 2 2 4 4 2" xfId="10778"/>
    <cellStyle name="Table  - Opmaakprofiel6 2 2 4 4 2 2" xfId="23076"/>
    <cellStyle name="Table  - Opmaakprofiel6 2 2 4 4 2 3" xfId="35128"/>
    <cellStyle name="Table  - Opmaakprofiel6 2 2 4 4 2 4" xfId="42133"/>
    <cellStyle name="Table  - Opmaakprofiel6 2 2 4 4 2 5" xfId="55743"/>
    <cellStyle name="Table  - Opmaakprofiel6 2 2 4 4 3" xfId="16885"/>
    <cellStyle name="Table  - Opmaakprofiel6 2 2 4 4 4" xfId="28937"/>
    <cellStyle name="Table  - Opmaakprofiel6 2 2 4 4 5" xfId="44704"/>
    <cellStyle name="Table  - Opmaakprofiel6 2 2 4 4 6" xfId="49920"/>
    <cellStyle name="Table  - Opmaakprofiel6 2 2 4 5" xfId="5964"/>
    <cellStyle name="Table  - Opmaakprofiel6 2 2 4 5 2" xfId="10779"/>
    <cellStyle name="Table  - Opmaakprofiel6 2 2 4 5 2 2" xfId="23077"/>
    <cellStyle name="Table  - Opmaakprofiel6 2 2 4 5 2 3" xfId="35129"/>
    <cellStyle name="Table  - Opmaakprofiel6 2 2 4 5 2 4" xfId="29980"/>
    <cellStyle name="Table  - Opmaakprofiel6 2 2 4 5 2 5" xfId="55744"/>
    <cellStyle name="Table  - Opmaakprofiel6 2 2 4 5 3" xfId="16886"/>
    <cellStyle name="Table  - Opmaakprofiel6 2 2 4 5 4" xfId="28938"/>
    <cellStyle name="Table  - Opmaakprofiel6 2 2 4 5 5" xfId="38589"/>
    <cellStyle name="Table  - Opmaakprofiel6 2 2 4 5 6" xfId="49921"/>
    <cellStyle name="Table  - Opmaakprofiel6 2 2 4 6" xfId="5965"/>
    <cellStyle name="Table  - Opmaakprofiel6 2 2 4 6 2" xfId="10780"/>
    <cellStyle name="Table  - Opmaakprofiel6 2 2 4 6 2 2" xfId="23078"/>
    <cellStyle name="Table  - Opmaakprofiel6 2 2 4 6 2 3" xfId="35130"/>
    <cellStyle name="Table  - Opmaakprofiel6 2 2 4 6 2 4" xfId="42132"/>
    <cellStyle name="Table  - Opmaakprofiel6 2 2 4 6 2 5" xfId="55745"/>
    <cellStyle name="Table  - Opmaakprofiel6 2 2 4 6 3" xfId="16887"/>
    <cellStyle name="Table  - Opmaakprofiel6 2 2 4 6 4" xfId="28939"/>
    <cellStyle name="Table  - Opmaakprofiel6 2 2 4 6 5" xfId="38588"/>
    <cellStyle name="Table  - Opmaakprofiel6 2 2 4 6 6" xfId="49922"/>
    <cellStyle name="Table  - Opmaakprofiel6 2 2 4 7" xfId="5966"/>
    <cellStyle name="Table  - Opmaakprofiel6 2 2 4 7 2" xfId="16888"/>
    <cellStyle name="Table  - Opmaakprofiel6 2 2 4 7 3" xfId="28940"/>
    <cellStyle name="Table  - Opmaakprofiel6 2 2 4 7 4" xfId="38587"/>
    <cellStyle name="Table  - Opmaakprofiel6 2 2 4 7 5" xfId="49923"/>
    <cellStyle name="Table  - Opmaakprofiel6 2 2 4 8" xfId="10357"/>
    <cellStyle name="Table  - Opmaakprofiel6 2 2 4 8 2" xfId="22655"/>
    <cellStyle name="Table  - Opmaakprofiel6 2 2 4 8 3" xfId="44415"/>
    <cellStyle name="Table  - Opmaakprofiel6 2 2 4 8 4" xfId="29134"/>
    <cellStyle name="Table  - Opmaakprofiel6 2 2 4 8 5" xfId="55322"/>
    <cellStyle name="Table  - Opmaakprofiel6 2 2 4 9" xfId="16882"/>
    <cellStyle name="Table  - Opmaakprofiel6 2 2 5" xfId="526"/>
    <cellStyle name="Table  - Opmaakprofiel6 2 2 5 2" xfId="1662"/>
    <cellStyle name="Table  - Opmaakprofiel6 2 2 5 2 2" xfId="10781"/>
    <cellStyle name="Table  - Opmaakprofiel6 2 2 5 2 2 2" xfId="23079"/>
    <cellStyle name="Table  - Opmaakprofiel6 2 2 5 2 2 3" xfId="35131"/>
    <cellStyle name="Table  - Opmaakprofiel6 2 2 5 2 2 4" xfId="31731"/>
    <cellStyle name="Table  - Opmaakprofiel6 2 2 5 2 2 5" xfId="55746"/>
    <cellStyle name="Table  - Opmaakprofiel6 2 2 5 2 3" xfId="16890"/>
    <cellStyle name="Table  - Opmaakprofiel6 2 2 5 2 4" xfId="28942"/>
    <cellStyle name="Table  - Opmaakprofiel6 2 2 5 2 5" xfId="38586"/>
    <cellStyle name="Table  - Opmaakprofiel6 2 2 5 2 6" xfId="49924"/>
    <cellStyle name="Table  - Opmaakprofiel6 2 2 5 3" xfId="2597"/>
    <cellStyle name="Table  - Opmaakprofiel6 2 2 5 3 2" xfId="10782"/>
    <cellStyle name="Table  - Opmaakprofiel6 2 2 5 3 2 2" xfId="23080"/>
    <cellStyle name="Table  - Opmaakprofiel6 2 2 5 3 2 3" xfId="35132"/>
    <cellStyle name="Table  - Opmaakprofiel6 2 2 5 3 2 4" xfId="42131"/>
    <cellStyle name="Table  - Opmaakprofiel6 2 2 5 3 2 5" xfId="55747"/>
    <cellStyle name="Table  - Opmaakprofiel6 2 2 5 3 3" xfId="16891"/>
    <cellStyle name="Table  - Opmaakprofiel6 2 2 5 3 4" xfId="28943"/>
    <cellStyle name="Table  - Opmaakprofiel6 2 2 5 3 5" xfId="44702"/>
    <cellStyle name="Table  - Opmaakprofiel6 2 2 5 3 6" xfId="49925"/>
    <cellStyle name="Table  - Opmaakprofiel6 2 2 5 4" xfId="3478"/>
    <cellStyle name="Table  - Opmaakprofiel6 2 2 5 4 2" xfId="10783"/>
    <cellStyle name="Table  - Opmaakprofiel6 2 2 5 4 2 2" xfId="23081"/>
    <cellStyle name="Table  - Opmaakprofiel6 2 2 5 4 2 3" xfId="35133"/>
    <cellStyle name="Table  - Opmaakprofiel6 2 2 5 4 2 4" xfId="29987"/>
    <cellStyle name="Table  - Opmaakprofiel6 2 2 5 4 2 5" xfId="55748"/>
    <cellStyle name="Table  - Opmaakprofiel6 2 2 5 4 3" xfId="16892"/>
    <cellStyle name="Table  - Opmaakprofiel6 2 2 5 4 4" xfId="28944"/>
    <cellStyle name="Table  - Opmaakprofiel6 2 2 5 4 5" xfId="38585"/>
    <cellStyle name="Table  - Opmaakprofiel6 2 2 5 4 6" xfId="49926"/>
    <cellStyle name="Table  - Opmaakprofiel6 2 2 5 5" xfId="5967"/>
    <cellStyle name="Table  - Opmaakprofiel6 2 2 5 5 2" xfId="10784"/>
    <cellStyle name="Table  - Opmaakprofiel6 2 2 5 5 2 2" xfId="23082"/>
    <cellStyle name="Table  - Opmaakprofiel6 2 2 5 5 2 3" xfId="35134"/>
    <cellStyle name="Table  - Opmaakprofiel6 2 2 5 5 2 4" xfId="42130"/>
    <cellStyle name="Table  - Opmaakprofiel6 2 2 5 5 2 5" xfId="55749"/>
    <cellStyle name="Table  - Opmaakprofiel6 2 2 5 5 3" xfId="16893"/>
    <cellStyle name="Table  - Opmaakprofiel6 2 2 5 5 4" xfId="28945"/>
    <cellStyle name="Table  - Opmaakprofiel6 2 2 5 5 5" xfId="44701"/>
    <cellStyle name="Table  - Opmaakprofiel6 2 2 5 5 6" xfId="49927"/>
    <cellStyle name="Table  - Opmaakprofiel6 2 2 5 6" xfId="5968"/>
    <cellStyle name="Table  - Opmaakprofiel6 2 2 5 6 2" xfId="10785"/>
    <cellStyle name="Table  - Opmaakprofiel6 2 2 5 6 2 2" xfId="23083"/>
    <cellStyle name="Table  - Opmaakprofiel6 2 2 5 6 2 3" xfId="35135"/>
    <cellStyle name="Table  - Opmaakprofiel6 2 2 5 6 2 4" xfId="34356"/>
    <cellStyle name="Table  - Opmaakprofiel6 2 2 5 6 2 5" xfId="55750"/>
    <cellStyle name="Table  - Opmaakprofiel6 2 2 5 6 3" xfId="16894"/>
    <cellStyle name="Table  - Opmaakprofiel6 2 2 5 6 4" xfId="28946"/>
    <cellStyle name="Table  - Opmaakprofiel6 2 2 5 6 5" xfId="38584"/>
    <cellStyle name="Table  - Opmaakprofiel6 2 2 5 6 6" xfId="49928"/>
    <cellStyle name="Table  - Opmaakprofiel6 2 2 5 7" xfId="5969"/>
    <cellStyle name="Table  - Opmaakprofiel6 2 2 5 7 2" xfId="16895"/>
    <cellStyle name="Table  - Opmaakprofiel6 2 2 5 7 3" xfId="28947"/>
    <cellStyle name="Table  - Opmaakprofiel6 2 2 5 7 4" xfId="44700"/>
    <cellStyle name="Table  - Opmaakprofiel6 2 2 5 7 5" xfId="49929"/>
    <cellStyle name="Table  - Opmaakprofiel6 2 2 5 8" xfId="7632"/>
    <cellStyle name="Table  - Opmaakprofiel6 2 2 5 8 2" xfId="19930"/>
    <cellStyle name="Table  - Opmaakprofiel6 2 2 5 8 3" xfId="41733"/>
    <cellStyle name="Table  - Opmaakprofiel6 2 2 5 8 4" xfId="43428"/>
    <cellStyle name="Table  - Opmaakprofiel6 2 2 5 8 5" xfId="52602"/>
    <cellStyle name="Table  - Opmaakprofiel6 2 2 5 9" xfId="16889"/>
    <cellStyle name="Table  - Opmaakprofiel6 2 2 6" xfId="676"/>
    <cellStyle name="Table  - Opmaakprofiel6 2 2 6 2" xfId="2439"/>
    <cellStyle name="Table  - Opmaakprofiel6 2 2 6 2 2" xfId="10786"/>
    <cellStyle name="Table  - Opmaakprofiel6 2 2 6 2 2 2" xfId="23084"/>
    <cellStyle name="Table  - Opmaakprofiel6 2 2 6 2 2 3" xfId="35136"/>
    <cellStyle name="Table  - Opmaakprofiel6 2 2 6 2 2 4" xfId="29994"/>
    <cellStyle name="Table  - Opmaakprofiel6 2 2 6 2 2 5" xfId="55751"/>
    <cellStyle name="Table  - Opmaakprofiel6 2 2 6 2 3" xfId="16897"/>
    <cellStyle name="Table  - Opmaakprofiel6 2 2 6 2 4" xfId="28949"/>
    <cellStyle name="Table  - Opmaakprofiel6 2 2 6 2 5" xfId="44699"/>
    <cellStyle name="Table  - Opmaakprofiel6 2 2 6 2 6" xfId="49930"/>
    <cellStyle name="Table  - Opmaakprofiel6 2 2 6 3" xfId="2742"/>
    <cellStyle name="Table  - Opmaakprofiel6 2 2 6 3 2" xfId="10787"/>
    <cellStyle name="Table  - Opmaakprofiel6 2 2 6 3 2 2" xfId="23085"/>
    <cellStyle name="Table  - Opmaakprofiel6 2 2 6 3 2 3" xfId="35137"/>
    <cellStyle name="Table  - Opmaakprofiel6 2 2 6 3 2 4" xfId="31744"/>
    <cellStyle name="Table  - Opmaakprofiel6 2 2 6 3 2 5" xfId="55752"/>
    <cellStyle name="Table  - Opmaakprofiel6 2 2 6 3 3" xfId="16898"/>
    <cellStyle name="Table  - Opmaakprofiel6 2 2 6 3 4" xfId="28950"/>
    <cellStyle name="Table  - Opmaakprofiel6 2 2 6 3 5" xfId="38582"/>
    <cellStyle name="Table  - Opmaakprofiel6 2 2 6 3 6" xfId="49931"/>
    <cellStyle name="Table  - Opmaakprofiel6 2 2 6 4" xfId="3608"/>
    <cellStyle name="Table  - Opmaakprofiel6 2 2 6 4 2" xfId="10788"/>
    <cellStyle name="Table  - Opmaakprofiel6 2 2 6 4 2 2" xfId="23086"/>
    <cellStyle name="Table  - Opmaakprofiel6 2 2 6 4 2 3" xfId="35138"/>
    <cellStyle name="Table  - Opmaakprofiel6 2 2 6 4 2 4" xfId="42129"/>
    <cellStyle name="Table  - Opmaakprofiel6 2 2 6 4 2 5" xfId="55753"/>
    <cellStyle name="Table  - Opmaakprofiel6 2 2 6 4 3" xfId="16899"/>
    <cellStyle name="Table  - Opmaakprofiel6 2 2 6 4 4" xfId="28951"/>
    <cellStyle name="Table  - Opmaakprofiel6 2 2 6 4 5" xfId="38581"/>
    <cellStyle name="Table  - Opmaakprofiel6 2 2 6 4 6" xfId="49932"/>
    <cellStyle name="Table  - Opmaakprofiel6 2 2 6 5" xfId="5970"/>
    <cellStyle name="Table  - Opmaakprofiel6 2 2 6 5 2" xfId="10789"/>
    <cellStyle name="Table  - Opmaakprofiel6 2 2 6 5 2 2" xfId="23087"/>
    <cellStyle name="Table  - Opmaakprofiel6 2 2 6 5 2 3" xfId="35139"/>
    <cellStyle name="Table  - Opmaakprofiel6 2 2 6 5 2 4" xfId="30001"/>
    <cellStyle name="Table  - Opmaakprofiel6 2 2 6 5 2 5" xfId="55754"/>
    <cellStyle name="Table  - Opmaakprofiel6 2 2 6 5 3" xfId="16900"/>
    <cellStyle name="Table  - Opmaakprofiel6 2 2 6 5 4" xfId="28952"/>
    <cellStyle name="Table  - Opmaakprofiel6 2 2 6 5 5" xfId="38580"/>
    <cellStyle name="Table  - Opmaakprofiel6 2 2 6 5 6" xfId="49933"/>
    <cellStyle name="Table  - Opmaakprofiel6 2 2 6 6" xfId="5971"/>
    <cellStyle name="Table  - Opmaakprofiel6 2 2 6 6 2" xfId="10790"/>
    <cellStyle name="Table  - Opmaakprofiel6 2 2 6 6 2 2" xfId="23088"/>
    <cellStyle name="Table  - Opmaakprofiel6 2 2 6 6 2 3" xfId="35140"/>
    <cellStyle name="Table  - Opmaakprofiel6 2 2 6 6 2 4" xfId="42128"/>
    <cellStyle name="Table  - Opmaakprofiel6 2 2 6 6 2 5" xfId="55755"/>
    <cellStyle name="Table  - Opmaakprofiel6 2 2 6 6 3" xfId="16901"/>
    <cellStyle name="Table  - Opmaakprofiel6 2 2 6 6 4" xfId="28953"/>
    <cellStyle name="Table  - Opmaakprofiel6 2 2 6 6 5" xfId="44698"/>
    <cellStyle name="Table  - Opmaakprofiel6 2 2 6 6 6" xfId="49934"/>
    <cellStyle name="Table  - Opmaakprofiel6 2 2 6 7" xfId="5972"/>
    <cellStyle name="Table  - Opmaakprofiel6 2 2 6 7 2" xfId="16902"/>
    <cellStyle name="Table  - Opmaakprofiel6 2 2 6 7 3" xfId="28954"/>
    <cellStyle name="Table  - Opmaakprofiel6 2 2 6 7 4" xfId="38579"/>
    <cellStyle name="Table  - Opmaakprofiel6 2 2 6 7 5" xfId="49935"/>
    <cellStyle name="Table  - Opmaakprofiel6 2 2 6 8" xfId="7531"/>
    <cellStyle name="Table  - Opmaakprofiel6 2 2 6 8 2" xfId="19829"/>
    <cellStyle name="Table  - Opmaakprofiel6 2 2 6 8 3" xfId="41632"/>
    <cellStyle name="Table  - Opmaakprofiel6 2 2 6 8 4" xfId="32049"/>
    <cellStyle name="Table  - Opmaakprofiel6 2 2 6 8 5" xfId="52501"/>
    <cellStyle name="Table  - Opmaakprofiel6 2 2 6 9" xfId="16896"/>
    <cellStyle name="Table  - Opmaakprofiel6 2 2 7" xfId="468"/>
    <cellStyle name="Table  - Opmaakprofiel6 2 2 7 2" xfId="2015"/>
    <cellStyle name="Table  - Opmaakprofiel6 2 2 7 2 2" xfId="10791"/>
    <cellStyle name="Table  - Opmaakprofiel6 2 2 7 2 2 2" xfId="23089"/>
    <cellStyle name="Table  - Opmaakprofiel6 2 2 7 2 2 3" xfId="35141"/>
    <cellStyle name="Table  - Opmaakprofiel6 2 2 7 2 2 4" xfId="31547"/>
    <cellStyle name="Table  - Opmaakprofiel6 2 2 7 2 2 5" xfId="55756"/>
    <cellStyle name="Table  - Opmaakprofiel6 2 2 7 2 3" xfId="16904"/>
    <cellStyle name="Table  - Opmaakprofiel6 2 2 7 2 4" xfId="28956"/>
    <cellStyle name="Table  - Opmaakprofiel6 2 2 7 2 5" xfId="38578"/>
    <cellStyle name="Table  - Opmaakprofiel6 2 2 7 2 6" xfId="49936"/>
    <cellStyle name="Table  - Opmaakprofiel6 2 2 7 3" xfId="2539"/>
    <cellStyle name="Table  - Opmaakprofiel6 2 2 7 3 2" xfId="10792"/>
    <cellStyle name="Table  - Opmaakprofiel6 2 2 7 3 2 2" xfId="23090"/>
    <cellStyle name="Table  - Opmaakprofiel6 2 2 7 3 2 3" xfId="35142"/>
    <cellStyle name="Table  - Opmaakprofiel6 2 2 7 3 2 4" xfId="42127"/>
    <cellStyle name="Table  - Opmaakprofiel6 2 2 7 3 2 5" xfId="55757"/>
    <cellStyle name="Table  - Opmaakprofiel6 2 2 7 3 3" xfId="16905"/>
    <cellStyle name="Table  - Opmaakprofiel6 2 2 7 3 4" xfId="28957"/>
    <cellStyle name="Table  - Opmaakprofiel6 2 2 7 3 5" xfId="44696"/>
    <cellStyle name="Table  - Opmaakprofiel6 2 2 7 3 6" xfId="49937"/>
    <cellStyle name="Table  - Opmaakprofiel6 2 2 7 4" xfId="3426"/>
    <cellStyle name="Table  - Opmaakprofiel6 2 2 7 4 2" xfId="10793"/>
    <cellStyle name="Table  - Opmaakprofiel6 2 2 7 4 2 2" xfId="23091"/>
    <cellStyle name="Table  - Opmaakprofiel6 2 2 7 4 2 3" xfId="35143"/>
    <cellStyle name="Table  - Opmaakprofiel6 2 2 7 4 2 4" xfId="30008"/>
    <cellStyle name="Table  - Opmaakprofiel6 2 2 7 4 2 5" xfId="55758"/>
    <cellStyle name="Table  - Opmaakprofiel6 2 2 7 4 3" xfId="16906"/>
    <cellStyle name="Table  - Opmaakprofiel6 2 2 7 4 4" xfId="28958"/>
    <cellStyle name="Table  - Opmaakprofiel6 2 2 7 4 5" xfId="38577"/>
    <cellStyle name="Table  - Opmaakprofiel6 2 2 7 4 6" xfId="49938"/>
    <cellStyle name="Table  - Opmaakprofiel6 2 2 7 5" xfId="5973"/>
    <cellStyle name="Table  - Opmaakprofiel6 2 2 7 5 2" xfId="10794"/>
    <cellStyle name="Table  - Opmaakprofiel6 2 2 7 5 2 2" xfId="23092"/>
    <cellStyle name="Table  - Opmaakprofiel6 2 2 7 5 2 3" xfId="35144"/>
    <cellStyle name="Table  - Opmaakprofiel6 2 2 7 5 2 4" xfId="42126"/>
    <cellStyle name="Table  - Opmaakprofiel6 2 2 7 5 2 5" xfId="55759"/>
    <cellStyle name="Table  - Opmaakprofiel6 2 2 7 5 3" xfId="16907"/>
    <cellStyle name="Table  - Opmaakprofiel6 2 2 7 5 4" xfId="28959"/>
    <cellStyle name="Table  - Opmaakprofiel6 2 2 7 5 5" xfId="44695"/>
    <cellStyle name="Table  - Opmaakprofiel6 2 2 7 5 6" xfId="49939"/>
    <cellStyle name="Table  - Opmaakprofiel6 2 2 7 6" xfId="5974"/>
    <cellStyle name="Table  - Opmaakprofiel6 2 2 7 6 2" xfId="10795"/>
    <cellStyle name="Table  - Opmaakprofiel6 2 2 7 6 2 2" xfId="23093"/>
    <cellStyle name="Table  - Opmaakprofiel6 2 2 7 6 2 3" xfId="35145"/>
    <cellStyle name="Table  - Opmaakprofiel6 2 2 7 6 2 4" xfId="32041"/>
    <cellStyle name="Table  - Opmaakprofiel6 2 2 7 6 2 5" xfId="55760"/>
    <cellStyle name="Table  - Opmaakprofiel6 2 2 7 6 3" xfId="16908"/>
    <cellStyle name="Table  - Opmaakprofiel6 2 2 7 6 4" xfId="28960"/>
    <cellStyle name="Table  - Opmaakprofiel6 2 2 7 6 5" xfId="38576"/>
    <cellStyle name="Table  - Opmaakprofiel6 2 2 7 6 6" xfId="49940"/>
    <cellStyle name="Table  - Opmaakprofiel6 2 2 7 7" xfId="5975"/>
    <cellStyle name="Table  - Opmaakprofiel6 2 2 7 7 2" xfId="16909"/>
    <cellStyle name="Table  - Opmaakprofiel6 2 2 7 7 3" xfId="28961"/>
    <cellStyle name="Table  - Opmaakprofiel6 2 2 7 7 4" xfId="44694"/>
    <cellStyle name="Table  - Opmaakprofiel6 2 2 7 7 5" xfId="49941"/>
    <cellStyle name="Table  - Opmaakprofiel6 2 2 7 8" xfId="10361"/>
    <cellStyle name="Table  - Opmaakprofiel6 2 2 7 8 2" xfId="22659"/>
    <cellStyle name="Table  - Opmaakprofiel6 2 2 7 8 3" xfId="44419"/>
    <cellStyle name="Table  - Opmaakprofiel6 2 2 7 8 4" xfId="29144"/>
    <cellStyle name="Table  - Opmaakprofiel6 2 2 7 8 5" xfId="55326"/>
    <cellStyle name="Table  - Opmaakprofiel6 2 2 7 9" xfId="16903"/>
    <cellStyle name="Table  - Opmaakprofiel6 2 2 8" xfId="1071"/>
    <cellStyle name="Table  - Opmaakprofiel6 2 2 8 2" xfId="1891"/>
    <cellStyle name="Table  - Opmaakprofiel6 2 2 8 2 2" xfId="10796"/>
    <cellStyle name="Table  - Opmaakprofiel6 2 2 8 2 2 2" xfId="23094"/>
    <cellStyle name="Table  - Opmaakprofiel6 2 2 8 2 2 3" xfId="35146"/>
    <cellStyle name="Table  - Opmaakprofiel6 2 2 8 2 2 4" xfId="42125"/>
    <cellStyle name="Table  - Opmaakprofiel6 2 2 8 2 2 5" xfId="55761"/>
    <cellStyle name="Table  - Opmaakprofiel6 2 2 8 2 3" xfId="16911"/>
    <cellStyle name="Table  - Opmaakprofiel6 2 2 8 2 4" xfId="28963"/>
    <cellStyle name="Table  - Opmaakprofiel6 2 2 8 2 5" xfId="38574"/>
    <cellStyle name="Table  - Opmaakprofiel6 2 2 8 2 6" xfId="49942"/>
    <cellStyle name="Table  - Opmaakprofiel6 2 2 8 3" xfId="3082"/>
    <cellStyle name="Table  - Opmaakprofiel6 2 2 8 3 2" xfId="10797"/>
    <cellStyle name="Table  - Opmaakprofiel6 2 2 8 3 2 2" xfId="23095"/>
    <cellStyle name="Table  - Opmaakprofiel6 2 2 8 3 2 3" xfId="35147"/>
    <cellStyle name="Table  - Opmaakprofiel6 2 2 8 3 2 4" xfId="30018"/>
    <cellStyle name="Table  - Opmaakprofiel6 2 2 8 3 2 5" xfId="55762"/>
    <cellStyle name="Table  - Opmaakprofiel6 2 2 8 3 3" xfId="16912"/>
    <cellStyle name="Table  - Opmaakprofiel6 2 2 8 3 4" xfId="28964"/>
    <cellStyle name="Table  - Opmaakprofiel6 2 2 8 3 5" xfId="38573"/>
    <cellStyle name="Table  - Opmaakprofiel6 2 2 8 3 6" xfId="49943"/>
    <cellStyle name="Table  - Opmaakprofiel6 2 2 8 4" xfId="3921"/>
    <cellStyle name="Table  - Opmaakprofiel6 2 2 8 4 2" xfId="10798"/>
    <cellStyle name="Table  - Opmaakprofiel6 2 2 8 4 2 2" xfId="23096"/>
    <cellStyle name="Table  - Opmaakprofiel6 2 2 8 4 2 3" xfId="35148"/>
    <cellStyle name="Table  - Opmaakprofiel6 2 2 8 4 2 4" xfId="31820"/>
    <cellStyle name="Table  - Opmaakprofiel6 2 2 8 4 2 5" xfId="55763"/>
    <cellStyle name="Table  - Opmaakprofiel6 2 2 8 4 3" xfId="16913"/>
    <cellStyle name="Table  - Opmaakprofiel6 2 2 8 4 4" xfId="28965"/>
    <cellStyle name="Table  - Opmaakprofiel6 2 2 8 4 5" xfId="44693"/>
    <cellStyle name="Table  - Opmaakprofiel6 2 2 8 4 6" xfId="49944"/>
    <cellStyle name="Table  - Opmaakprofiel6 2 2 8 5" xfId="5976"/>
    <cellStyle name="Table  - Opmaakprofiel6 2 2 8 5 2" xfId="10799"/>
    <cellStyle name="Table  - Opmaakprofiel6 2 2 8 5 2 2" xfId="23097"/>
    <cellStyle name="Table  - Opmaakprofiel6 2 2 8 5 2 3" xfId="35149"/>
    <cellStyle name="Table  - Opmaakprofiel6 2 2 8 5 2 4" xfId="30022"/>
    <cellStyle name="Table  - Opmaakprofiel6 2 2 8 5 2 5" xfId="55764"/>
    <cellStyle name="Table  - Opmaakprofiel6 2 2 8 5 3" xfId="16914"/>
    <cellStyle name="Table  - Opmaakprofiel6 2 2 8 5 4" xfId="28966"/>
    <cellStyle name="Table  - Opmaakprofiel6 2 2 8 5 5" xfId="38572"/>
    <cellStyle name="Table  - Opmaakprofiel6 2 2 8 5 6" xfId="49945"/>
    <cellStyle name="Table  - Opmaakprofiel6 2 2 8 6" xfId="5977"/>
    <cellStyle name="Table  - Opmaakprofiel6 2 2 8 6 2" xfId="10800"/>
    <cellStyle name="Table  - Opmaakprofiel6 2 2 8 6 2 2" xfId="23098"/>
    <cellStyle name="Table  - Opmaakprofiel6 2 2 8 6 2 3" xfId="35150"/>
    <cellStyle name="Table  - Opmaakprofiel6 2 2 8 6 2 4" xfId="42124"/>
    <cellStyle name="Table  - Opmaakprofiel6 2 2 8 6 2 5" xfId="55765"/>
    <cellStyle name="Table  - Opmaakprofiel6 2 2 8 6 3" xfId="16915"/>
    <cellStyle name="Table  - Opmaakprofiel6 2 2 8 6 4" xfId="28967"/>
    <cellStyle name="Table  - Opmaakprofiel6 2 2 8 6 5" xfId="44692"/>
    <cellStyle name="Table  - Opmaakprofiel6 2 2 8 6 6" xfId="49946"/>
    <cellStyle name="Table  - Opmaakprofiel6 2 2 8 7" xfId="5978"/>
    <cellStyle name="Table  - Opmaakprofiel6 2 2 8 7 2" xfId="16916"/>
    <cellStyle name="Table  - Opmaakprofiel6 2 2 8 7 3" xfId="28968"/>
    <cellStyle name="Table  - Opmaakprofiel6 2 2 8 7 4" xfId="38571"/>
    <cellStyle name="Table  - Opmaakprofiel6 2 2 8 7 5" xfId="49947"/>
    <cellStyle name="Table  - Opmaakprofiel6 2 2 8 8" xfId="7262"/>
    <cellStyle name="Table  - Opmaakprofiel6 2 2 8 8 2" xfId="19560"/>
    <cellStyle name="Table  - Opmaakprofiel6 2 2 8 8 3" xfId="41363"/>
    <cellStyle name="Table  - Opmaakprofiel6 2 2 8 8 4" xfId="43582"/>
    <cellStyle name="Table  - Opmaakprofiel6 2 2 8 8 5" xfId="52232"/>
    <cellStyle name="Table  - Opmaakprofiel6 2 2 8 9" xfId="16910"/>
    <cellStyle name="Table  - Opmaakprofiel6 2 2 9" xfId="1307"/>
    <cellStyle name="Table  - Opmaakprofiel6 2 2 9 2" xfId="2181"/>
    <cellStyle name="Table  - Opmaakprofiel6 2 2 9 2 2" xfId="10801"/>
    <cellStyle name="Table  - Opmaakprofiel6 2 2 9 2 2 2" xfId="23099"/>
    <cellStyle name="Table  - Opmaakprofiel6 2 2 9 2 2 3" xfId="35151"/>
    <cellStyle name="Table  - Opmaakprofiel6 2 2 9 2 2 4" xfId="34399"/>
    <cellStyle name="Table  - Opmaakprofiel6 2 2 9 2 2 5" xfId="55766"/>
    <cellStyle name="Table  - Opmaakprofiel6 2 2 9 2 3" xfId="16918"/>
    <cellStyle name="Table  - Opmaakprofiel6 2 2 9 2 4" xfId="28970"/>
    <cellStyle name="Table  - Opmaakprofiel6 2 2 9 2 5" xfId="38570"/>
    <cellStyle name="Table  - Opmaakprofiel6 2 2 9 2 6" xfId="49948"/>
    <cellStyle name="Table  - Opmaakprofiel6 2 2 9 3" xfId="3318"/>
    <cellStyle name="Table  - Opmaakprofiel6 2 2 9 3 2" xfId="10802"/>
    <cellStyle name="Table  - Opmaakprofiel6 2 2 9 3 2 2" xfId="23100"/>
    <cellStyle name="Table  - Opmaakprofiel6 2 2 9 3 2 3" xfId="35152"/>
    <cellStyle name="Table  - Opmaakprofiel6 2 2 9 3 2 4" xfId="42123"/>
    <cellStyle name="Table  - Opmaakprofiel6 2 2 9 3 2 5" xfId="55767"/>
    <cellStyle name="Table  - Opmaakprofiel6 2 2 9 3 3" xfId="16919"/>
    <cellStyle name="Table  - Opmaakprofiel6 2 2 9 3 4" xfId="28971"/>
    <cellStyle name="Table  - Opmaakprofiel6 2 2 9 3 5" xfId="44690"/>
    <cellStyle name="Table  - Opmaakprofiel6 2 2 9 3 6" xfId="49949"/>
    <cellStyle name="Table  - Opmaakprofiel6 2 2 9 4" xfId="4099"/>
    <cellStyle name="Table  - Opmaakprofiel6 2 2 9 4 2" xfId="10803"/>
    <cellStyle name="Table  - Opmaakprofiel6 2 2 9 4 2 2" xfId="23101"/>
    <cellStyle name="Table  - Opmaakprofiel6 2 2 9 4 2 3" xfId="35153"/>
    <cellStyle name="Table  - Opmaakprofiel6 2 2 9 4 2 4" xfId="30029"/>
    <cellStyle name="Table  - Opmaakprofiel6 2 2 9 4 2 5" xfId="55768"/>
    <cellStyle name="Table  - Opmaakprofiel6 2 2 9 4 3" xfId="16920"/>
    <cellStyle name="Table  - Opmaakprofiel6 2 2 9 4 4" xfId="28972"/>
    <cellStyle name="Table  - Opmaakprofiel6 2 2 9 4 5" xfId="38569"/>
    <cellStyle name="Table  - Opmaakprofiel6 2 2 9 4 6" xfId="49950"/>
    <cellStyle name="Table  - Opmaakprofiel6 2 2 9 5" xfId="5979"/>
    <cellStyle name="Table  - Opmaakprofiel6 2 2 9 5 2" xfId="10804"/>
    <cellStyle name="Table  - Opmaakprofiel6 2 2 9 5 2 2" xfId="23102"/>
    <cellStyle name="Table  - Opmaakprofiel6 2 2 9 5 2 3" xfId="35154"/>
    <cellStyle name="Table  - Opmaakprofiel6 2 2 9 5 2 4" xfId="42122"/>
    <cellStyle name="Table  - Opmaakprofiel6 2 2 9 5 2 5" xfId="55769"/>
    <cellStyle name="Table  - Opmaakprofiel6 2 2 9 5 3" xfId="16921"/>
    <cellStyle name="Table  - Opmaakprofiel6 2 2 9 5 4" xfId="28973"/>
    <cellStyle name="Table  - Opmaakprofiel6 2 2 9 5 5" xfId="44689"/>
    <cellStyle name="Table  - Opmaakprofiel6 2 2 9 5 6" xfId="49951"/>
    <cellStyle name="Table  - Opmaakprofiel6 2 2 9 6" xfId="5980"/>
    <cellStyle name="Table  - Opmaakprofiel6 2 2 9 6 2" xfId="10805"/>
    <cellStyle name="Table  - Opmaakprofiel6 2 2 9 6 2 2" xfId="23103"/>
    <cellStyle name="Table  - Opmaakprofiel6 2 2 9 6 2 3" xfId="35155"/>
    <cellStyle name="Table  - Opmaakprofiel6 2 2 9 6 2 4" xfId="34332"/>
    <cellStyle name="Table  - Opmaakprofiel6 2 2 9 6 2 5" xfId="55770"/>
    <cellStyle name="Table  - Opmaakprofiel6 2 2 9 6 3" xfId="16922"/>
    <cellStyle name="Table  - Opmaakprofiel6 2 2 9 6 4" xfId="28974"/>
    <cellStyle name="Table  - Opmaakprofiel6 2 2 9 6 5" xfId="38568"/>
    <cellStyle name="Table  - Opmaakprofiel6 2 2 9 6 6" xfId="49952"/>
    <cellStyle name="Table  - Opmaakprofiel6 2 2 9 7" xfId="5981"/>
    <cellStyle name="Table  - Opmaakprofiel6 2 2 9 7 2" xfId="16923"/>
    <cellStyle name="Table  - Opmaakprofiel6 2 2 9 7 3" xfId="28975"/>
    <cellStyle name="Table  - Opmaakprofiel6 2 2 9 7 4" xfId="38567"/>
    <cellStyle name="Table  - Opmaakprofiel6 2 2 9 7 5" xfId="49953"/>
    <cellStyle name="Table  - Opmaakprofiel6 2 2 9 8" xfId="7070"/>
    <cellStyle name="Table  - Opmaakprofiel6 2 2 9 8 2" xfId="19368"/>
    <cellStyle name="Table  - Opmaakprofiel6 2 2 9 8 3" xfId="41171"/>
    <cellStyle name="Table  - Opmaakprofiel6 2 2 9 8 4" xfId="36993"/>
    <cellStyle name="Table  - Opmaakprofiel6 2 2 9 8 5" xfId="52041"/>
    <cellStyle name="Table  - Opmaakprofiel6 2 2 9 9" xfId="16917"/>
    <cellStyle name="Table  - Opmaakprofiel6 2 20" xfId="740"/>
    <cellStyle name="Table  - Opmaakprofiel6 2 20 10" xfId="5982"/>
    <cellStyle name="Table  - Opmaakprofiel6 2 20 10 2" xfId="10806"/>
    <cellStyle name="Table  - Opmaakprofiel6 2 20 10 2 2" xfId="23104"/>
    <cellStyle name="Table  - Opmaakprofiel6 2 20 10 2 3" xfId="35156"/>
    <cellStyle name="Table  - Opmaakprofiel6 2 20 10 2 4" xfId="42121"/>
    <cellStyle name="Table  - Opmaakprofiel6 2 20 10 2 5" xfId="55771"/>
    <cellStyle name="Table  - Opmaakprofiel6 2 20 10 3" xfId="16925"/>
    <cellStyle name="Table  - Opmaakprofiel6 2 20 10 4" xfId="28977"/>
    <cellStyle name="Table  - Opmaakprofiel6 2 20 10 5" xfId="44688"/>
    <cellStyle name="Table  - Opmaakprofiel6 2 20 10 6" xfId="49954"/>
    <cellStyle name="Table  - Opmaakprofiel6 2 20 11" xfId="5983"/>
    <cellStyle name="Table  - Opmaakprofiel6 2 20 11 2" xfId="10807"/>
    <cellStyle name="Table  - Opmaakprofiel6 2 20 11 2 2" xfId="23105"/>
    <cellStyle name="Table  - Opmaakprofiel6 2 20 11 2 3" xfId="35157"/>
    <cellStyle name="Table  - Opmaakprofiel6 2 20 11 2 4" xfId="30036"/>
    <cellStyle name="Table  - Opmaakprofiel6 2 20 11 2 5" xfId="55772"/>
    <cellStyle name="Table  - Opmaakprofiel6 2 20 11 3" xfId="16926"/>
    <cellStyle name="Table  - Opmaakprofiel6 2 20 11 4" xfId="28978"/>
    <cellStyle name="Table  - Opmaakprofiel6 2 20 11 5" xfId="38565"/>
    <cellStyle name="Table  - Opmaakprofiel6 2 20 11 6" xfId="49955"/>
    <cellStyle name="Table  - Opmaakprofiel6 2 20 12" xfId="5984"/>
    <cellStyle name="Table  - Opmaakprofiel6 2 20 12 2" xfId="16927"/>
    <cellStyle name="Table  - Opmaakprofiel6 2 20 12 3" xfId="28979"/>
    <cellStyle name="Table  - Opmaakprofiel6 2 20 12 4" xfId="44687"/>
    <cellStyle name="Table  - Opmaakprofiel6 2 20 12 5" xfId="49956"/>
    <cellStyle name="Table  - Opmaakprofiel6 2 20 13" xfId="7487"/>
    <cellStyle name="Table  - Opmaakprofiel6 2 20 13 2" xfId="19785"/>
    <cellStyle name="Table  - Opmaakprofiel6 2 20 13 3" xfId="41588"/>
    <cellStyle name="Table  - Opmaakprofiel6 2 20 13 4" xfId="15486"/>
    <cellStyle name="Table  - Opmaakprofiel6 2 20 13 5" xfId="52457"/>
    <cellStyle name="Table  - Opmaakprofiel6 2 20 14" xfId="16924"/>
    <cellStyle name="Table  - Opmaakprofiel6 2 20 2" xfId="910"/>
    <cellStyle name="Table  - Opmaakprofiel6 2 20 2 2" xfId="1829"/>
    <cellStyle name="Table  - Opmaakprofiel6 2 20 2 2 2" xfId="10808"/>
    <cellStyle name="Table  - Opmaakprofiel6 2 20 2 2 2 2" xfId="23106"/>
    <cellStyle name="Table  - Opmaakprofiel6 2 20 2 2 2 3" xfId="35158"/>
    <cellStyle name="Table  - Opmaakprofiel6 2 20 2 2 2 4" xfId="42120"/>
    <cellStyle name="Table  - Opmaakprofiel6 2 20 2 2 2 5" xfId="55773"/>
    <cellStyle name="Table  - Opmaakprofiel6 2 20 2 2 3" xfId="16929"/>
    <cellStyle name="Table  - Opmaakprofiel6 2 20 2 2 4" xfId="28981"/>
    <cellStyle name="Table  - Opmaakprofiel6 2 20 2 2 5" xfId="44686"/>
    <cellStyle name="Table  - Opmaakprofiel6 2 20 2 2 6" xfId="49957"/>
    <cellStyle name="Table  - Opmaakprofiel6 2 20 2 3" xfId="2921"/>
    <cellStyle name="Table  - Opmaakprofiel6 2 20 2 3 2" xfId="10809"/>
    <cellStyle name="Table  - Opmaakprofiel6 2 20 2 3 2 2" xfId="23107"/>
    <cellStyle name="Table  - Opmaakprofiel6 2 20 2 3 2 3" xfId="35159"/>
    <cellStyle name="Table  - Opmaakprofiel6 2 20 2 3 2 4" xfId="31608"/>
    <cellStyle name="Table  - Opmaakprofiel6 2 20 2 3 2 5" xfId="55774"/>
    <cellStyle name="Table  - Opmaakprofiel6 2 20 2 3 3" xfId="16930"/>
    <cellStyle name="Table  - Opmaakprofiel6 2 20 2 3 4" xfId="28982"/>
    <cellStyle name="Table  - Opmaakprofiel6 2 20 2 3 5" xfId="38563"/>
    <cellStyle name="Table  - Opmaakprofiel6 2 20 2 3 6" xfId="49958"/>
    <cellStyle name="Table  - Opmaakprofiel6 2 20 2 4" xfId="3773"/>
    <cellStyle name="Table  - Opmaakprofiel6 2 20 2 4 2" xfId="10810"/>
    <cellStyle name="Table  - Opmaakprofiel6 2 20 2 4 2 2" xfId="23108"/>
    <cellStyle name="Table  - Opmaakprofiel6 2 20 2 4 2 3" xfId="35160"/>
    <cellStyle name="Table  - Opmaakprofiel6 2 20 2 4 2 4" xfId="30043"/>
    <cellStyle name="Table  - Opmaakprofiel6 2 20 2 4 2 5" xfId="55775"/>
    <cellStyle name="Table  - Opmaakprofiel6 2 20 2 4 3" xfId="16931"/>
    <cellStyle name="Table  - Opmaakprofiel6 2 20 2 4 4" xfId="28983"/>
    <cellStyle name="Table  - Opmaakprofiel6 2 20 2 4 5" xfId="44685"/>
    <cellStyle name="Table  - Opmaakprofiel6 2 20 2 4 6" xfId="49959"/>
    <cellStyle name="Table  - Opmaakprofiel6 2 20 2 5" xfId="5985"/>
    <cellStyle name="Table  - Opmaakprofiel6 2 20 2 5 2" xfId="10811"/>
    <cellStyle name="Table  - Opmaakprofiel6 2 20 2 5 2 2" xfId="23109"/>
    <cellStyle name="Table  - Opmaakprofiel6 2 20 2 5 2 3" xfId="35161"/>
    <cellStyle name="Table  - Opmaakprofiel6 2 20 2 5 2 4" xfId="31345"/>
    <cellStyle name="Table  - Opmaakprofiel6 2 20 2 5 2 5" xfId="55776"/>
    <cellStyle name="Table  - Opmaakprofiel6 2 20 2 5 3" xfId="16932"/>
    <cellStyle name="Table  - Opmaakprofiel6 2 20 2 5 4" xfId="28984"/>
    <cellStyle name="Table  - Opmaakprofiel6 2 20 2 5 5" xfId="38562"/>
    <cellStyle name="Table  - Opmaakprofiel6 2 20 2 5 6" xfId="49960"/>
    <cellStyle name="Table  - Opmaakprofiel6 2 20 2 6" xfId="5986"/>
    <cellStyle name="Table  - Opmaakprofiel6 2 20 2 6 2" xfId="10812"/>
    <cellStyle name="Table  - Opmaakprofiel6 2 20 2 6 2 2" xfId="23110"/>
    <cellStyle name="Table  - Opmaakprofiel6 2 20 2 6 2 3" xfId="35162"/>
    <cellStyle name="Table  - Opmaakprofiel6 2 20 2 6 2 4" xfId="42119"/>
    <cellStyle name="Table  - Opmaakprofiel6 2 20 2 6 2 5" xfId="55777"/>
    <cellStyle name="Table  - Opmaakprofiel6 2 20 2 6 3" xfId="16933"/>
    <cellStyle name="Table  - Opmaakprofiel6 2 20 2 6 4" xfId="28985"/>
    <cellStyle name="Table  - Opmaakprofiel6 2 20 2 6 5" xfId="44684"/>
    <cellStyle name="Table  - Opmaakprofiel6 2 20 2 6 6" xfId="49961"/>
    <cellStyle name="Table  - Opmaakprofiel6 2 20 2 7" xfId="5987"/>
    <cellStyle name="Table  - Opmaakprofiel6 2 20 2 7 2" xfId="16934"/>
    <cellStyle name="Table  - Opmaakprofiel6 2 20 2 7 3" xfId="28986"/>
    <cellStyle name="Table  - Opmaakprofiel6 2 20 2 7 4" xfId="38561"/>
    <cellStyle name="Table  - Opmaakprofiel6 2 20 2 7 5" xfId="49962"/>
    <cellStyle name="Table  - Opmaakprofiel6 2 20 2 8" xfId="7372"/>
    <cellStyle name="Table  - Opmaakprofiel6 2 20 2 8 2" xfId="19670"/>
    <cellStyle name="Table  - Opmaakprofiel6 2 20 2 8 3" xfId="41473"/>
    <cellStyle name="Table  - Opmaakprofiel6 2 20 2 8 4" xfId="17918"/>
    <cellStyle name="Table  - Opmaakprofiel6 2 20 2 8 5" xfId="52342"/>
    <cellStyle name="Table  - Opmaakprofiel6 2 20 2 9" xfId="16928"/>
    <cellStyle name="Table  - Opmaakprofiel6 2 20 3" xfId="1007"/>
    <cellStyle name="Table  - Opmaakprofiel6 2 20 3 2" xfId="2461"/>
    <cellStyle name="Table  - Opmaakprofiel6 2 20 3 2 2" xfId="10813"/>
    <cellStyle name="Table  - Opmaakprofiel6 2 20 3 2 2 2" xfId="23111"/>
    <cellStyle name="Table  - Opmaakprofiel6 2 20 3 2 2 3" xfId="35163"/>
    <cellStyle name="Table  - Opmaakprofiel6 2 20 3 2 2 4" xfId="30050"/>
    <cellStyle name="Table  - Opmaakprofiel6 2 20 3 2 2 5" xfId="55778"/>
    <cellStyle name="Table  - Opmaakprofiel6 2 20 3 2 3" xfId="16936"/>
    <cellStyle name="Table  - Opmaakprofiel6 2 20 3 2 4" xfId="28988"/>
    <cellStyle name="Table  - Opmaakprofiel6 2 20 3 2 5" xfId="38559"/>
    <cellStyle name="Table  - Opmaakprofiel6 2 20 3 2 6" xfId="49963"/>
    <cellStyle name="Table  - Opmaakprofiel6 2 20 3 3" xfId="3018"/>
    <cellStyle name="Table  - Opmaakprofiel6 2 20 3 3 2" xfId="10814"/>
    <cellStyle name="Table  - Opmaakprofiel6 2 20 3 3 2 2" xfId="23112"/>
    <cellStyle name="Table  - Opmaakprofiel6 2 20 3 3 2 3" xfId="35164"/>
    <cellStyle name="Table  - Opmaakprofiel6 2 20 3 3 2 4" xfId="42118"/>
    <cellStyle name="Table  - Opmaakprofiel6 2 20 3 3 2 5" xfId="55779"/>
    <cellStyle name="Table  - Opmaakprofiel6 2 20 3 3 3" xfId="16937"/>
    <cellStyle name="Table  - Opmaakprofiel6 2 20 3 3 4" xfId="28989"/>
    <cellStyle name="Table  - Opmaakprofiel6 2 20 3 3 5" xfId="44683"/>
    <cellStyle name="Table  - Opmaakprofiel6 2 20 3 3 6" xfId="49964"/>
    <cellStyle name="Table  - Opmaakprofiel6 2 20 3 4" xfId="3864"/>
    <cellStyle name="Table  - Opmaakprofiel6 2 20 3 4 2" xfId="10815"/>
    <cellStyle name="Table  - Opmaakprofiel6 2 20 3 4 2 2" xfId="23113"/>
    <cellStyle name="Table  - Opmaakprofiel6 2 20 3 4 2 3" xfId="35165"/>
    <cellStyle name="Table  - Opmaakprofiel6 2 20 3 4 2 4" xfId="31897"/>
    <cellStyle name="Table  - Opmaakprofiel6 2 20 3 4 2 5" xfId="55780"/>
    <cellStyle name="Table  - Opmaakprofiel6 2 20 3 4 3" xfId="16938"/>
    <cellStyle name="Table  - Opmaakprofiel6 2 20 3 4 4" xfId="28990"/>
    <cellStyle name="Table  - Opmaakprofiel6 2 20 3 4 5" xfId="38558"/>
    <cellStyle name="Table  - Opmaakprofiel6 2 20 3 4 6" xfId="49965"/>
    <cellStyle name="Table  - Opmaakprofiel6 2 20 3 5" xfId="5988"/>
    <cellStyle name="Table  - Opmaakprofiel6 2 20 3 5 2" xfId="10816"/>
    <cellStyle name="Table  - Opmaakprofiel6 2 20 3 5 2 2" xfId="23114"/>
    <cellStyle name="Table  - Opmaakprofiel6 2 20 3 5 2 3" xfId="35166"/>
    <cellStyle name="Table  - Opmaakprofiel6 2 20 3 5 2 4" xfId="42117"/>
    <cellStyle name="Table  - Opmaakprofiel6 2 20 3 5 2 5" xfId="55781"/>
    <cellStyle name="Table  - Opmaakprofiel6 2 20 3 5 3" xfId="16939"/>
    <cellStyle name="Table  - Opmaakprofiel6 2 20 3 5 4" xfId="28991"/>
    <cellStyle name="Table  - Opmaakprofiel6 2 20 3 5 5" xfId="44682"/>
    <cellStyle name="Table  - Opmaakprofiel6 2 20 3 5 6" xfId="49966"/>
    <cellStyle name="Table  - Opmaakprofiel6 2 20 3 6" xfId="5989"/>
    <cellStyle name="Table  - Opmaakprofiel6 2 20 3 6 2" xfId="10817"/>
    <cellStyle name="Table  - Opmaakprofiel6 2 20 3 6 2 2" xfId="23115"/>
    <cellStyle name="Table  - Opmaakprofiel6 2 20 3 6 2 3" xfId="35167"/>
    <cellStyle name="Table  - Opmaakprofiel6 2 20 3 6 2 4" xfId="30060"/>
    <cellStyle name="Table  - Opmaakprofiel6 2 20 3 6 2 5" xfId="55782"/>
    <cellStyle name="Table  - Opmaakprofiel6 2 20 3 6 3" xfId="16940"/>
    <cellStyle name="Table  - Opmaakprofiel6 2 20 3 6 4" xfId="28992"/>
    <cellStyle name="Table  - Opmaakprofiel6 2 20 3 6 5" xfId="38557"/>
    <cellStyle name="Table  - Opmaakprofiel6 2 20 3 6 6" xfId="49967"/>
    <cellStyle name="Table  - Opmaakprofiel6 2 20 3 7" xfId="5990"/>
    <cellStyle name="Table  - Opmaakprofiel6 2 20 3 7 2" xfId="16941"/>
    <cellStyle name="Table  - Opmaakprofiel6 2 20 3 7 3" xfId="28993"/>
    <cellStyle name="Table  - Opmaakprofiel6 2 20 3 7 4" xfId="38556"/>
    <cellStyle name="Table  - Opmaakprofiel6 2 20 3 7 5" xfId="49968"/>
    <cellStyle name="Table  - Opmaakprofiel6 2 20 3 8" xfId="7306"/>
    <cellStyle name="Table  - Opmaakprofiel6 2 20 3 8 2" xfId="19604"/>
    <cellStyle name="Table  - Opmaakprofiel6 2 20 3 8 3" xfId="41407"/>
    <cellStyle name="Table  - Opmaakprofiel6 2 20 3 8 4" xfId="43564"/>
    <cellStyle name="Table  - Opmaakprofiel6 2 20 3 8 5" xfId="52276"/>
    <cellStyle name="Table  - Opmaakprofiel6 2 20 3 9" xfId="16935"/>
    <cellStyle name="Table  - Opmaakprofiel6 2 20 4" xfId="1111"/>
    <cellStyle name="Table  - Opmaakprofiel6 2 20 4 2" xfId="1539"/>
    <cellStyle name="Table  - Opmaakprofiel6 2 20 4 2 2" xfId="10818"/>
    <cellStyle name="Table  - Opmaakprofiel6 2 20 4 2 2 2" xfId="23116"/>
    <cellStyle name="Table  - Opmaakprofiel6 2 20 4 2 2 3" xfId="35168"/>
    <cellStyle name="Table  - Opmaakprofiel6 2 20 4 2 2 4" xfId="42116"/>
    <cellStyle name="Table  - Opmaakprofiel6 2 20 4 2 2 5" xfId="55783"/>
    <cellStyle name="Table  - Opmaakprofiel6 2 20 4 2 3" xfId="16943"/>
    <cellStyle name="Table  - Opmaakprofiel6 2 20 4 2 4" xfId="28995"/>
    <cellStyle name="Table  - Opmaakprofiel6 2 20 4 2 5" xfId="38555"/>
    <cellStyle name="Table  - Opmaakprofiel6 2 20 4 2 6" xfId="49969"/>
    <cellStyle name="Table  - Opmaakprofiel6 2 20 4 3" xfId="3122"/>
    <cellStyle name="Table  - Opmaakprofiel6 2 20 4 3 2" xfId="10819"/>
    <cellStyle name="Table  - Opmaakprofiel6 2 20 4 3 2 2" xfId="23117"/>
    <cellStyle name="Table  - Opmaakprofiel6 2 20 4 3 2 3" xfId="35169"/>
    <cellStyle name="Table  - Opmaakprofiel6 2 20 4 3 2 4" xfId="31812"/>
    <cellStyle name="Table  - Opmaakprofiel6 2 20 4 3 2 5" xfId="55784"/>
    <cellStyle name="Table  - Opmaakprofiel6 2 20 4 3 3" xfId="16944"/>
    <cellStyle name="Table  - Opmaakprofiel6 2 20 4 3 4" xfId="28996"/>
    <cellStyle name="Table  - Opmaakprofiel6 2 20 4 3 5" xfId="44680"/>
    <cellStyle name="Table  - Opmaakprofiel6 2 20 4 3 6" xfId="49970"/>
    <cellStyle name="Table  - Opmaakprofiel6 2 20 4 4" xfId="3956"/>
    <cellStyle name="Table  - Opmaakprofiel6 2 20 4 4 2" xfId="10820"/>
    <cellStyle name="Table  - Opmaakprofiel6 2 20 4 4 2 2" xfId="23118"/>
    <cellStyle name="Table  - Opmaakprofiel6 2 20 4 4 2 3" xfId="35170"/>
    <cellStyle name="Table  - Opmaakprofiel6 2 20 4 4 2 4" xfId="42115"/>
    <cellStyle name="Table  - Opmaakprofiel6 2 20 4 4 2 5" xfId="55785"/>
    <cellStyle name="Table  - Opmaakprofiel6 2 20 4 4 3" xfId="16945"/>
    <cellStyle name="Table  - Opmaakprofiel6 2 20 4 4 4" xfId="28997"/>
    <cellStyle name="Table  - Opmaakprofiel6 2 20 4 4 5" xfId="38554"/>
    <cellStyle name="Table  - Opmaakprofiel6 2 20 4 4 6" xfId="49971"/>
    <cellStyle name="Table  - Opmaakprofiel6 2 20 4 5" xfId="5991"/>
    <cellStyle name="Table  - Opmaakprofiel6 2 20 4 5 2" xfId="10821"/>
    <cellStyle name="Table  - Opmaakprofiel6 2 20 4 5 2 2" xfId="23119"/>
    <cellStyle name="Table  - Opmaakprofiel6 2 20 4 5 2 3" xfId="35171"/>
    <cellStyle name="Table  - Opmaakprofiel6 2 20 4 5 2 4" xfId="30064"/>
    <cellStyle name="Table  - Opmaakprofiel6 2 20 4 5 2 5" xfId="55786"/>
    <cellStyle name="Table  - Opmaakprofiel6 2 20 4 5 3" xfId="16946"/>
    <cellStyle name="Table  - Opmaakprofiel6 2 20 4 5 4" xfId="28998"/>
    <cellStyle name="Table  - Opmaakprofiel6 2 20 4 5 5" xfId="44679"/>
    <cellStyle name="Table  - Opmaakprofiel6 2 20 4 5 6" xfId="49972"/>
    <cellStyle name="Table  - Opmaakprofiel6 2 20 4 6" xfId="5992"/>
    <cellStyle name="Table  - Opmaakprofiel6 2 20 4 6 2" xfId="10822"/>
    <cellStyle name="Table  - Opmaakprofiel6 2 20 4 6 2 2" xfId="23120"/>
    <cellStyle name="Table  - Opmaakprofiel6 2 20 4 6 2 3" xfId="35172"/>
    <cellStyle name="Table  - Opmaakprofiel6 2 20 4 6 2 4" xfId="34390"/>
    <cellStyle name="Table  - Opmaakprofiel6 2 20 4 6 2 5" xfId="55787"/>
    <cellStyle name="Table  - Opmaakprofiel6 2 20 4 6 3" xfId="16947"/>
    <cellStyle name="Table  - Opmaakprofiel6 2 20 4 6 4" xfId="28999"/>
    <cellStyle name="Table  - Opmaakprofiel6 2 20 4 6 5" xfId="38553"/>
    <cellStyle name="Table  - Opmaakprofiel6 2 20 4 6 6" xfId="49973"/>
    <cellStyle name="Table  - Opmaakprofiel6 2 20 4 7" xfId="5993"/>
    <cellStyle name="Table  - Opmaakprofiel6 2 20 4 7 2" xfId="16948"/>
    <cellStyle name="Table  - Opmaakprofiel6 2 20 4 7 3" xfId="29000"/>
    <cellStyle name="Table  - Opmaakprofiel6 2 20 4 7 4" xfId="38552"/>
    <cellStyle name="Table  - Opmaakprofiel6 2 20 4 7 5" xfId="49974"/>
    <cellStyle name="Table  - Opmaakprofiel6 2 20 4 8" xfId="7235"/>
    <cellStyle name="Table  - Opmaakprofiel6 2 20 4 8 2" xfId="19533"/>
    <cellStyle name="Table  - Opmaakprofiel6 2 20 4 8 3" xfId="41336"/>
    <cellStyle name="Table  - Opmaakprofiel6 2 20 4 8 4" xfId="36897"/>
    <cellStyle name="Table  - Opmaakprofiel6 2 20 4 8 5" xfId="52205"/>
    <cellStyle name="Table  - Opmaakprofiel6 2 20 4 9" xfId="16942"/>
    <cellStyle name="Table  - Opmaakprofiel6 2 20 5" xfId="1179"/>
    <cellStyle name="Table  - Opmaakprofiel6 2 20 5 2" xfId="1823"/>
    <cellStyle name="Table  - Opmaakprofiel6 2 20 5 2 2" xfId="10823"/>
    <cellStyle name="Table  - Opmaakprofiel6 2 20 5 2 2 2" xfId="23121"/>
    <cellStyle name="Table  - Opmaakprofiel6 2 20 5 2 2 3" xfId="35173"/>
    <cellStyle name="Table  - Opmaakprofiel6 2 20 5 2 2 4" xfId="30071"/>
    <cellStyle name="Table  - Opmaakprofiel6 2 20 5 2 2 5" xfId="55788"/>
    <cellStyle name="Table  - Opmaakprofiel6 2 20 5 2 3" xfId="16950"/>
    <cellStyle name="Table  - Opmaakprofiel6 2 20 5 2 4" xfId="29002"/>
    <cellStyle name="Table  - Opmaakprofiel6 2 20 5 2 5" xfId="38551"/>
    <cellStyle name="Table  - Opmaakprofiel6 2 20 5 2 6" xfId="49975"/>
    <cellStyle name="Table  - Opmaakprofiel6 2 20 5 3" xfId="3190"/>
    <cellStyle name="Table  - Opmaakprofiel6 2 20 5 3 2" xfId="10824"/>
    <cellStyle name="Table  - Opmaakprofiel6 2 20 5 3 2 2" xfId="23122"/>
    <cellStyle name="Table  - Opmaakprofiel6 2 20 5 3 2 3" xfId="35174"/>
    <cellStyle name="Table  - Opmaakprofiel6 2 20 5 3 2 4" xfId="42114"/>
    <cellStyle name="Table  - Opmaakprofiel6 2 20 5 3 2 5" xfId="55789"/>
    <cellStyle name="Table  - Opmaakprofiel6 2 20 5 3 3" xfId="16951"/>
    <cellStyle name="Table  - Opmaakprofiel6 2 20 5 3 4" xfId="29003"/>
    <cellStyle name="Table  - Opmaakprofiel6 2 20 5 3 5" xfId="44678"/>
    <cellStyle name="Table  - Opmaakprofiel6 2 20 5 3 6" xfId="49976"/>
    <cellStyle name="Table  - Opmaakprofiel6 2 20 5 4" xfId="4009"/>
    <cellStyle name="Table  - Opmaakprofiel6 2 20 5 4 2" xfId="10825"/>
    <cellStyle name="Table  - Opmaakprofiel6 2 20 5 4 2 2" xfId="23123"/>
    <cellStyle name="Table  - Opmaakprofiel6 2 20 5 4 2 3" xfId="35175"/>
    <cellStyle name="Table  - Opmaakprofiel6 2 20 5 4 2 4" xfId="31634"/>
    <cellStyle name="Table  - Opmaakprofiel6 2 20 5 4 2 5" xfId="55790"/>
    <cellStyle name="Table  - Opmaakprofiel6 2 20 5 4 3" xfId="16952"/>
    <cellStyle name="Table  - Opmaakprofiel6 2 20 5 4 4" xfId="29004"/>
    <cellStyle name="Table  - Opmaakprofiel6 2 20 5 4 5" xfId="38550"/>
    <cellStyle name="Table  - Opmaakprofiel6 2 20 5 4 6" xfId="49977"/>
    <cellStyle name="Table  - Opmaakprofiel6 2 20 5 5" xfId="5994"/>
    <cellStyle name="Table  - Opmaakprofiel6 2 20 5 5 2" xfId="10826"/>
    <cellStyle name="Table  - Opmaakprofiel6 2 20 5 5 2 2" xfId="23124"/>
    <cellStyle name="Table  - Opmaakprofiel6 2 20 5 5 2 3" xfId="35176"/>
    <cellStyle name="Table  - Opmaakprofiel6 2 20 5 5 2 4" xfId="42113"/>
    <cellStyle name="Table  - Opmaakprofiel6 2 20 5 5 2 5" xfId="55791"/>
    <cellStyle name="Table  - Opmaakprofiel6 2 20 5 5 3" xfId="16953"/>
    <cellStyle name="Table  - Opmaakprofiel6 2 20 5 5 4" xfId="29005"/>
    <cellStyle name="Table  - Opmaakprofiel6 2 20 5 5 5" xfId="44677"/>
    <cellStyle name="Table  - Opmaakprofiel6 2 20 5 5 6" xfId="49978"/>
    <cellStyle name="Table  - Opmaakprofiel6 2 20 5 6" xfId="5995"/>
    <cellStyle name="Table  - Opmaakprofiel6 2 20 5 6 2" xfId="10827"/>
    <cellStyle name="Table  - Opmaakprofiel6 2 20 5 6 2 2" xfId="23125"/>
    <cellStyle name="Table  - Opmaakprofiel6 2 20 5 6 2 3" xfId="35177"/>
    <cellStyle name="Table  - Opmaakprofiel6 2 20 5 6 2 4" xfId="30078"/>
    <cellStyle name="Table  - Opmaakprofiel6 2 20 5 6 2 5" xfId="55792"/>
    <cellStyle name="Table  - Opmaakprofiel6 2 20 5 6 3" xfId="16954"/>
    <cellStyle name="Table  - Opmaakprofiel6 2 20 5 6 4" xfId="29006"/>
    <cellStyle name="Table  - Opmaakprofiel6 2 20 5 6 5" xfId="38549"/>
    <cellStyle name="Table  - Opmaakprofiel6 2 20 5 6 6" xfId="49979"/>
    <cellStyle name="Table  - Opmaakprofiel6 2 20 5 7" xfId="5996"/>
    <cellStyle name="Table  - Opmaakprofiel6 2 20 5 7 2" xfId="16955"/>
    <cellStyle name="Table  - Opmaakprofiel6 2 20 5 7 3" xfId="29007"/>
    <cellStyle name="Table  - Opmaakprofiel6 2 20 5 7 4" xfId="44676"/>
    <cellStyle name="Table  - Opmaakprofiel6 2 20 5 7 5" xfId="49980"/>
    <cellStyle name="Table  - Opmaakprofiel6 2 20 5 8" xfId="7190"/>
    <cellStyle name="Table  - Opmaakprofiel6 2 20 5 8 2" xfId="19488"/>
    <cellStyle name="Table  - Opmaakprofiel6 2 20 5 8 3" xfId="41291"/>
    <cellStyle name="Table  - Opmaakprofiel6 2 20 5 8 4" xfId="43612"/>
    <cellStyle name="Table  - Opmaakprofiel6 2 20 5 8 5" xfId="52160"/>
    <cellStyle name="Table  - Opmaakprofiel6 2 20 5 9" xfId="16949"/>
    <cellStyle name="Table  - Opmaakprofiel6 2 20 6" xfId="1149"/>
    <cellStyle name="Table  - Opmaakprofiel6 2 20 6 2" xfId="2213"/>
    <cellStyle name="Table  - Opmaakprofiel6 2 20 6 2 2" xfId="10828"/>
    <cellStyle name="Table  - Opmaakprofiel6 2 20 6 2 2 2" xfId="23126"/>
    <cellStyle name="Table  - Opmaakprofiel6 2 20 6 2 2 3" xfId="35178"/>
    <cellStyle name="Table  - Opmaakprofiel6 2 20 6 2 2 4" xfId="42112"/>
    <cellStyle name="Table  - Opmaakprofiel6 2 20 6 2 2 5" xfId="55793"/>
    <cellStyle name="Table  - Opmaakprofiel6 2 20 6 2 3" xfId="16957"/>
    <cellStyle name="Table  - Opmaakprofiel6 2 20 6 2 4" xfId="29009"/>
    <cellStyle name="Table  - Opmaakprofiel6 2 20 6 2 5" xfId="44675"/>
    <cellStyle name="Table  - Opmaakprofiel6 2 20 6 2 6" xfId="49981"/>
    <cellStyle name="Table  - Opmaakprofiel6 2 20 6 3" xfId="3160"/>
    <cellStyle name="Table  - Opmaakprofiel6 2 20 6 3 2" xfId="10829"/>
    <cellStyle name="Table  - Opmaakprofiel6 2 20 6 3 2 2" xfId="23127"/>
    <cellStyle name="Table  - Opmaakprofiel6 2 20 6 3 2 3" xfId="35179"/>
    <cellStyle name="Table  - Opmaakprofiel6 2 20 6 3 2 4" xfId="31594"/>
    <cellStyle name="Table  - Opmaakprofiel6 2 20 6 3 2 5" xfId="55794"/>
    <cellStyle name="Table  - Opmaakprofiel6 2 20 6 3 3" xfId="16958"/>
    <cellStyle name="Table  - Opmaakprofiel6 2 20 6 3 4" xfId="29010"/>
    <cellStyle name="Table  - Opmaakprofiel6 2 20 6 3 5" xfId="38547"/>
    <cellStyle name="Table  - Opmaakprofiel6 2 20 6 3 6" xfId="49982"/>
    <cellStyle name="Table  - Opmaakprofiel6 2 20 6 4" xfId="3982"/>
    <cellStyle name="Table  - Opmaakprofiel6 2 20 6 4 2" xfId="10830"/>
    <cellStyle name="Table  - Opmaakprofiel6 2 20 6 4 2 2" xfId="23128"/>
    <cellStyle name="Table  - Opmaakprofiel6 2 20 6 4 2 3" xfId="35180"/>
    <cellStyle name="Table  - Opmaakprofiel6 2 20 6 4 2 4" xfId="42111"/>
    <cellStyle name="Table  - Opmaakprofiel6 2 20 6 4 2 5" xfId="55795"/>
    <cellStyle name="Table  - Opmaakprofiel6 2 20 6 4 3" xfId="16959"/>
    <cellStyle name="Table  - Opmaakprofiel6 2 20 6 4 4" xfId="29011"/>
    <cellStyle name="Table  - Opmaakprofiel6 2 20 6 4 5" xfId="38546"/>
    <cellStyle name="Table  - Opmaakprofiel6 2 20 6 4 6" xfId="49983"/>
    <cellStyle name="Table  - Opmaakprofiel6 2 20 6 5" xfId="5997"/>
    <cellStyle name="Table  - Opmaakprofiel6 2 20 6 5 2" xfId="10831"/>
    <cellStyle name="Table  - Opmaakprofiel6 2 20 6 5 2 2" xfId="23129"/>
    <cellStyle name="Table  - Opmaakprofiel6 2 20 6 5 2 3" xfId="35181"/>
    <cellStyle name="Table  - Opmaakprofiel6 2 20 6 5 2 4" xfId="30085"/>
    <cellStyle name="Table  - Opmaakprofiel6 2 20 6 5 2 5" xfId="55796"/>
    <cellStyle name="Table  - Opmaakprofiel6 2 20 6 5 3" xfId="16960"/>
    <cellStyle name="Table  - Opmaakprofiel6 2 20 6 5 4" xfId="29012"/>
    <cellStyle name="Table  - Opmaakprofiel6 2 20 6 5 5" xfId="38545"/>
    <cellStyle name="Table  - Opmaakprofiel6 2 20 6 5 6" xfId="49984"/>
    <cellStyle name="Table  - Opmaakprofiel6 2 20 6 6" xfId="5998"/>
    <cellStyle name="Table  - Opmaakprofiel6 2 20 6 6 2" xfId="10832"/>
    <cellStyle name="Table  - Opmaakprofiel6 2 20 6 6 2 2" xfId="23130"/>
    <cellStyle name="Table  - Opmaakprofiel6 2 20 6 6 2 3" xfId="35182"/>
    <cellStyle name="Table  - Opmaakprofiel6 2 20 6 6 2 4" xfId="42110"/>
    <cellStyle name="Table  - Opmaakprofiel6 2 20 6 6 2 5" xfId="55797"/>
    <cellStyle name="Table  - Opmaakprofiel6 2 20 6 6 3" xfId="16961"/>
    <cellStyle name="Table  - Opmaakprofiel6 2 20 6 6 4" xfId="29013"/>
    <cellStyle name="Table  - Opmaakprofiel6 2 20 6 6 5" xfId="44674"/>
    <cellStyle name="Table  - Opmaakprofiel6 2 20 6 6 6" xfId="49985"/>
    <cellStyle name="Table  - Opmaakprofiel6 2 20 6 7" xfId="5999"/>
    <cellStyle name="Table  - Opmaakprofiel6 2 20 6 7 2" xfId="16962"/>
    <cellStyle name="Table  - Opmaakprofiel6 2 20 6 7 3" xfId="29014"/>
    <cellStyle name="Table  - Opmaakprofiel6 2 20 6 7 4" xfId="38544"/>
    <cellStyle name="Table  - Opmaakprofiel6 2 20 6 7 5" xfId="49986"/>
    <cellStyle name="Table  - Opmaakprofiel6 2 20 6 8" xfId="7210"/>
    <cellStyle name="Table  - Opmaakprofiel6 2 20 6 8 2" xfId="19508"/>
    <cellStyle name="Table  - Opmaakprofiel6 2 20 6 8 3" xfId="41311"/>
    <cellStyle name="Table  - Opmaakprofiel6 2 20 6 8 4" xfId="43604"/>
    <cellStyle name="Table  - Opmaakprofiel6 2 20 6 8 5" xfId="52180"/>
    <cellStyle name="Table  - Opmaakprofiel6 2 20 6 9" xfId="16956"/>
    <cellStyle name="Table  - Opmaakprofiel6 2 20 7" xfId="2006"/>
    <cellStyle name="Table  - Opmaakprofiel6 2 20 7 2" xfId="10833"/>
    <cellStyle name="Table  - Opmaakprofiel6 2 20 7 2 2" xfId="23131"/>
    <cellStyle name="Table  - Opmaakprofiel6 2 20 7 2 3" xfId="35183"/>
    <cellStyle name="Table  - Opmaakprofiel6 2 20 7 2 4" xfId="31515"/>
    <cellStyle name="Table  - Opmaakprofiel6 2 20 7 2 5" xfId="55798"/>
    <cellStyle name="Table  - Opmaakprofiel6 2 20 7 3" xfId="16963"/>
    <cellStyle name="Table  - Opmaakprofiel6 2 20 7 4" xfId="29015"/>
    <cellStyle name="Table  - Opmaakprofiel6 2 20 7 5" xfId="44673"/>
    <cellStyle name="Table  - Opmaakprofiel6 2 20 7 6" xfId="49987"/>
    <cellStyle name="Table  - Opmaakprofiel6 2 20 8" xfId="2787"/>
    <cellStyle name="Table  - Opmaakprofiel6 2 20 8 2" xfId="10834"/>
    <cellStyle name="Table  - Opmaakprofiel6 2 20 8 2 2" xfId="23132"/>
    <cellStyle name="Table  - Opmaakprofiel6 2 20 8 2 3" xfId="35184"/>
    <cellStyle name="Table  - Opmaakprofiel6 2 20 8 2 4" xfId="30092"/>
    <cellStyle name="Table  - Opmaakprofiel6 2 20 8 2 5" xfId="55799"/>
    <cellStyle name="Table  - Opmaakprofiel6 2 20 8 3" xfId="16964"/>
    <cellStyle name="Table  - Opmaakprofiel6 2 20 8 4" xfId="29016"/>
    <cellStyle name="Table  - Opmaakprofiel6 2 20 8 5" xfId="38543"/>
    <cellStyle name="Table  - Opmaakprofiel6 2 20 8 6" xfId="49988"/>
    <cellStyle name="Table  - Opmaakprofiel6 2 20 9" xfId="3649"/>
    <cellStyle name="Table  - Opmaakprofiel6 2 20 9 2" xfId="10835"/>
    <cellStyle name="Table  - Opmaakprofiel6 2 20 9 2 2" xfId="23133"/>
    <cellStyle name="Table  - Opmaakprofiel6 2 20 9 2 3" xfId="35185"/>
    <cellStyle name="Table  - Opmaakprofiel6 2 20 9 2 4" xfId="31955"/>
    <cellStyle name="Table  - Opmaakprofiel6 2 20 9 2 5" xfId="55800"/>
    <cellStyle name="Table  - Opmaakprofiel6 2 20 9 3" xfId="16965"/>
    <cellStyle name="Table  - Opmaakprofiel6 2 20 9 4" xfId="29017"/>
    <cellStyle name="Table  - Opmaakprofiel6 2 20 9 5" xfId="44672"/>
    <cellStyle name="Table  - Opmaakprofiel6 2 20 9 6" xfId="49989"/>
    <cellStyle name="Table  - Opmaakprofiel6 2 21" xfId="713"/>
    <cellStyle name="Table  - Opmaakprofiel6 2 21 10" xfId="6000"/>
    <cellStyle name="Table  - Opmaakprofiel6 2 21 10 2" xfId="10836"/>
    <cellStyle name="Table  - Opmaakprofiel6 2 21 10 2 2" xfId="23134"/>
    <cellStyle name="Table  - Opmaakprofiel6 2 21 10 2 3" xfId="35186"/>
    <cellStyle name="Table  - Opmaakprofiel6 2 21 10 2 4" xfId="42109"/>
    <cellStyle name="Table  - Opmaakprofiel6 2 21 10 2 5" xfId="55801"/>
    <cellStyle name="Table  - Opmaakprofiel6 2 21 10 3" xfId="16967"/>
    <cellStyle name="Table  - Opmaakprofiel6 2 21 10 4" xfId="29019"/>
    <cellStyle name="Table  - Opmaakprofiel6 2 21 10 5" xfId="44671"/>
    <cellStyle name="Table  - Opmaakprofiel6 2 21 10 6" xfId="49990"/>
    <cellStyle name="Table  - Opmaakprofiel6 2 21 11" xfId="6001"/>
    <cellStyle name="Table  - Opmaakprofiel6 2 21 11 2" xfId="10837"/>
    <cellStyle name="Table  - Opmaakprofiel6 2 21 11 2 2" xfId="23135"/>
    <cellStyle name="Table  - Opmaakprofiel6 2 21 11 2 3" xfId="35187"/>
    <cellStyle name="Table  - Opmaakprofiel6 2 21 11 2 4" xfId="30102"/>
    <cellStyle name="Table  - Opmaakprofiel6 2 21 11 2 5" xfId="55802"/>
    <cellStyle name="Table  - Opmaakprofiel6 2 21 11 3" xfId="16968"/>
    <cellStyle name="Table  - Opmaakprofiel6 2 21 11 4" xfId="29020"/>
    <cellStyle name="Table  - Opmaakprofiel6 2 21 11 5" xfId="38541"/>
    <cellStyle name="Table  - Opmaakprofiel6 2 21 11 6" xfId="49991"/>
    <cellStyle name="Table  - Opmaakprofiel6 2 21 12" xfId="6002"/>
    <cellStyle name="Table  - Opmaakprofiel6 2 21 12 2" xfId="16969"/>
    <cellStyle name="Table  - Opmaakprofiel6 2 21 12 3" xfId="29021"/>
    <cellStyle name="Table  - Opmaakprofiel6 2 21 12 4" xfId="44670"/>
    <cellStyle name="Table  - Opmaakprofiel6 2 21 12 5" xfId="49992"/>
    <cellStyle name="Table  - Opmaakprofiel6 2 21 13" xfId="7505"/>
    <cellStyle name="Table  - Opmaakprofiel6 2 21 13 2" xfId="19803"/>
    <cellStyle name="Table  - Opmaakprofiel6 2 21 13 3" xfId="41606"/>
    <cellStyle name="Table  - Opmaakprofiel6 2 21 13 4" xfId="14100"/>
    <cellStyle name="Table  - Opmaakprofiel6 2 21 13 5" xfId="52475"/>
    <cellStyle name="Table  - Opmaakprofiel6 2 21 14" xfId="16966"/>
    <cellStyle name="Table  - Opmaakprofiel6 2 21 2" xfId="886"/>
    <cellStyle name="Table  - Opmaakprofiel6 2 21 2 2" xfId="1564"/>
    <cellStyle name="Table  - Opmaakprofiel6 2 21 2 2 2" xfId="10838"/>
    <cellStyle name="Table  - Opmaakprofiel6 2 21 2 2 2 2" xfId="23136"/>
    <cellStyle name="Table  - Opmaakprofiel6 2 21 2 2 2 3" xfId="35188"/>
    <cellStyle name="Table  - Opmaakprofiel6 2 21 2 2 2 4" xfId="42108"/>
    <cellStyle name="Table  - Opmaakprofiel6 2 21 2 2 2 5" xfId="55803"/>
    <cellStyle name="Table  - Opmaakprofiel6 2 21 2 2 3" xfId="16971"/>
    <cellStyle name="Table  - Opmaakprofiel6 2 21 2 2 4" xfId="29023"/>
    <cellStyle name="Table  - Opmaakprofiel6 2 21 2 2 5" xfId="38539"/>
    <cellStyle name="Table  - Opmaakprofiel6 2 21 2 2 6" xfId="49993"/>
    <cellStyle name="Table  - Opmaakprofiel6 2 21 2 3" xfId="2897"/>
    <cellStyle name="Table  - Opmaakprofiel6 2 21 2 3 2" xfId="10839"/>
    <cellStyle name="Table  - Opmaakprofiel6 2 21 2 3 2 2" xfId="23137"/>
    <cellStyle name="Table  - Opmaakprofiel6 2 21 2 3 2 3" xfId="35189"/>
    <cellStyle name="Table  - Opmaakprofiel6 2 21 2 3 2 4" xfId="31815"/>
    <cellStyle name="Table  - Opmaakprofiel6 2 21 2 3 2 5" xfId="55804"/>
    <cellStyle name="Table  - Opmaakprofiel6 2 21 2 3 3" xfId="16972"/>
    <cellStyle name="Table  - Opmaakprofiel6 2 21 2 3 4" xfId="29024"/>
    <cellStyle name="Table  - Opmaakprofiel6 2 21 2 3 5" xfId="38538"/>
    <cellStyle name="Table  - Opmaakprofiel6 2 21 2 3 6" xfId="49994"/>
    <cellStyle name="Table  - Opmaakprofiel6 2 21 2 4" xfId="3750"/>
    <cellStyle name="Table  - Opmaakprofiel6 2 21 2 4 2" xfId="10840"/>
    <cellStyle name="Table  - Opmaakprofiel6 2 21 2 4 2 2" xfId="23138"/>
    <cellStyle name="Table  - Opmaakprofiel6 2 21 2 4 2 3" xfId="35190"/>
    <cellStyle name="Table  - Opmaakprofiel6 2 21 2 4 2 4" xfId="30106"/>
    <cellStyle name="Table  - Opmaakprofiel6 2 21 2 4 2 5" xfId="55805"/>
    <cellStyle name="Table  - Opmaakprofiel6 2 21 2 4 3" xfId="16973"/>
    <cellStyle name="Table  - Opmaakprofiel6 2 21 2 4 4" xfId="29025"/>
    <cellStyle name="Table  - Opmaakprofiel6 2 21 2 4 5" xfId="44669"/>
    <cellStyle name="Table  - Opmaakprofiel6 2 21 2 4 6" xfId="49995"/>
    <cellStyle name="Table  - Opmaakprofiel6 2 21 2 5" xfId="6003"/>
    <cellStyle name="Table  - Opmaakprofiel6 2 21 2 5 2" xfId="10841"/>
    <cellStyle name="Table  - Opmaakprofiel6 2 21 2 5 2 2" xfId="23139"/>
    <cellStyle name="Table  - Opmaakprofiel6 2 21 2 5 2 3" xfId="35191"/>
    <cellStyle name="Table  - Opmaakprofiel6 2 21 2 5 2 4" xfId="42107"/>
    <cellStyle name="Table  - Opmaakprofiel6 2 21 2 5 2 5" xfId="55806"/>
    <cellStyle name="Table  - Opmaakprofiel6 2 21 2 5 3" xfId="16974"/>
    <cellStyle name="Table  - Opmaakprofiel6 2 21 2 5 4" xfId="29026"/>
    <cellStyle name="Table  - Opmaakprofiel6 2 21 2 5 5" xfId="38537"/>
    <cellStyle name="Table  - Opmaakprofiel6 2 21 2 5 6" xfId="49996"/>
    <cellStyle name="Table  - Opmaakprofiel6 2 21 2 6" xfId="6004"/>
    <cellStyle name="Table  - Opmaakprofiel6 2 21 2 6 2" xfId="10842"/>
    <cellStyle name="Table  - Opmaakprofiel6 2 21 2 6 2 2" xfId="23140"/>
    <cellStyle name="Table  - Opmaakprofiel6 2 21 2 6 2 3" xfId="35192"/>
    <cellStyle name="Table  - Opmaakprofiel6 2 21 2 6 2 4" xfId="31704"/>
    <cellStyle name="Table  - Opmaakprofiel6 2 21 2 6 2 5" xfId="55807"/>
    <cellStyle name="Table  - Opmaakprofiel6 2 21 2 6 3" xfId="16975"/>
    <cellStyle name="Table  - Opmaakprofiel6 2 21 2 6 4" xfId="29027"/>
    <cellStyle name="Table  - Opmaakprofiel6 2 21 2 6 5" xfId="44668"/>
    <cellStyle name="Table  - Opmaakprofiel6 2 21 2 6 6" xfId="49997"/>
    <cellStyle name="Table  - Opmaakprofiel6 2 21 2 7" xfId="6005"/>
    <cellStyle name="Table  - Opmaakprofiel6 2 21 2 7 2" xfId="16976"/>
    <cellStyle name="Table  - Opmaakprofiel6 2 21 2 7 3" xfId="29028"/>
    <cellStyle name="Table  - Opmaakprofiel6 2 21 2 7 4" xfId="38536"/>
    <cellStyle name="Table  - Opmaakprofiel6 2 21 2 7 5" xfId="49998"/>
    <cellStyle name="Table  - Opmaakprofiel6 2 21 2 8" xfId="10076"/>
    <cellStyle name="Table  - Opmaakprofiel6 2 21 2 8 2" xfId="22374"/>
    <cellStyle name="Table  - Opmaakprofiel6 2 21 2 8 3" xfId="44138"/>
    <cellStyle name="Table  - Opmaakprofiel6 2 21 2 8 4" xfId="42425"/>
    <cellStyle name="Table  - Opmaakprofiel6 2 21 2 8 5" xfId="55041"/>
    <cellStyle name="Table  - Opmaakprofiel6 2 21 2 9" xfId="16970"/>
    <cellStyle name="Table  - Opmaakprofiel6 2 21 3" xfId="986"/>
    <cellStyle name="Table  - Opmaakprofiel6 2 21 3 2" xfId="2058"/>
    <cellStyle name="Table  - Opmaakprofiel6 2 21 3 2 2" xfId="10843"/>
    <cellStyle name="Table  - Opmaakprofiel6 2 21 3 2 2 2" xfId="23141"/>
    <cellStyle name="Table  - Opmaakprofiel6 2 21 3 2 2 3" xfId="35193"/>
    <cellStyle name="Table  - Opmaakprofiel6 2 21 3 2 2 4" xfId="42106"/>
    <cellStyle name="Table  - Opmaakprofiel6 2 21 3 2 2 5" xfId="55808"/>
    <cellStyle name="Table  - Opmaakprofiel6 2 21 3 2 3" xfId="16978"/>
    <cellStyle name="Table  - Opmaakprofiel6 2 21 3 2 4" xfId="29030"/>
    <cellStyle name="Table  - Opmaakprofiel6 2 21 3 2 5" xfId="38535"/>
    <cellStyle name="Table  - Opmaakprofiel6 2 21 3 2 6" xfId="49999"/>
    <cellStyle name="Table  - Opmaakprofiel6 2 21 3 3" xfId="2997"/>
    <cellStyle name="Table  - Opmaakprofiel6 2 21 3 3 2" xfId="10844"/>
    <cellStyle name="Table  - Opmaakprofiel6 2 21 3 3 2 2" xfId="23142"/>
    <cellStyle name="Table  - Opmaakprofiel6 2 21 3 3 2 3" xfId="35194"/>
    <cellStyle name="Table  - Opmaakprofiel6 2 21 3 3 2 4" xfId="30113"/>
    <cellStyle name="Table  - Opmaakprofiel6 2 21 3 3 2 5" xfId="55809"/>
    <cellStyle name="Table  - Opmaakprofiel6 2 21 3 3 3" xfId="16979"/>
    <cellStyle name="Table  - Opmaakprofiel6 2 21 3 3 4" xfId="29031"/>
    <cellStyle name="Table  - Opmaakprofiel6 2 21 3 3 5" xfId="44666"/>
    <cellStyle name="Table  - Opmaakprofiel6 2 21 3 3 6" xfId="50000"/>
    <cellStyle name="Table  - Opmaakprofiel6 2 21 3 4" xfId="3843"/>
    <cellStyle name="Table  - Opmaakprofiel6 2 21 3 4 2" xfId="10845"/>
    <cellStyle name="Table  - Opmaakprofiel6 2 21 3 4 2 2" xfId="23143"/>
    <cellStyle name="Table  - Opmaakprofiel6 2 21 3 4 2 3" xfId="35195"/>
    <cellStyle name="Table  - Opmaakprofiel6 2 21 3 4 2 4" xfId="42105"/>
    <cellStyle name="Table  - Opmaakprofiel6 2 21 3 4 2 5" xfId="55810"/>
    <cellStyle name="Table  - Opmaakprofiel6 2 21 3 4 3" xfId="16980"/>
    <cellStyle name="Table  - Opmaakprofiel6 2 21 3 4 4" xfId="29032"/>
    <cellStyle name="Table  - Opmaakprofiel6 2 21 3 4 5" xfId="38534"/>
    <cellStyle name="Table  - Opmaakprofiel6 2 21 3 4 6" xfId="50001"/>
    <cellStyle name="Table  - Opmaakprofiel6 2 21 3 5" xfId="6006"/>
    <cellStyle name="Table  - Opmaakprofiel6 2 21 3 5 2" xfId="10846"/>
    <cellStyle name="Table  - Opmaakprofiel6 2 21 3 5 2 2" xfId="23144"/>
    <cellStyle name="Table  - Opmaakprofiel6 2 21 3 5 2 3" xfId="35196"/>
    <cellStyle name="Table  - Opmaakprofiel6 2 21 3 5 2 4" xfId="31637"/>
    <cellStyle name="Table  - Opmaakprofiel6 2 21 3 5 2 5" xfId="55811"/>
    <cellStyle name="Table  - Opmaakprofiel6 2 21 3 5 3" xfId="16981"/>
    <cellStyle name="Table  - Opmaakprofiel6 2 21 3 5 4" xfId="29033"/>
    <cellStyle name="Table  - Opmaakprofiel6 2 21 3 5 5" xfId="44665"/>
    <cellStyle name="Table  - Opmaakprofiel6 2 21 3 5 6" xfId="50002"/>
    <cellStyle name="Table  - Opmaakprofiel6 2 21 3 6" xfId="6007"/>
    <cellStyle name="Table  - Opmaakprofiel6 2 21 3 6 2" xfId="10847"/>
    <cellStyle name="Table  - Opmaakprofiel6 2 21 3 6 2 2" xfId="23145"/>
    <cellStyle name="Table  - Opmaakprofiel6 2 21 3 6 2 3" xfId="35197"/>
    <cellStyle name="Table  - Opmaakprofiel6 2 21 3 6 2 4" xfId="30120"/>
    <cellStyle name="Table  - Opmaakprofiel6 2 21 3 6 2 5" xfId="55812"/>
    <cellStyle name="Table  - Opmaakprofiel6 2 21 3 6 3" xfId="16982"/>
    <cellStyle name="Table  - Opmaakprofiel6 2 21 3 6 4" xfId="29034"/>
    <cellStyle name="Table  - Opmaakprofiel6 2 21 3 6 5" xfId="38533"/>
    <cellStyle name="Table  - Opmaakprofiel6 2 21 3 6 6" xfId="50003"/>
    <cellStyle name="Table  - Opmaakprofiel6 2 21 3 7" xfId="6008"/>
    <cellStyle name="Table  - Opmaakprofiel6 2 21 3 7 2" xfId="16983"/>
    <cellStyle name="Table  - Opmaakprofiel6 2 21 3 7 3" xfId="29035"/>
    <cellStyle name="Table  - Opmaakprofiel6 2 21 3 7 4" xfId="38532"/>
    <cellStyle name="Table  - Opmaakprofiel6 2 21 3 7 5" xfId="50004"/>
    <cellStyle name="Table  - Opmaakprofiel6 2 21 3 8" xfId="10012"/>
    <cellStyle name="Table  - Opmaakprofiel6 2 21 3 8 2" xfId="22310"/>
    <cellStyle name="Table  - Opmaakprofiel6 2 21 3 8 3" xfId="44075"/>
    <cellStyle name="Table  - Opmaakprofiel6 2 21 3 8 4" xfId="31850"/>
    <cellStyle name="Table  - Opmaakprofiel6 2 21 3 8 5" xfId="54977"/>
    <cellStyle name="Table  - Opmaakprofiel6 2 21 3 9" xfId="16977"/>
    <cellStyle name="Table  - Opmaakprofiel6 2 21 4" xfId="1046"/>
    <cellStyle name="Table  - Opmaakprofiel6 2 21 4 2" xfId="2037"/>
    <cellStyle name="Table  - Opmaakprofiel6 2 21 4 2 2" xfId="10848"/>
    <cellStyle name="Table  - Opmaakprofiel6 2 21 4 2 2 2" xfId="23146"/>
    <cellStyle name="Table  - Opmaakprofiel6 2 21 4 2 2 3" xfId="35198"/>
    <cellStyle name="Table  - Opmaakprofiel6 2 21 4 2 2 4" xfId="42104"/>
    <cellStyle name="Table  - Opmaakprofiel6 2 21 4 2 2 5" xfId="55813"/>
    <cellStyle name="Table  - Opmaakprofiel6 2 21 4 2 3" xfId="16985"/>
    <cellStyle name="Table  - Opmaakprofiel6 2 21 4 2 4" xfId="29037"/>
    <cellStyle name="Table  - Opmaakprofiel6 2 21 4 2 5" xfId="44664"/>
    <cellStyle name="Table  - Opmaakprofiel6 2 21 4 2 6" xfId="50005"/>
    <cellStyle name="Table  - Opmaakprofiel6 2 21 4 3" xfId="3057"/>
    <cellStyle name="Table  - Opmaakprofiel6 2 21 4 3 2" xfId="10849"/>
    <cellStyle name="Table  - Opmaakprofiel6 2 21 4 3 2 2" xfId="23147"/>
    <cellStyle name="Table  - Opmaakprofiel6 2 21 4 3 2 3" xfId="35199"/>
    <cellStyle name="Table  - Opmaakprofiel6 2 21 4 3 2 4" xfId="31584"/>
    <cellStyle name="Table  - Opmaakprofiel6 2 21 4 3 2 5" xfId="55814"/>
    <cellStyle name="Table  - Opmaakprofiel6 2 21 4 3 3" xfId="16986"/>
    <cellStyle name="Table  - Opmaakprofiel6 2 21 4 3 4" xfId="29038"/>
    <cellStyle name="Table  - Opmaakprofiel6 2 21 4 3 5" xfId="38530"/>
    <cellStyle name="Table  - Opmaakprofiel6 2 21 4 3 6" xfId="50006"/>
    <cellStyle name="Table  - Opmaakprofiel6 2 21 4 4" xfId="3898"/>
    <cellStyle name="Table  - Opmaakprofiel6 2 21 4 4 2" xfId="10850"/>
    <cellStyle name="Table  - Opmaakprofiel6 2 21 4 4 2 2" xfId="23148"/>
    <cellStyle name="Table  - Opmaakprofiel6 2 21 4 4 2 3" xfId="35200"/>
    <cellStyle name="Table  - Opmaakprofiel6 2 21 4 4 2 4" xfId="42103"/>
    <cellStyle name="Table  - Opmaakprofiel6 2 21 4 4 2 5" xfId="55815"/>
    <cellStyle name="Table  - Opmaakprofiel6 2 21 4 4 3" xfId="16987"/>
    <cellStyle name="Table  - Opmaakprofiel6 2 21 4 4 4" xfId="29039"/>
    <cellStyle name="Table  - Opmaakprofiel6 2 21 4 4 5" xfId="44663"/>
    <cellStyle name="Table  - Opmaakprofiel6 2 21 4 4 6" xfId="50007"/>
    <cellStyle name="Table  - Opmaakprofiel6 2 21 4 5" xfId="6009"/>
    <cellStyle name="Table  - Opmaakprofiel6 2 21 4 5 2" xfId="10851"/>
    <cellStyle name="Table  - Opmaakprofiel6 2 21 4 5 2 2" xfId="23149"/>
    <cellStyle name="Table  - Opmaakprofiel6 2 21 4 5 2 3" xfId="35201"/>
    <cellStyle name="Table  - Opmaakprofiel6 2 21 4 5 2 4" xfId="30127"/>
    <cellStyle name="Table  - Opmaakprofiel6 2 21 4 5 2 5" xfId="55816"/>
    <cellStyle name="Table  - Opmaakprofiel6 2 21 4 5 3" xfId="16988"/>
    <cellStyle name="Table  - Opmaakprofiel6 2 21 4 5 4" xfId="29040"/>
    <cellStyle name="Table  - Opmaakprofiel6 2 21 4 5 5" xfId="38529"/>
    <cellStyle name="Table  - Opmaakprofiel6 2 21 4 5 6" xfId="50008"/>
    <cellStyle name="Table  - Opmaakprofiel6 2 21 4 6" xfId="6010"/>
    <cellStyle name="Table  - Opmaakprofiel6 2 21 4 6 2" xfId="10852"/>
    <cellStyle name="Table  - Opmaakprofiel6 2 21 4 6 2 2" xfId="23150"/>
    <cellStyle name="Table  - Opmaakprofiel6 2 21 4 6 2 3" xfId="35202"/>
    <cellStyle name="Table  - Opmaakprofiel6 2 21 4 6 2 4" xfId="42102"/>
    <cellStyle name="Table  - Opmaakprofiel6 2 21 4 6 2 5" xfId="55817"/>
    <cellStyle name="Table  - Opmaakprofiel6 2 21 4 6 3" xfId="16989"/>
    <cellStyle name="Table  - Opmaakprofiel6 2 21 4 6 4" xfId="29041"/>
    <cellStyle name="Table  - Opmaakprofiel6 2 21 4 6 5" xfId="44662"/>
    <cellStyle name="Table  - Opmaakprofiel6 2 21 4 6 6" xfId="50009"/>
    <cellStyle name="Table  - Opmaakprofiel6 2 21 4 7" xfId="6011"/>
    <cellStyle name="Table  - Opmaakprofiel6 2 21 4 7 2" xfId="16990"/>
    <cellStyle name="Table  - Opmaakprofiel6 2 21 4 7 3" xfId="29042"/>
    <cellStyle name="Table  - Opmaakprofiel6 2 21 4 7 4" xfId="38528"/>
    <cellStyle name="Table  - Opmaakprofiel6 2 21 4 7 5" xfId="50010"/>
    <cellStyle name="Table  - Opmaakprofiel6 2 21 4 8" xfId="9969"/>
    <cellStyle name="Table  - Opmaakprofiel6 2 21 4 8 2" xfId="22267"/>
    <cellStyle name="Table  - Opmaakprofiel6 2 21 4 8 3" xfId="44032"/>
    <cellStyle name="Table  - Opmaakprofiel6 2 21 4 8 4" xfId="34460"/>
    <cellStyle name="Table  - Opmaakprofiel6 2 21 4 8 5" xfId="54934"/>
    <cellStyle name="Table  - Opmaakprofiel6 2 21 4 9" xfId="16984"/>
    <cellStyle name="Table  - Opmaakprofiel6 2 21 5" xfId="1160"/>
    <cellStyle name="Table  - Opmaakprofiel6 2 21 5 2" xfId="1696"/>
    <cellStyle name="Table  - Opmaakprofiel6 2 21 5 2 2" xfId="10853"/>
    <cellStyle name="Table  - Opmaakprofiel6 2 21 5 2 2 2" xfId="23151"/>
    <cellStyle name="Table  - Opmaakprofiel6 2 21 5 2 2 3" xfId="35203"/>
    <cellStyle name="Table  - Opmaakprofiel6 2 21 5 2 2 4" xfId="31519"/>
    <cellStyle name="Table  - Opmaakprofiel6 2 21 5 2 2 5" xfId="55818"/>
    <cellStyle name="Table  - Opmaakprofiel6 2 21 5 2 3" xfId="16992"/>
    <cellStyle name="Table  - Opmaakprofiel6 2 21 5 2 4" xfId="29044"/>
    <cellStyle name="Table  - Opmaakprofiel6 2 21 5 2 5" xfId="38527"/>
    <cellStyle name="Table  - Opmaakprofiel6 2 21 5 2 6" xfId="50011"/>
    <cellStyle name="Table  - Opmaakprofiel6 2 21 5 3" xfId="3171"/>
    <cellStyle name="Table  - Opmaakprofiel6 2 21 5 3 2" xfId="10854"/>
    <cellStyle name="Table  - Opmaakprofiel6 2 21 5 3 2 2" xfId="23152"/>
    <cellStyle name="Table  - Opmaakprofiel6 2 21 5 3 2 3" xfId="35204"/>
    <cellStyle name="Table  - Opmaakprofiel6 2 21 5 3 2 4" xfId="42101"/>
    <cellStyle name="Table  - Opmaakprofiel6 2 21 5 3 2 5" xfId="55819"/>
    <cellStyle name="Table  - Opmaakprofiel6 2 21 5 3 3" xfId="16993"/>
    <cellStyle name="Table  - Opmaakprofiel6 2 21 5 3 4" xfId="29045"/>
    <cellStyle name="Table  - Opmaakprofiel6 2 21 5 3 5" xfId="44660"/>
    <cellStyle name="Table  - Opmaakprofiel6 2 21 5 3 6" xfId="50012"/>
    <cellStyle name="Table  - Opmaakprofiel6 2 21 5 4" xfId="3993"/>
    <cellStyle name="Table  - Opmaakprofiel6 2 21 5 4 2" xfId="10855"/>
    <cellStyle name="Table  - Opmaakprofiel6 2 21 5 4 2 2" xfId="23153"/>
    <cellStyle name="Table  - Opmaakprofiel6 2 21 5 4 2 3" xfId="35205"/>
    <cellStyle name="Table  - Opmaakprofiel6 2 21 5 4 2 4" xfId="30134"/>
    <cellStyle name="Table  - Opmaakprofiel6 2 21 5 4 2 5" xfId="55820"/>
    <cellStyle name="Table  - Opmaakprofiel6 2 21 5 4 3" xfId="16994"/>
    <cellStyle name="Table  - Opmaakprofiel6 2 21 5 4 4" xfId="29046"/>
    <cellStyle name="Table  - Opmaakprofiel6 2 21 5 4 5" xfId="38526"/>
    <cellStyle name="Table  - Opmaakprofiel6 2 21 5 4 6" xfId="50013"/>
    <cellStyle name="Table  - Opmaakprofiel6 2 21 5 5" xfId="6012"/>
    <cellStyle name="Table  - Opmaakprofiel6 2 21 5 5 2" xfId="10856"/>
    <cellStyle name="Table  - Opmaakprofiel6 2 21 5 5 2 2" xfId="23154"/>
    <cellStyle name="Table  - Opmaakprofiel6 2 21 5 5 2 3" xfId="35206"/>
    <cellStyle name="Table  - Opmaakprofiel6 2 21 5 5 2 4" xfId="42100"/>
    <cellStyle name="Table  - Opmaakprofiel6 2 21 5 5 2 5" xfId="55821"/>
    <cellStyle name="Table  - Opmaakprofiel6 2 21 5 5 3" xfId="16995"/>
    <cellStyle name="Table  - Opmaakprofiel6 2 21 5 5 4" xfId="29047"/>
    <cellStyle name="Table  - Opmaakprofiel6 2 21 5 5 5" xfId="38525"/>
    <cellStyle name="Table  - Opmaakprofiel6 2 21 5 5 6" xfId="50014"/>
    <cellStyle name="Table  - Opmaakprofiel6 2 21 5 6" xfId="6013"/>
    <cellStyle name="Table  - Opmaakprofiel6 2 21 5 6 2" xfId="10857"/>
    <cellStyle name="Table  - Opmaakprofiel6 2 21 5 6 2 2" xfId="23155"/>
    <cellStyle name="Table  - Opmaakprofiel6 2 21 5 6 2 3" xfId="35207"/>
    <cellStyle name="Table  - Opmaakprofiel6 2 21 5 6 2 4" xfId="32048"/>
    <cellStyle name="Table  - Opmaakprofiel6 2 21 5 6 2 5" xfId="55822"/>
    <cellStyle name="Table  - Opmaakprofiel6 2 21 5 6 3" xfId="16996"/>
    <cellStyle name="Table  - Opmaakprofiel6 2 21 5 6 4" xfId="29048"/>
    <cellStyle name="Table  - Opmaakprofiel6 2 21 5 6 5" xfId="38524"/>
    <cellStyle name="Table  - Opmaakprofiel6 2 21 5 6 6" xfId="50015"/>
    <cellStyle name="Table  - Opmaakprofiel6 2 21 5 7" xfId="6014"/>
    <cellStyle name="Table  - Opmaakprofiel6 2 21 5 7 2" xfId="16997"/>
    <cellStyle name="Table  - Opmaakprofiel6 2 21 5 7 3" xfId="29049"/>
    <cellStyle name="Table  - Opmaakprofiel6 2 21 5 7 4" xfId="44659"/>
    <cellStyle name="Table  - Opmaakprofiel6 2 21 5 7 5" xfId="50016"/>
    <cellStyle name="Table  - Opmaakprofiel6 2 21 5 8" xfId="7203"/>
    <cellStyle name="Table  - Opmaakprofiel6 2 21 5 8 2" xfId="19501"/>
    <cellStyle name="Table  - Opmaakprofiel6 2 21 5 8 3" xfId="41304"/>
    <cellStyle name="Table  - Opmaakprofiel6 2 21 5 8 4" xfId="36916"/>
    <cellStyle name="Table  - Opmaakprofiel6 2 21 5 8 5" xfId="52173"/>
    <cellStyle name="Table  - Opmaakprofiel6 2 21 5 9" xfId="16991"/>
    <cellStyle name="Table  - Opmaakprofiel6 2 21 6" xfId="587"/>
    <cellStyle name="Table  - Opmaakprofiel6 2 21 6 2" xfId="2027"/>
    <cellStyle name="Table  - Opmaakprofiel6 2 21 6 2 2" xfId="10858"/>
    <cellStyle name="Table  - Opmaakprofiel6 2 21 6 2 2 2" xfId="23156"/>
    <cellStyle name="Table  - Opmaakprofiel6 2 21 6 2 2 3" xfId="35208"/>
    <cellStyle name="Table  - Opmaakprofiel6 2 21 6 2 2 4" xfId="30144"/>
    <cellStyle name="Table  - Opmaakprofiel6 2 21 6 2 2 5" xfId="55823"/>
    <cellStyle name="Table  - Opmaakprofiel6 2 21 6 2 3" xfId="16999"/>
    <cellStyle name="Table  - Opmaakprofiel6 2 21 6 2 4" xfId="29051"/>
    <cellStyle name="Table  - Opmaakprofiel6 2 21 6 2 5" xfId="44658"/>
    <cellStyle name="Table  - Opmaakprofiel6 2 21 6 2 6" xfId="50017"/>
    <cellStyle name="Table  - Opmaakprofiel6 2 21 6 3" xfId="2658"/>
    <cellStyle name="Table  - Opmaakprofiel6 2 21 6 3 2" xfId="10859"/>
    <cellStyle name="Table  - Opmaakprofiel6 2 21 6 3 2 2" xfId="23157"/>
    <cellStyle name="Table  - Opmaakprofiel6 2 21 6 3 2 3" xfId="35209"/>
    <cellStyle name="Table  - Opmaakprofiel6 2 21 6 3 2 4" xfId="34530"/>
    <cellStyle name="Table  - Opmaakprofiel6 2 21 6 3 2 5" xfId="55824"/>
    <cellStyle name="Table  - Opmaakprofiel6 2 21 6 3 3" xfId="17000"/>
    <cellStyle name="Table  - Opmaakprofiel6 2 21 6 3 4" xfId="29052"/>
    <cellStyle name="Table  - Opmaakprofiel6 2 21 6 3 5" xfId="38523"/>
    <cellStyle name="Table  - Opmaakprofiel6 2 21 6 3 6" xfId="50018"/>
    <cellStyle name="Table  - Opmaakprofiel6 2 21 6 4" xfId="3533"/>
    <cellStyle name="Table  - Opmaakprofiel6 2 21 6 4 2" xfId="10860"/>
    <cellStyle name="Table  - Opmaakprofiel6 2 21 6 4 2 2" xfId="23158"/>
    <cellStyle name="Table  - Opmaakprofiel6 2 21 6 4 2 3" xfId="35210"/>
    <cellStyle name="Table  - Opmaakprofiel6 2 21 6 4 2 4" xfId="42099"/>
    <cellStyle name="Table  - Opmaakprofiel6 2 21 6 4 2 5" xfId="55825"/>
    <cellStyle name="Table  - Opmaakprofiel6 2 21 6 4 3" xfId="17001"/>
    <cellStyle name="Table  - Opmaakprofiel6 2 21 6 4 4" xfId="29053"/>
    <cellStyle name="Table  - Opmaakprofiel6 2 21 6 4 5" xfId="44657"/>
    <cellStyle name="Table  - Opmaakprofiel6 2 21 6 4 6" xfId="50019"/>
    <cellStyle name="Table  - Opmaakprofiel6 2 21 6 5" xfId="6015"/>
    <cellStyle name="Table  - Opmaakprofiel6 2 21 6 5 2" xfId="10861"/>
    <cellStyle name="Table  - Opmaakprofiel6 2 21 6 5 2 2" xfId="23159"/>
    <cellStyle name="Table  - Opmaakprofiel6 2 21 6 5 2 3" xfId="35211"/>
    <cellStyle name="Table  - Opmaakprofiel6 2 21 6 5 2 4" xfId="30148"/>
    <cellStyle name="Table  - Opmaakprofiel6 2 21 6 5 2 5" xfId="55826"/>
    <cellStyle name="Table  - Opmaakprofiel6 2 21 6 5 3" xfId="17002"/>
    <cellStyle name="Table  - Opmaakprofiel6 2 21 6 5 4" xfId="29054"/>
    <cellStyle name="Table  - Opmaakprofiel6 2 21 6 5 5" xfId="38522"/>
    <cellStyle name="Table  - Opmaakprofiel6 2 21 6 5 6" xfId="50020"/>
    <cellStyle name="Table  - Opmaakprofiel6 2 21 6 6" xfId="6016"/>
    <cellStyle name="Table  - Opmaakprofiel6 2 21 6 6 2" xfId="10862"/>
    <cellStyle name="Table  - Opmaakprofiel6 2 21 6 6 2 2" xfId="23160"/>
    <cellStyle name="Table  - Opmaakprofiel6 2 21 6 6 2 3" xfId="35212"/>
    <cellStyle name="Table  - Opmaakprofiel6 2 21 6 6 2 4" xfId="42098"/>
    <cellStyle name="Table  - Opmaakprofiel6 2 21 6 6 2 5" xfId="55827"/>
    <cellStyle name="Table  - Opmaakprofiel6 2 21 6 6 3" xfId="17003"/>
    <cellStyle name="Table  - Opmaakprofiel6 2 21 6 6 4" xfId="29055"/>
    <cellStyle name="Table  - Opmaakprofiel6 2 21 6 6 5" xfId="44656"/>
    <cellStyle name="Table  - Opmaakprofiel6 2 21 6 6 6" xfId="50021"/>
    <cellStyle name="Table  - Opmaakprofiel6 2 21 6 7" xfId="6017"/>
    <cellStyle name="Table  - Opmaakprofiel6 2 21 6 7 2" xfId="17004"/>
    <cellStyle name="Table  - Opmaakprofiel6 2 21 6 7 3" xfId="29056"/>
    <cellStyle name="Table  - Opmaakprofiel6 2 21 6 7 4" xfId="38521"/>
    <cellStyle name="Table  - Opmaakprofiel6 2 21 6 7 5" xfId="50022"/>
    <cellStyle name="Table  - Opmaakprofiel6 2 21 6 8" xfId="7591"/>
    <cellStyle name="Table  - Opmaakprofiel6 2 21 6 8 2" xfId="19889"/>
    <cellStyle name="Table  - Opmaakprofiel6 2 21 6 8 3" xfId="41692"/>
    <cellStyle name="Table  - Opmaakprofiel6 2 21 6 8 4" xfId="43445"/>
    <cellStyle name="Table  - Opmaakprofiel6 2 21 6 8 5" xfId="52561"/>
    <cellStyle name="Table  - Opmaakprofiel6 2 21 6 9" xfId="16998"/>
    <cellStyle name="Table  - Opmaakprofiel6 2 21 7" xfId="1954"/>
    <cellStyle name="Table  - Opmaakprofiel6 2 21 7 2" xfId="10863"/>
    <cellStyle name="Table  - Opmaakprofiel6 2 21 7 2 2" xfId="23161"/>
    <cellStyle name="Table  - Opmaakprofiel6 2 21 7 2 3" xfId="35213"/>
    <cellStyle name="Table  - Opmaakprofiel6 2 21 7 2 4" xfId="31725"/>
    <cellStyle name="Table  - Opmaakprofiel6 2 21 7 2 5" xfId="55828"/>
    <cellStyle name="Table  - Opmaakprofiel6 2 21 7 3" xfId="17005"/>
    <cellStyle name="Table  - Opmaakprofiel6 2 21 7 4" xfId="29057"/>
    <cellStyle name="Table  - Opmaakprofiel6 2 21 7 5" xfId="44655"/>
    <cellStyle name="Table  - Opmaakprofiel6 2 21 7 6" xfId="50023"/>
    <cellStyle name="Table  - Opmaakprofiel6 2 21 8" xfId="2772"/>
    <cellStyle name="Table  - Opmaakprofiel6 2 21 8 2" xfId="10864"/>
    <cellStyle name="Table  - Opmaakprofiel6 2 21 8 2 2" xfId="23162"/>
    <cellStyle name="Table  - Opmaakprofiel6 2 21 8 2 3" xfId="35214"/>
    <cellStyle name="Table  - Opmaakprofiel6 2 21 8 2 4" xfId="42097"/>
    <cellStyle name="Table  - Opmaakprofiel6 2 21 8 2 5" xfId="55829"/>
    <cellStyle name="Table  - Opmaakprofiel6 2 21 8 3" xfId="17006"/>
    <cellStyle name="Table  - Opmaakprofiel6 2 21 8 4" xfId="29058"/>
    <cellStyle name="Table  - Opmaakprofiel6 2 21 8 5" xfId="38520"/>
    <cellStyle name="Table  - Opmaakprofiel6 2 21 8 6" xfId="50024"/>
    <cellStyle name="Table  - Opmaakprofiel6 2 21 9" xfId="3634"/>
    <cellStyle name="Table  - Opmaakprofiel6 2 21 9 2" xfId="10865"/>
    <cellStyle name="Table  - Opmaakprofiel6 2 21 9 2 2" xfId="23163"/>
    <cellStyle name="Table  - Opmaakprofiel6 2 21 9 2 3" xfId="35215"/>
    <cellStyle name="Table  - Opmaakprofiel6 2 21 9 2 4" xfId="30155"/>
    <cellStyle name="Table  - Opmaakprofiel6 2 21 9 2 5" xfId="55830"/>
    <cellStyle name="Table  - Opmaakprofiel6 2 21 9 3" xfId="17007"/>
    <cellStyle name="Table  - Opmaakprofiel6 2 21 9 4" xfId="29059"/>
    <cellStyle name="Table  - Opmaakprofiel6 2 21 9 5" xfId="38519"/>
    <cellStyle name="Table  - Opmaakprofiel6 2 21 9 6" xfId="50025"/>
    <cellStyle name="Table  - Opmaakprofiel6 2 22" xfId="705"/>
    <cellStyle name="Table  - Opmaakprofiel6 2 22 10" xfId="6018"/>
    <cellStyle name="Table  - Opmaakprofiel6 2 22 10 2" xfId="10866"/>
    <cellStyle name="Table  - Opmaakprofiel6 2 22 10 2 2" xfId="23164"/>
    <cellStyle name="Table  - Opmaakprofiel6 2 22 10 2 3" xfId="35216"/>
    <cellStyle name="Table  - Opmaakprofiel6 2 22 10 2 4" xfId="42096"/>
    <cellStyle name="Table  - Opmaakprofiel6 2 22 10 2 5" xfId="55831"/>
    <cellStyle name="Table  - Opmaakprofiel6 2 22 10 3" xfId="17009"/>
    <cellStyle name="Table  - Opmaakprofiel6 2 22 10 4" xfId="29061"/>
    <cellStyle name="Table  - Opmaakprofiel6 2 22 10 5" xfId="44654"/>
    <cellStyle name="Table  - Opmaakprofiel6 2 22 10 6" xfId="50026"/>
    <cellStyle name="Table  - Opmaakprofiel6 2 22 11" xfId="6019"/>
    <cellStyle name="Table  - Opmaakprofiel6 2 22 11 2" xfId="10867"/>
    <cellStyle name="Table  - Opmaakprofiel6 2 22 11 2 2" xfId="23165"/>
    <cellStyle name="Table  - Opmaakprofiel6 2 22 11 2 3" xfId="35217"/>
    <cellStyle name="Table  - Opmaakprofiel6 2 22 11 2 4" xfId="31659"/>
    <cellStyle name="Table  - Opmaakprofiel6 2 22 11 2 5" xfId="55832"/>
    <cellStyle name="Table  - Opmaakprofiel6 2 22 11 3" xfId="17010"/>
    <cellStyle name="Table  - Opmaakprofiel6 2 22 11 4" xfId="29062"/>
    <cellStyle name="Table  - Opmaakprofiel6 2 22 11 5" xfId="38517"/>
    <cellStyle name="Table  - Opmaakprofiel6 2 22 11 6" xfId="50027"/>
    <cellStyle name="Table  - Opmaakprofiel6 2 22 12" xfId="6020"/>
    <cellStyle name="Table  - Opmaakprofiel6 2 22 12 2" xfId="17011"/>
    <cellStyle name="Table  - Opmaakprofiel6 2 22 12 3" xfId="29063"/>
    <cellStyle name="Table  - Opmaakprofiel6 2 22 12 4" xfId="44653"/>
    <cellStyle name="Table  - Opmaakprofiel6 2 22 12 5" xfId="50028"/>
    <cellStyle name="Table  - Opmaakprofiel6 2 22 13" xfId="7510"/>
    <cellStyle name="Table  - Opmaakprofiel6 2 22 13 2" xfId="19808"/>
    <cellStyle name="Table  - Opmaakprofiel6 2 22 13 3" xfId="41611"/>
    <cellStyle name="Table  - Opmaakprofiel6 2 22 13 4" xfId="31347"/>
    <cellStyle name="Table  - Opmaakprofiel6 2 22 13 5" xfId="52480"/>
    <cellStyle name="Table  - Opmaakprofiel6 2 22 14" xfId="17008"/>
    <cellStyle name="Table  - Opmaakprofiel6 2 22 2" xfId="878"/>
    <cellStyle name="Table  - Opmaakprofiel6 2 22 2 2" xfId="1510"/>
    <cellStyle name="Table  - Opmaakprofiel6 2 22 2 2 2" xfId="10868"/>
    <cellStyle name="Table  - Opmaakprofiel6 2 22 2 2 2 2" xfId="23166"/>
    <cellStyle name="Table  - Opmaakprofiel6 2 22 2 2 2 3" xfId="35218"/>
    <cellStyle name="Table  - Opmaakprofiel6 2 22 2 2 2 4" xfId="42095"/>
    <cellStyle name="Table  - Opmaakprofiel6 2 22 2 2 2 5" xfId="55833"/>
    <cellStyle name="Table  - Opmaakprofiel6 2 22 2 2 3" xfId="17013"/>
    <cellStyle name="Table  - Opmaakprofiel6 2 22 2 2 4" xfId="29065"/>
    <cellStyle name="Table  - Opmaakprofiel6 2 22 2 2 5" xfId="38515"/>
    <cellStyle name="Table  - Opmaakprofiel6 2 22 2 2 6" xfId="50029"/>
    <cellStyle name="Table  - Opmaakprofiel6 2 22 2 3" xfId="2889"/>
    <cellStyle name="Table  - Opmaakprofiel6 2 22 2 3 2" xfId="10869"/>
    <cellStyle name="Table  - Opmaakprofiel6 2 22 2 3 2 2" xfId="23167"/>
    <cellStyle name="Table  - Opmaakprofiel6 2 22 2 3 2 3" xfId="35219"/>
    <cellStyle name="Table  - Opmaakprofiel6 2 22 2 3 2 4" xfId="30162"/>
    <cellStyle name="Table  - Opmaakprofiel6 2 22 2 3 2 5" xfId="55834"/>
    <cellStyle name="Table  - Opmaakprofiel6 2 22 2 3 3" xfId="17014"/>
    <cellStyle name="Table  - Opmaakprofiel6 2 22 2 3 4" xfId="29066"/>
    <cellStyle name="Table  - Opmaakprofiel6 2 22 2 3 5" xfId="44652"/>
    <cellStyle name="Table  - Opmaakprofiel6 2 22 2 3 6" xfId="50030"/>
    <cellStyle name="Table  - Opmaakprofiel6 2 22 2 4" xfId="3742"/>
    <cellStyle name="Table  - Opmaakprofiel6 2 22 2 4 2" xfId="10870"/>
    <cellStyle name="Table  - Opmaakprofiel6 2 22 2 4 2 2" xfId="23168"/>
    <cellStyle name="Table  - Opmaakprofiel6 2 22 2 4 2 3" xfId="35220"/>
    <cellStyle name="Table  - Opmaakprofiel6 2 22 2 4 2 4" xfId="31779"/>
    <cellStyle name="Table  - Opmaakprofiel6 2 22 2 4 2 5" xfId="55835"/>
    <cellStyle name="Table  - Opmaakprofiel6 2 22 2 4 3" xfId="17015"/>
    <cellStyle name="Table  - Opmaakprofiel6 2 22 2 4 4" xfId="29067"/>
    <cellStyle name="Table  - Opmaakprofiel6 2 22 2 4 5" xfId="38514"/>
    <cellStyle name="Table  - Opmaakprofiel6 2 22 2 4 6" xfId="50031"/>
    <cellStyle name="Table  - Opmaakprofiel6 2 22 2 5" xfId="6021"/>
    <cellStyle name="Table  - Opmaakprofiel6 2 22 2 5 2" xfId="10871"/>
    <cellStyle name="Table  - Opmaakprofiel6 2 22 2 5 2 2" xfId="23169"/>
    <cellStyle name="Table  - Opmaakprofiel6 2 22 2 5 2 3" xfId="35221"/>
    <cellStyle name="Table  - Opmaakprofiel6 2 22 2 5 2 4" xfId="30169"/>
    <cellStyle name="Table  - Opmaakprofiel6 2 22 2 5 2 5" xfId="55836"/>
    <cellStyle name="Table  - Opmaakprofiel6 2 22 2 5 3" xfId="17016"/>
    <cellStyle name="Table  - Opmaakprofiel6 2 22 2 5 4" xfId="29068"/>
    <cellStyle name="Table  - Opmaakprofiel6 2 22 2 5 5" xfId="44651"/>
    <cellStyle name="Table  - Opmaakprofiel6 2 22 2 5 6" xfId="50032"/>
    <cellStyle name="Table  - Opmaakprofiel6 2 22 2 6" xfId="6022"/>
    <cellStyle name="Table  - Opmaakprofiel6 2 22 2 6 2" xfId="10872"/>
    <cellStyle name="Table  - Opmaakprofiel6 2 22 2 6 2 2" xfId="23170"/>
    <cellStyle name="Table  - Opmaakprofiel6 2 22 2 6 2 3" xfId="35222"/>
    <cellStyle name="Table  - Opmaakprofiel6 2 22 2 6 2 4" xfId="42094"/>
    <cellStyle name="Table  - Opmaakprofiel6 2 22 2 6 2 5" xfId="55837"/>
    <cellStyle name="Table  - Opmaakprofiel6 2 22 2 6 3" xfId="17017"/>
    <cellStyle name="Table  - Opmaakprofiel6 2 22 2 6 4" xfId="29069"/>
    <cellStyle name="Table  - Opmaakprofiel6 2 22 2 6 5" xfId="38513"/>
    <cellStyle name="Table  - Opmaakprofiel6 2 22 2 6 6" xfId="50033"/>
    <cellStyle name="Table  - Opmaakprofiel6 2 22 2 7" xfId="6023"/>
    <cellStyle name="Table  - Opmaakprofiel6 2 22 2 7 2" xfId="17018"/>
    <cellStyle name="Table  - Opmaakprofiel6 2 22 2 7 3" xfId="29070"/>
    <cellStyle name="Table  - Opmaakprofiel6 2 22 2 7 4" xfId="44650"/>
    <cellStyle name="Table  - Opmaakprofiel6 2 22 2 7 5" xfId="50034"/>
    <cellStyle name="Table  - Opmaakprofiel6 2 22 2 8" xfId="7393"/>
    <cellStyle name="Table  - Opmaakprofiel6 2 22 2 8 2" xfId="19691"/>
    <cellStyle name="Table  - Opmaakprofiel6 2 22 2 8 3" xfId="41494"/>
    <cellStyle name="Table  - Opmaakprofiel6 2 22 2 8 4" xfId="23812"/>
    <cellStyle name="Table  - Opmaakprofiel6 2 22 2 8 5" xfId="52363"/>
    <cellStyle name="Table  - Opmaakprofiel6 2 22 2 9" xfId="17012"/>
    <cellStyle name="Table  - Opmaakprofiel6 2 22 3" xfId="503"/>
    <cellStyle name="Table  - Opmaakprofiel6 2 22 3 2" xfId="1868"/>
    <cellStyle name="Table  - Opmaakprofiel6 2 22 3 2 2" xfId="10873"/>
    <cellStyle name="Table  - Opmaakprofiel6 2 22 3 2 2 2" xfId="23171"/>
    <cellStyle name="Table  - Opmaakprofiel6 2 22 3 2 2 3" xfId="35223"/>
    <cellStyle name="Table  - Opmaakprofiel6 2 22 3 2 2 4" xfId="34232"/>
    <cellStyle name="Table  - Opmaakprofiel6 2 22 3 2 2 5" xfId="55838"/>
    <cellStyle name="Table  - Opmaakprofiel6 2 22 3 2 3" xfId="17020"/>
    <cellStyle name="Table  - Opmaakprofiel6 2 22 3 2 4" xfId="29072"/>
    <cellStyle name="Table  - Opmaakprofiel6 2 22 3 2 5" xfId="38511"/>
    <cellStyle name="Table  - Opmaakprofiel6 2 22 3 2 6" xfId="50035"/>
    <cellStyle name="Table  - Opmaakprofiel6 2 22 3 3" xfId="2574"/>
    <cellStyle name="Table  - Opmaakprofiel6 2 22 3 3 2" xfId="10874"/>
    <cellStyle name="Table  - Opmaakprofiel6 2 22 3 3 2 2" xfId="23172"/>
    <cellStyle name="Table  - Opmaakprofiel6 2 22 3 3 2 3" xfId="35224"/>
    <cellStyle name="Table  - Opmaakprofiel6 2 22 3 3 2 4" xfId="42093"/>
    <cellStyle name="Table  - Opmaakprofiel6 2 22 3 3 2 5" xfId="55839"/>
    <cellStyle name="Table  - Opmaakprofiel6 2 22 3 3 3" xfId="17021"/>
    <cellStyle name="Table  - Opmaakprofiel6 2 22 3 3 4" xfId="29073"/>
    <cellStyle name="Table  - Opmaakprofiel6 2 22 3 3 5" xfId="44649"/>
    <cellStyle name="Table  - Opmaakprofiel6 2 22 3 3 6" xfId="50036"/>
    <cellStyle name="Table  - Opmaakprofiel6 2 22 3 4" xfId="3458"/>
    <cellStyle name="Table  - Opmaakprofiel6 2 22 3 4 2" xfId="10875"/>
    <cellStyle name="Table  - Opmaakprofiel6 2 22 3 4 2 2" xfId="23173"/>
    <cellStyle name="Table  - Opmaakprofiel6 2 22 3 4 2 3" xfId="35225"/>
    <cellStyle name="Table  - Opmaakprofiel6 2 22 3 4 2 4" xfId="30176"/>
    <cellStyle name="Table  - Opmaakprofiel6 2 22 3 4 2 5" xfId="55840"/>
    <cellStyle name="Table  - Opmaakprofiel6 2 22 3 4 3" xfId="17022"/>
    <cellStyle name="Table  - Opmaakprofiel6 2 22 3 4 4" xfId="29074"/>
    <cellStyle name="Table  - Opmaakprofiel6 2 22 3 4 5" xfId="38510"/>
    <cellStyle name="Table  - Opmaakprofiel6 2 22 3 4 6" xfId="50037"/>
    <cellStyle name="Table  - Opmaakprofiel6 2 22 3 5" xfId="6024"/>
    <cellStyle name="Table  - Opmaakprofiel6 2 22 3 5 2" xfId="10876"/>
    <cellStyle name="Table  - Opmaakprofiel6 2 22 3 5 2 2" xfId="23174"/>
    <cellStyle name="Table  - Opmaakprofiel6 2 22 3 5 2 3" xfId="35226"/>
    <cellStyle name="Table  - Opmaakprofiel6 2 22 3 5 2 4" xfId="42092"/>
    <cellStyle name="Table  - Opmaakprofiel6 2 22 3 5 2 5" xfId="55841"/>
    <cellStyle name="Table  - Opmaakprofiel6 2 22 3 5 3" xfId="17023"/>
    <cellStyle name="Table  - Opmaakprofiel6 2 22 3 5 4" xfId="29075"/>
    <cellStyle name="Table  - Opmaakprofiel6 2 22 3 5 5" xfId="44648"/>
    <cellStyle name="Table  - Opmaakprofiel6 2 22 3 5 6" xfId="50038"/>
    <cellStyle name="Table  - Opmaakprofiel6 2 22 3 6" xfId="6025"/>
    <cellStyle name="Table  - Opmaakprofiel6 2 22 3 6 2" xfId="10877"/>
    <cellStyle name="Table  - Opmaakprofiel6 2 22 3 6 2 2" xfId="23175"/>
    <cellStyle name="Table  - Opmaakprofiel6 2 22 3 6 2 3" xfId="35227"/>
    <cellStyle name="Table  - Opmaakprofiel6 2 22 3 6 2 4" xfId="31566"/>
    <cellStyle name="Table  - Opmaakprofiel6 2 22 3 6 2 5" xfId="55842"/>
    <cellStyle name="Table  - Opmaakprofiel6 2 22 3 6 3" xfId="17024"/>
    <cellStyle name="Table  - Opmaakprofiel6 2 22 3 6 4" xfId="29076"/>
    <cellStyle name="Table  - Opmaakprofiel6 2 22 3 6 5" xfId="38509"/>
    <cellStyle name="Table  - Opmaakprofiel6 2 22 3 6 6" xfId="50039"/>
    <cellStyle name="Table  - Opmaakprofiel6 2 22 3 7" xfId="6026"/>
    <cellStyle name="Table  - Opmaakprofiel6 2 22 3 7 2" xfId="17025"/>
    <cellStyle name="Table  - Opmaakprofiel6 2 22 3 7 3" xfId="29077"/>
    <cellStyle name="Table  - Opmaakprofiel6 2 22 3 7 4" xfId="44647"/>
    <cellStyle name="Table  - Opmaakprofiel6 2 22 3 7 5" xfId="50040"/>
    <cellStyle name="Table  - Opmaakprofiel6 2 22 3 8" xfId="7647"/>
    <cellStyle name="Table  - Opmaakprofiel6 2 22 3 8 2" xfId="19945"/>
    <cellStyle name="Table  - Opmaakprofiel6 2 22 3 8 3" xfId="41748"/>
    <cellStyle name="Table  - Opmaakprofiel6 2 22 3 8 4" xfId="31616"/>
    <cellStyle name="Table  - Opmaakprofiel6 2 22 3 8 5" xfId="52617"/>
    <cellStyle name="Table  - Opmaakprofiel6 2 22 3 9" xfId="17019"/>
    <cellStyle name="Table  - Opmaakprofiel6 2 22 4" xfId="430"/>
    <cellStyle name="Table  - Opmaakprofiel6 2 22 4 2" xfId="1931"/>
    <cellStyle name="Table  - Opmaakprofiel6 2 22 4 2 2" xfId="10878"/>
    <cellStyle name="Table  - Opmaakprofiel6 2 22 4 2 2 2" xfId="23176"/>
    <cellStyle name="Table  - Opmaakprofiel6 2 22 4 2 2 3" xfId="35228"/>
    <cellStyle name="Table  - Opmaakprofiel6 2 22 4 2 2 4" xfId="42091"/>
    <cellStyle name="Table  - Opmaakprofiel6 2 22 4 2 2 5" xfId="55843"/>
    <cellStyle name="Table  - Opmaakprofiel6 2 22 4 2 3" xfId="17027"/>
    <cellStyle name="Table  - Opmaakprofiel6 2 22 4 2 4" xfId="29079"/>
    <cellStyle name="Table  - Opmaakprofiel6 2 22 4 2 5" xfId="44646"/>
    <cellStyle name="Table  - Opmaakprofiel6 2 22 4 2 6" xfId="50041"/>
    <cellStyle name="Table  - Opmaakprofiel6 2 22 4 3" xfId="2501"/>
    <cellStyle name="Table  - Opmaakprofiel6 2 22 4 3 2" xfId="10879"/>
    <cellStyle name="Table  - Opmaakprofiel6 2 22 4 3 2 2" xfId="23177"/>
    <cellStyle name="Table  - Opmaakprofiel6 2 22 4 3 2 3" xfId="35229"/>
    <cellStyle name="Table  - Opmaakprofiel6 2 22 4 3 2 4" xfId="30186"/>
    <cellStyle name="Table  - Opmaakprofiel6 2 22 4 3 2 5" xfId="55844"/>
    <cellStyle name="Table  - Opmaakprofiel6 2 22 4 3 3" xfId="17028"/>
    <cellStyle name="Table  - Opmaakprofiel6 2 22 4 3 4" xfId="29080"/>
    <cellStyle name="Table  - Opmaakprofiel6 2 22 4 3 5" xfId="38507"/>
    <cellStyle name="Table  - Opmaakprofiel6 2 22 4 3 6" xfId="50042"/>
    <cellStyle name="Table  - Opmaakprofiel6 2 22 4 4" xfId="2305"/>
    <cellStyle name="Table  - Opmaakprofiel6 2 22 4 4 2" xfId="10880"/>
    <cellStyle name="Table  - Opmaakprofiel6 2 22 4 4 2 2" xfId="23178"/>
    <cellStyle name="Table  - Opmaakprofiel6 2 22 4 4 2 3" xfId="35230"/>
    <cellStyle name="Table  - Opmaakprofiel6 2 22 4 4 2 4" xfId="42090"/>
    <cellStyle name="Table  - Opmaakprofiel6 2 22 4 4 2 5" xfId="55845"/>
    <cellStyle name="Table  - Opmaakprofiel6 2 22 4 4 3" xfId="17029"/>
    <cellStyle name="Table  - Opmaakprofiel6 2 22 4 4 4" xfId="29081"/>
    <cellStyle name="Table  - Opmaakprofiel6 2 22 4 4 5" xfId="44645"/>
    <cellStyle name="Table  - Opmaakprofiel6 2 22 4 4 6" xfId="50043"/>
    <cellStyle name="Table  - Opmaakprofiel6 2 22 4 5" xfId="6027"/>
    <cellStyle name="Table  - Opmaakprofiel6 2 22 4 5 2" xfId="10881"/>
    <cellStyle name="Table  - Opmaakprofiel6 2 22 4 5 2 2" xfId="23179"/>
    <cellStyle name="Table  - Opmaakprofiel6 2 22 4 5 2 3" xfId="35231"/>
    <cellStyle name="Table  - Opmaakprofiel6 2 22 4 5 2 4" xfId="31861"/>
    <cellStyle name="Table  - Opmaakprofiel6 2 22 4 5 2 5" xfId="55846"/>
    <cellStyle name="Table  - Opmaakprofiel6 2 22 4 5 3" xfId="17030"/>
    <cellStyle name="Table  - Opmaakprofiel6 2 22 4 5 4" xfId="29082"/>
    <cellStyle name="Table  - Opmaakprofiel6 2 22 4 5 5" xfId="38506"/>
    <cellStyle name="Table  - Opmaakprofiel6 2 22 4 5 6" xfId="50044"/>
    <cellStyle name="Table  - Opmaakprofiel6 2 22 4 6" xfId="6028"/>
    <cellStyle name="Table  - Opmaakprofiel6 2 22 4 6 2" xfId="10882"/>
    <cellStyle name="Table  - Opmaakprofiel6 2 22 4 6 2 2" xfId="23180"/>
    <cellStyle name="Table  - Opmaakprofiel6 2 22 4 6 2 3" xfId="35232"/>
    <cellStyle name="Table  - Opmaakprofiel6 2 22 4 6 2 4" xfId="30190"/>
    <cellStyle name="Table  - Opmaakprofiel6 2 22 4 6 2 5" xfId="55847"/>
    <cellStyle name="Table  - Opmaakprofiel6 2 22 4 6 3" xfId="17031"/>
    <cellStyle name="Table  - Opmaakprofiel6 2 22 4 6 4" xfId="29083"/>
    <cellStyle name="Table  - Opmaakprofiel6 2 22 4 6 5" xfId="38505"/>
    <cellStyle name="Table  - Opmaakprofiel6 2 22 4 6 6" xfId="50045"/>
    <cellStyle name="Table  - Opmaakprofiel6 2 22 4 7" xfId="6029"/>
    <cellStyle name="Table  - Opmaakprofiel6 2 22 4 7 2" xfId="17032"/>
    <cellStyle name="Table  - Opmaakprofiel6 2 22 4 7 3" xfId="29084"/>
    <cellStyle name="Table  - Opmaakprofiel6 2 22 4 7 4" xfId="38504"/>
    <cellStyle name="Table  - Opmaakprofiel6 2 22 4 7 5" xfId="50046"/>
    <cellStyle name="Table  - Opmaakprofiel6 2 22 4 8" xfId="7696"/>
    <cellStyle name="Table  - Opmaakprofiel6 2 22 4 8 2" xfId="19994"/>
    <cellStyle name="Table  - Opmaakprofiel6 2 22 4 8 3" xfId="41797"/>
    <cellStyle name="Table  - Opmaakprofiel6 2 22 4 8 4" xfId="43401"/>
    <cellStyle name="Table  - Opmaakprofiel6 2 22 4 8 5" xfId="52666"/>
    <cellStyle name="Table  - Opmaakprofiel6 2 22 4 9" xfId="17026"/>
    <cellStyle name="Table  - Opmaakprofiel6 2 22 5" xfId="1105"/>
    <cellStyle name="Table  - Opmaakprofiel6 2 22 5 2" xfId="1544"/>
    <cellStyle name="Table  - Opmaakprofiel6 2 22 5 2 2" xfId="10883"/>
    <cellStyle name="Table  - Opmaakprofiel6 2 22 5 2 2 2" xfId="23181"/>
    <cellStyle name="Table  - Opmaakprofiel6 2 22 5 2 2 3" xfId="35233"/>
    <cellStyle name="Table  - Opmaakprofiel6 2 22 5 2 2 4" xfId="34435"/>
    <cellStyle name="Table  - Opmaakprofiel6 2 22 5 2 2 5" xfId="55848"/>
    <cellStyle name="Table  - Opmaakprofiel6 2 22 5 2 3" xfId="17034"/>
    <cellStyle name="Table  - Opmaakprofiel6 2 22 5 2 4" xfId="29086"/>
    <cellStyle name="Table  - Opmaakprofiel6 2 22 5 2 5" xfId="38503"/>
    <cellStyle name="Table  - Opmaakprofiel6 2 22 5 2 6" xfId="50047"/>
    <cellStyle name="Table  - Opmaakprofiel6 2 22 5 3" xfId="3116"/>
    <cellStyle name="Table  - Opmaakprofiel6 2 22 5 3 2" xfId="10884"/>
    <cellStyle name="Table  - Opmaakprofiel6 2 22 5 3 2 2" xfId="23182"/>
    <cellStyle name="Table  - Opmaakprofiel6 2 22 5 3 2 3" xfId="35234"/>
    <cellStyle name="Table  - Opmaakprofiel6 2 22 5 3 2 4" xfId="42089"/>
    <cellStyle name="Table  - Opmaakprofiel6 2 22 5 3 2 5" xfId="55849"/>
    <cellStyle name="Table  - Opmaakprofiel6 2 22 5 3 3" xfId="17035"/>
    <cellStyle name="Table  - Opmaakprofiel6 2 22 5 3 4" xfId="29087"/>
    <cellStyle name="Table  - Opmaakprofiel6 2 22 5 3 5" xfId="44643"/>
    <cellStyle name="Table  - Opmaakprofiel6 2 22 5 3 6" xfId="50048"/>
    <cellStyle name="Table  - Opmaakprofiel6 2 22 5 4" xfId="3951"/>
    <cellStyle name="Table  - Opmaakprofiel6 2 22 5 4 2" xfId="10885"/>
    <cellStyle name="Table  - Opmaakprofiel6 2 22 5 4 2 2" xfId="23183"/>
    <cellStyle name="Table  - Opmaakprofiel6 2 22 5 4 2 3" xfId="35235"/>
    <cellStyle name="Table  - Opmaakprofiel6 2 22 5 4 2 4" xfId="30197"/>
    <cellStyle name="Table  - Opmaakprofiel6 2 22 5 4 2 5" xfId="55850"/>
    <cellStyle name="Table  - Opmaakprofiel6 2 22 5 4 3" xfId="17036"/>
    <cellStyle name="Table  - Opmaakprofiel6 2 22 5 4 4" xfId="29088"/>
    <cellStyle name="Table  - Opmaakprofiel6 2 22 5 4 5" xfId="38502"/>
    <cellStyle name="Table  - Opmaakprofiel6 2 22 5 4 6" xfId="50049"/>
    <cellStyle name="Table  - Opmaakprofiel6 2 22 5 5" xfId="6030"/>
    <cellStyle name="Table  - Opmaakprofiel6 2 22 5 5 2" xfId="10886"/>
    <cellStyle name="Table  - Opmaakprofiel6 2 22 5 5 2 2" xfId="23184"/>
    <cellStyle name="Table  - Opmaakprofiel6 2 22 5 5 2 3" xfId="35236"/>
    <cellStyle name="Table  - Opmaakprofiel6 2 22 5 5 2 4" xfId="42088"/>
    <cellStyle name="Table  - Opmaakprofiel6 2 22 5 5 2 5" xfId="55851"/>
    <cellStyle name="Table  - Opmaakprofiel6 2 22 5 5 3" xfId="17037"/>
    <cellStyle name="Table  - Opmaakprofiel6 2 22 5 5 4" xfId="29089"/>
    <cellStyle name="Table  - Opmaakprofiel6 2 22 5 5 5" xfId="44642"/>
    <cellStyle name="Table  - Opmaakprofiel6 2 22 5 5 6" xfId="50050"/>
    <cellStyle name="Table  - Opmaakprofiel6 2 22 5 6" xfId="6031"/>
    <cellStyle name="Table  - Opmaakprofiel6 2 22 5 6 2" xfId="10887"/>
    <cellStyle name="Table  - Opmaakprofiel6 2 22 5 6 2 2" xfId="23185"/>
    <cellStyle name="Table  - Opmaakprofiel6 2 22 5 6 2 3" xfId="35237"/>
    <cellStyle name="Table  - Opmaakprofiel6 2 22 5 6 2 4" xfId="31889"/>
    <cellStyle name="Table  - Opmaakprofiel6 2 22 5 6 2 5" xfId="55852"/>
    <cellStyle name="Table  - Opmaakprofiel6 2 22 5 6 3" xfId="17038"/>
    <cellStyle name="Table  - Opmaakprofiel6 2 22 5 6 4" xfId="29090"/>
    <cellStyle name="Table  - Opmaakprofiel6 2 22 5 6 5" xfId="38501"/>
    <cellStyle name="Table  - Opmaakprofiel6 2 22 5 6 6" xfId="50051"/>
    <cellStyle name="Table  - Opmaakprofiel6 2 22 5 7" xfId="6032"/>
    <cellStyle name="Table  - Opmaakprofiel6 2 22 5 7 2" xfId="17039"/>
    <cellStyle name="Table  - Opmaakprofiel6 2 22 5 7 3" xfId="29091"/>
    <cellStyle name="Table  - Opmaakprofiel6 2 22 5 7 4" xfId="44641"/>
    <cellStyle name="Table  - Opmaakprofiel6 2 22 5 7 5" xfId="50052"/>
    <cellStyle name="Table  - Opmaakprofiel6 2 22 5 8" xfId="7239"/>
    <cellStyle name="Table  - Opmaakprofiel6 2 22 5 8 2" xfId="19537"/>
    <cellStyle name="Table  - Opmaakprofiel6 2 22 5 8 3" xfId="41340"/>
    <cellStyle name="Table  - Opmaakprofiel6 2 22 5 8 4" xfId="36895"/>
    <cellStyle name="Table  - Opmaakprofiel6 2 22 5 8 5" xfId="52209"/>
    <cellStyle name="Table  - Opmaakprofiel6 2 22 5 9" xfId="17033"/>
    <cellStyle name="Table  - Opmaakprofiel6 2 22 6" xfId="1080"/>
    <cellStyle name="Table  - Opmaakprofiel6 2 22 6 2" xfId="1562"/>
    <cellStyle name="Table  - Opmaakprofiel6 2 22 6 2 2" xfId="10888"/>
    <cellStyle name="Table  - Opmaakprofiel6 2 22 6 2 2 2" xfId="23186"/>
    <cellStyle name="Table  - Opmaakprofiel6 2 22 6 2 2 3" xfId="35238"/>
    <cellStyle name="Table  - Opmaakprofiel6 2 22 6 2 2 4" xfId="42087"/>
    <cellStyle name="Table  - Opmaakprofiel6 2 22 6 2 2 5" xfId="55853"/>
    <cellStyle name="Table  - Opmaakprofiel6 2 22 6 2 3" xfId="17041"/>
    <cellStyle name="Table  - Opmaakprofiel6 2 22 6 2 4" xfId="29093"/>
    <cellStyle name="Table  - Opmaakprofiel6 2 22 6 2 5" xfId="44640"/>
    <cellStyle name="Table  - Opmaakprofiel6 2 22 6 2 6" xfId="50053"/>
    <cellStyle name="Table  - Opmaakprofiel6 2 22 6 3" xfId="3091"/>
    <cellStyle name="Table  - Opmaakprofiel6 2 22 6 3 2" xfId="10889"/>
    <cellStyle name="Table  - Opmaakprofiel6 2 22 6 3 2 2" xfId="23187"/>
    <cellStyle name="Table  - Opmaakprofiel6 2 22 6 3 2 3" xfId="35239"/>
    <cellStyle name="Table  - Opmaakprofiel6 2 22 6 3 2 4" xfId="30204"/>
    <cellStyle name="Table  - Opmaakprofiel6 2 22 6 3 2 5" xfId="55854"/>
    <cellStyle name="Table  - Opmaakprofiel6 2 22 6 3 3" xfId="17042"/>
    <cellStyle name="Table  - Opmaakprofiel6 2 22 6 3 4" xfId="29094"/>
    <cellStyle name="Table  - Opmaakprofiel6 2 22 6 3 5" xfId="38499"/>
    <cellStyle name="Table  - Opmaakprofiel6 2 22 6 3 6" xfId="50054"/>
    <cellStyle name="Table  - Opmaakprofiel6 2 22 6 4" xfId="3929"/>
    <cellStyle name="Table  - Opmaakprofiel6 2 22 6 4 2" xfId="10890"/>
    <cellStyle name="Table  - Opmaakprofiel6 2 22 6 4 2 2" xfId="23188"/>
    <cellStyle name="Table  - Opmaakprofiel6 2 22 6 4 2 3" xfId="35240"/>
    <cellStyle name="Table  - Opmaakprofiel6 2 22 6 4 2 4" xfId="42086"/>
    <cellStyle name="Table  - Opmaakprofiel6 2 22 6 4 2 5" xfId="55855"/>
    <cellStyle name="Table  - Opmaakprofiel6 2 22 6 4 3" xfId="17043"/>
    <cellStyle name="Table  - Opmaakprofiel6 2 22 6 4 4" xfId="29095"/>
    <cellStyle name="Table  - Opmaakprofiel6 2 22 6 4 5" xfId="38498"/>
    <cellStyle name="Table  - Opmaakprofiel6 2 22 6 4 6" xfId="50055"/>
    <cellStyle name="Table  - Opmaakprofiel6 2 22 6 5" xfId="6033"/>
    <cellStyle name="Table  - Opmaakprofiel6 2 22 6 5 2" xfId="10891"/>
    <cellStyle name="Table  - Opmaakprofiel6 2 22 6 5 2 2" xfId="23189"/>
    <cellStyle name="Table  - Opmaakprofiel6 2 22 6 5 2 3" xfId="35241"/>
    <cellStyle name="Table  - Opmaakprofiel6 2 22 6 5 2 4" xfId="31778"/>
    <cellStyle name="Table  - Opmaakprofiel6 2 22 6 5 2 5" xfId="55856"/>
    <cellStyle name="Table  - Opmaakprofiel6 2 22 6 5 3" xfId="17044"/>
    <cellStyle name="Table  - Opmaakprofiel6 2 22 6 5 4" xfId="29096"/>
    <cellStyle name="Table  - Opmaakprofiel6 2 22 6 5 5" xfId="38497"/>
    <cellStyle name="Table  - Opmaakprofiel6 2 22 6 5 6" xfId="50056"/>
    <cellStyle name="Table  - Opmaakprofiel6 2 22 6 6" xfId="6034"/>
    <cellStyle name="Table  - Opmaakprofiel6 2 22 6 6 2" xfId="10892"/>
    <cellStyle name="Table  - Opmaakprofiel6 2 22 6 6 2 2" xfId="23190"/>
    <cellStyle name="Table  - Opmaakprofiel6 2 22 6 6 2 3" xfId="35242"/>
    <cellStyle name="Table  - Opmaakprofiel6 2 22 6 6 2 4" xfId="42085"/>
    <cellStyle name="Table  - Opmaakprofiel6 2 22 6 6 2 5" xfId="55857"/>
    <cellStyle name="Table  - Opmaakprofiel6 2 22 6 6 3" xfId="17045"/>
    <cellStyle name="Table  - Opmaakprofiel6 2 22 6 6 4" xfId="29097"/>
    <cellStyle name="Table  - Opmaakprofiel6 2 22 6 6 5" xfId="44639"/>
    <cellStyle name="Table  - Opmaakprofiel6 2 22 6 6 6" xfId="50057"/>
    <cellStyle name="Table  - Opmaakprofiel6 2 22 6 7" xfId="6035"/>
    <cellStyle name="Table  - Opmaakprofiel6 2 22 6 7 2" xfId="17046"/>
    <cellStyle name="Table  - Opmaakprofiel6 2 22 6 7 3" xfId="29098"/>
    <cellStyle name="Table  - Opmaakprofiel6 2 22 6 7 4" xfId="38496"/>
    <cellStyle name="Table  - Opmaakprofiel6 2 22 6 7 5" xfId="50058"/>
    <cellStyle name="Table  - Opmaakprofiel6 2 22 6 8" xfId="7256"/>
    <cellStyle name="Table  - Opmaakprofiel6 2 22 6 8 2" xfId="19554"/>
    <cellStyle name="Table  - Opmaakprofiel6 2 22 6 8 3" xfId="41357"/>
    <cellStyle name="Table  - Opmaakprofiel6 2 22 6 8 4" xfId="43585"/>
    <cellStyle name="Table  - Opmaakprofiel6 2 22 6 8 5" xfId="52226"/>
    <cellStyle name="Table  - Opmaakprofiel6 2 22 6 9" xfId="17040"/>
    <cellStyle name="Table  - Opmaakprofiel6 2 22 7" xfId="1802"/>
    <cellStyle name="Table  - Opmaakprofiel6 2 22 7 2" xfId="10893"/>
    <cellStyle name="Table  - Opmaakprofiel6 2 22 7 2 2" xfId="23191"/>
    <cellStyle name="Table  - Opmaakprofiel6 2 22 7 2 3" xfId="35243"/>
    <cellStyle name="Table  - Opmaakprofiel6 2 22 7 2 4" xfId="30211"/>
    <cellStyle name="Table  - Opmaakprofiel6 2 22 7 2 5" xfId="55858"/>
    <cellStyle name="Table  - Opmaakprofiel6 2 22 7 3" xfId="17047"/>
    <cellStyle name="Table  - Opmaakprofiel6 2 22 7 4" xfId="29099"/>
    <cellStyle name="Table  - Opmaakprofiel6 2 22 7 5" xfId="44638"/>
    <cellStyle name="Table  - Opmaakprofiel6 2 22 7 6" xfId="50059"/>
    <cellStyle name="Table  - Opmaakprofiel6 2 22 8" xfId="2766"/>
    <cellStyle name="Table  - Opmaakprofiel6 2 22 8 2" xfId="10894"/>
    <cellStyle name="Table  - Opmaakprofiel6 2 22 8 2 2" xfId="23192"/>
    <cellStyle name="Table  - Opmaakprofiel6 2 22 8 2 3" xfId="35244"/>
    <cellStyle name="Table  - Opmaakprofiel6 2 22 8 2 4" xfId="32033"/>
    <cellStyle name="Table  - Opmaakprofiel6 2 22 8 2 5" xfId="55859"/>
    <cellStyle name="Table  - Opmaakprofiel6 2 22 8 3" xfId="17048"/>
    <cellStyle name="Table  - Opmaakprofiel6 2 22 8 4" xfId="29100"/>
    <cellStyle name="Table  - Opmaakprofiel6 2 22 8 5" xfId="38495"/>
    <cellStyle name="Table  - Opmaakprofiel6 2 22 8 6" xfId="50060"/>
    <cellStyle name="Table  - Opmaakprofiel6 2 22 9" xfId="3628"/>
    <cellStyle name="Table  - Opmaakprofiel6 2 22 9 2" xfId="10895"/>
    <cellStyle name="Table  - Opmaakprofiel6 2 22 9 2 2" xfId="23193"/>
    <cellStyle name="Table  - Opmaakprofiel6 2 22 9 2 3" xfId="35245"/>
    <cellStyle name="Table  - Opmaakprofiel6 2 22 9 2 4" xfId="30218"/>
    <cellStyle name="Table  - Opmaakprofiel6 2 22 9 2 5" xfId="55860"/>
    <cellStyle name="Table  - Opmaakprofiel6 2 22 9 3" xfId="17049"/>
    <cellStyle name="Table  - Opmaakprofiel6 2 22 9 4" xfId="29101"/>
    <cellStyle name="Table  - Opmaakprofiel6 2 22 9 5" xfId="44637"/>
    <cellStyle name="Table  - Opmaakprofiel6 2 22 9 6" xfId="50061"/>
    <cellStyle name="Table  - Opmaakprofiel6 2 23" xfId="821"/>
    <cellStyle name="Table  - Opmaakprofiel6 2 23 10" xfId="6036"/>
    <cellStyle name="Table  - Opmaakprofiel6 2 23 10 2" xfId="10896"/>
    <cellStyle name="Table  - Opmaakprofiel6 2 23 10 2 2" xfId="23194"/>
    <cellStyle name="Table  - Opmaakprofiel6 2 23 10 2 3" xfId="35246"/>
    <cellStyle name="Table  - Opmaakprofiel6 2 23 10 2 4" xfId="42084"/>
    <cellStyle name="Table  - Opmaakprofiel6 2 23 10 2 5" xfId="55861"/>
    <cellStyle name="Table  - Opmaakprofiel6 2 23 10 3" xfId="17051"/>
    <cellStyle name="Table  - Opmaakprofiel6 2 23 10 4" xfId="29103"/>
    <cellStyle name="Table  - Opmaakprofiel6 2 23 10 5" xfId="44636"/>
    <cellStyle name="Table  - Opmaakprofiel6 2 23 10 6" xfId="50062"/>
    <cellStyle name="Table  - Opmaakprofiel6 2 23 11" xfId="6037"/>
    <cellStyle name="Table  - Opmaakprofiel6 2 23 11 2" xfId="10897"/>
    <cellStyle name="Table  - Opmaakprofiel6 2 23 11 2 2" xfId="23195"/>
    <cellStyle name="Table  - Opmaakprofiel6 2 23 11 2 3" xfId="35247"/>
    <cellStyle name="Table  - Opmaakprofiel6 2 23 11 2 4" xfId="31903"/>
    <cellStyle name="Table  - Opmaakprofiel6 2 23 11 2 5" xfId="55862"/>
    <cellStyle name="Table  - Opmaakprofiel6 2 23 11 3" xfId="17052"/>
    <cellStyle name="Table  - Opmaakprofiel6 2 23 11 4" xfId="29104"/>
    <cellStyle name="Table  - Opmaakprofiel6 2 23 11 5" xfId="38494"/>
    <cellStyle name="Table  - Opmaakprofiel6 2 23 11 6" xfId="50063"/>
    <cellStyle name="Table  - Opmaakprofiel6 2 23 12" xfId="6038"/>
    <cellStyle name="Table  - Opmaakprofiel6 2 23 12 2" xfId="17053"/>
    <cellStyle name="Table  - Opmaakprofiel6 2 23 12 3" xfId="29105"/>
    <cellStyle name="Table  - Opmaakprofiel6 2 23 12 4" xfId="44635"/>
    <cellStyle name="Table  - Opmaakprofiel6 2 23 12 5" xfId="50064"/>
    <cellStyle name="Table  - Opmaakprofiel6 2 23 13" xfId="7433"/>
    <cellStyle name="Table  - Opmaakprofiel6 2 23 13 2" xfId="19731"/>
    <cellStyle name="Table  - Opmaakprofiel6 2 23 13 3" xfId="41534"/>
    <cellStyle name="Table  - Opmaakprofiel6 2 23 13 4" xfId="15559"/>
    <cellStyle name="Table  - Opmaakprofiel6 2 23 13 5" xfId="52403"/>
    <cellStyle name="Table  - Opmaakprofiel6 2 23 14" xfId="17050"/>
    <cellStyle name="Table  - Opmaakprofiel6 2 23 2" xfId="978"/>
    <cellStyle name="Table  - Opmaakprofiel6 2 23 2 2" xfId="1872"/>
    <cellStyle name="Table  - Opmaakprofiel6 2 23 2 2 2" xfId="10898"/>
    <cellStyle name="Table  - Opmaakprofiel6 2 23 2 2 2 2" xfId="23196"/>
    <cellStyle name="Table  - Opmaakprofiel6 2 23 2 2 2 3" xfId="35248"/>
    <cellStyle name="Table  - Opmaakprofiel6 2 23 2 2 2 4" xfId="42083"/>
    <cellStyle name="Table  - Opmaakprofiel6 2 23 2 2 2 5" xfId="55863"/>
    <cellStyle name="Table  - Opmaakprofiel6 2 23 2 2 3" xfId="17055"/>
    <cellStyle name="Table  - Opmaakprofiel6 2 23 2 2 4" xfId="29107"/>
    <cellStyle name="Table  - Opmaakprofiel6 2 23 2 2 5" xfId="38492"/>
    <cellStyle name="Table  - Opmaakprofiel6 2 23 2 2 6" xfId="50065"/>
    <cellStyle name="Table  - Opmaakprofiel6 2 23 2 3" xfId="2989"/>
    <cellStyle name="Table  - Opmaakprofiel6 2 23 2 3 2" xfId="10899"/>
    <cellStyle name="Table  - Opmaakprofiel6 2 23 2 3 2 2" xfId="23197"/>
    <cellStyle name="Table  - Opmaakprofiel6 2 23 2 3 2 3" xfId="35249"/>
    <cellStyle name="Table  - Opmaakprofiel6 2 23 2 3 2 4" xfId="30228"/>
    <cellStyle name="Table  - Opmaakprofiel6 2 23 2 3 2 5" xfId="55864"/>
    <cellStyle name="Table  - Opmaakprofiel6 2 23 2 3 3" xfId="17056"/>
    <cellStyle name="Table  - Opmaakprofiel6 2 23 2 3 4" xfId="29108"/>
    <cellStyle name="Table  - Opmaakprofiel6 2 23 2 3 5" xfId="38491"/>
    <cellStyle name="Table  - Opmaakprofiel6 2 23 2 3 6" xfId="50066"/>
    <cellStyle name="Table  - Opmaakprofiel6 2 23 2 4" xfId="3835"/>
    <cellStyle name="Table  - Opmaakprofiel6 2 23 2 4 2" xfId="10900"/>
    <cellStyle name="Table  - Opmaakprofiel6 2 23 2 4 2 2" xfId="23198"/>
    <cellStyle name="Table  - Opmaakprofiel6 2 23 2 4 2 3" xfId="35250"/>
    <cellStyle name="Table  - Opmaakprofiel6 2 23 2 4 2 4" xfId="42082"/>
    <cellStyle name="Table  - Opmaakprofiel6 2 23 2 4 2 5" xfId="55865"/>
    <cellStyle name="Table  - Opmaakprofiel6 2 23 2 4 3" xfId="17057"/>
    <cellStyle name="Table  - Opmaakprofiel6 2 23 2 4 4" xfId="29109"/>
    <cellStyle name="Table  - Opmaakprofiel6 2 23 2 4 5" xfId="44634"/>
    <cellStyle name="Table  - Opmaakprofiel6 2 23 2 4 6" xfId="50067"/>
    <cellStyle name="Table  - Opmaakprofiel6 2 23 2 5" xfId="6039"/>
    <cellStyle name="Table  - Opmaakprofiel6 2 23 2 5 2" xfId="10901"/>
    <cellStyle name="Table  - Opmaakprofiel6 2 23 2 5 2 2" xfId="23199"/>
    <cellStyle name="Table  - Opmaakprofiel6 2 23 2 5 2 3" xfId="35251"/>
    <cellStyle name="Table  - Opmaakprofiel6 2 23 2 5 2 4" xfId="31838"/>
    <cellStyle name="Table  - Opmaakprofiel6 2 23 2 5 2 5" xfId="55866"/>
    <cellStyle name="Table  - Opmaakprofiel6 2 23 2 5 3" xfId="17058"/>
    <cellStyle name="Table  - Opmaakprofiel6 2 23 2 5 4" xfId="29110"/>
    <cellStyle name="Table  - Opmaakprofiel6 2 23 2 5 5" xfId="38490"/>
    <cellStyle name="Table  - Opmaakprofiel6 2 23 2 5 6" xfId="50068"/>
    <cellStyle name="Table  - Opmaakprofiel6 2 23 2 6" xfId="6040"/>
    <cellStyle name="Table  - Opmaakprofiel6 2 23 2 6 2" xfId="10902"/>
    <cellStyle name="Table  - Opmaakprofiel6 2 23 2 6 2 2" xfId="23200"/>
    <cellStyle name="Table  - Opmaakprofiel6 2 23 2 6 2 3" xfId="35252"/>
    <cellStyle name="Table  - Opmaakprofiel6 2 23 2 6 2 4" xfId="42081"/>
    <cellStyle name="Table  - Opmaakprofiel6 2 23 2 6 2 5" xfId="55867"/>
    <cellStyle name="Table  - Opmaakprofiel6 2 23 2 6 3" xfId="17059"/>
    <cellStyle name="Table  - Opmaakprofiel6 2 23 2 6 4" xfId="29111"/>
    <cellStyle name="Table  - Opmaakprofiel6 2 23 2 6 5" xfId="44633"/>
    <cellStyle name="Table  - Opmaakprofiel6 2 23 2 6 6" xfId="50069"/>
    <cellStyle name="Table  - Opmaakprofiel6 2 23 2 7" xfId="6041"/>
    <cellStyle name="Table  - Opmaakprofiel6 2 23 2 7 2" xfId="17060"/>
    <cellStyle name="Table  - Opmaakprofiel6 2 23 2 7 3" xfId="29112"/>
    <cellStyle name="Table  - Opmaakprofiel6 2 23 2 7 4" xfId="38489"/>
    <cellStyle name="Table  - Opmaakprofiel6 2 23 2 7 5" xfId="50070"/>
    <cellStyle name="Table  - Opmaakprofiel6 2 23 2 8" xfId="7327"/>
    <cellStyle name="Table  - Opmaakprofiel6 2 23 2 8 2" xfId="19625"/>
    <cellStyle name="Table  - Opmaakprofiel6 2 23 2 8 3" xfId="41428"/>
    <cellStyle name="Table  - Opmaakprofiel6 2 23 2 8 4" xfId="36843"/>
    <cellStyle name="Table  - Opmaakprofiel6 2 23 2 8 5" xfId="52297"/>
    <cellStyle name="Table  - Opmaakprofiel6 2 23 2 9" xfId="17054"/>
    <cellStyle name="Table  - Opmaakprofiel6 2 23 3" xfId="1074"/>
    <cellStyle name="Table  - Opmaakprofiel6 2 23 3 2" xfId="1674"/>
    <cellStyle name="Table  - Opmaakprofiel6 2 23 3 2 2" xfId="10903"/>
    <cellStyle name="Table  - Opmaakprofiel6 2 23 3 2 2 2" xfId="23201"/>
    <cellStyle name="Table  - Opmaakprofiel6 2 23 3 2 2 3" xfId="35253"/>
    <cellStyle name="Table  - Opmaakprofiel6 2 23 3 2 2 4" xfId="30232"/>
    <cellStyle name="Table  - Opmaakprofiel6 2 23 3 2 2 5" xfId="55868"/>
    <cellStyle name="Table  - Opmaakprofiel6 2 23 3 2 3" xfId="17062"/>
    <cellStyle name="Table  - Opmaakprofiel6 2 23 3 2 4" xfId="29114"/>
    <cellStyle name="Table  - Opmaakprofiel6 2 23 3 2 5" xfId="38488"/>
    <cellStyle name="Table  - Opmaakprofiel6 2 23 3 2 6" xfId="50071"/>
    <cellStyle name="Table  - Opmaakprofiel6 2 23 3 3" xfId="3085"/>
    <cellStyle name="Table  - Opmaakprofiel6 2 23 3 3 2" xfId="10904"/>
    <cellStyle name="Table  - Opmaakprofiel6 2 23 3 3 2 2" xfId="23202"/>
    <cellStyle name="Table  - Opmaakprofiel6 2 23 3 3 2 3" xfId="35254"/>
    <cellStyle name="Table  - Opmaakprofiel6 2 23 3 3 2 4" xfId="42080"/>
    <cellStyle name="Table  - Opmaakprofiel6 2 23 3 3 2 5" xfId="55869"/>
    <cellStyle name="Table  - Opmaakprofiel6 2 23 3 3 3" xfId="17063"/>
    <cellStyle name="Table  - Opmaakprofiel6 2 23 3 3 4" xfId="29115"/>
    <cellStyle name="Table  - Opmaakprofiel6 2 23 3 3 5" xfId="44631"/>
    <cellStyle name="Table  - Opmaakprofiel6 2 23 3 3 6" xfId="50072"/>
    <cellStyle name="Table  - Opmaakprofiel6 2 23 3 4" xfId="3924"/>
    <cellStyle name="Table  - Opmaakprofiel6 2 23 3 4 2" xfId="10905"/>
    <cellStyle name="Table  - Opmaakprofiel6 2 23 3 4 2 2" xfId="23203"/>
    <cellStyle name="Table  - Opmaakprofiel6 2 23 3 4 2 3" xfId="35255"/>
    <cellStyle name="Table  - Opmaakprofiel6 2 23 3 4 2 4" xfId="31723"/>
    <cellStyle name="Table  - Opmaakprofiel6 2 23 3 4 2 5" xfId="55870"/>
    <cellStyle name="Table  - Opmaakprofiel6 2 23 3 4 3" xfId="17064"/>
    <cellStyle name="Table  - Opmaakprofiel6 2 23 3 4 4" xfId="29116"/>
    <cellStyle name="Table  - Opmaakprofiel6 2 23 3 4 5" xfId="38487"/>
    <cellStyle name="Table  - Opmaakprofiel6 2 23 3 4 6" xfId="50073"/>
    <cellStyle name="Table  - Opmaakprofiel6 2 23 3 5" xfId="6042"/>
    <cellStyle name="Table  - Opmaakprofiel6 2 23 3 5 2" xfId="10906"/>
    <cellStyle name="Table  - Opmaakprofiel6 2 23 3 5 2 2" xfId="23204"/>
    <cellStyle name="Table  - Opmaakprofiel6 2 23 3 5 2 3" xfId="35256"/>
    <cellStyle name="Table  - Opmaakprofiel6 2 23 3 5 2 4" xfId="30239"/>
    <cellStyle name="Table  - Opmaakprofiel6 2 23 3 5 2 5" xfId="55871"/>
    <cellStyle name="Table  - Opmaakprofiel6 2 23 3 5 3" xfId="17065"/>
    <cellStyle name="Table  - Opmaakprofiel6 2 23 3 5 4" xfId="29117"/>
    <cellStyle name="Table  - Opmaakprofiel6 2 23 3 5 5" xfId="44630"/>
    <cellStyle name="Table  - Opmaakprofiel6 2 23 3 5 6" xfId="50074"/>
    <cellStyle name="Table  - Opmaakprofiel6 2 23 3 6" xfId="6043"/>
    <cellStyle name="Table  - Opmaakprofiel6 2 23 3 6 2" xfId="10907"/>
    <cellStyle name="Table  - Opmaakprofiel6 2 23 3 6 2 2" xfId="23205"/>
    <cellStyle name="Table  - Opmaakprofiel6 2 23 3 6 2 3" xfId="35257"/>
    <cellStyle name="Table  - Opmaakprofiel6 2 23 3 6 2 4" xfId="31658"/>
    <cellStyle name="Table  - Opmaakprofiel6 2 23 3 6 2 5" xfId="55872"/>
    <cellStyle name="Table  - Opmaakprofiel6 2 23 3 6 3" xfId="17066"/>
    <cellStyle name="Table  - Opmaakprofiel6 2 23 3 6 4" xfId="29118"/>
    <cellStyle name="Table  - Opmaakprofiel6 2 23 3 6 5" xfId="38486"/>
    <cellStyle name="Table  - Opmaakprofiel6 2 23 3 6 6" xfId="50075"/>
    <cellStyle name="Table  - Opmaakprofiel6 2 23 3 7" xfId="6044"/>
    <cellStyle name="Table  - Opmaakprofiel6 2 23 3 7 2" xfId="17067"/>
    <cellStyle name="Table  - Opmaakprofiel6 2 23 3 7 3" xfId="29119"/>
    <cellStyle name="Table  - Opmaakprofiel6 2 23 3 7 4" xfId="38485"/>
    <cellStyle name="Table  - Opmaakprofiel6 2 23 3 7 5" xfId="50076"/>
    <cellStyle name="Table  - Opmaakprofiel6 2 23 3 8" xfId="9932"/>
    <cellStyle name="Table  - Opmaakprofiel6 2 23 3 8 2" xfId="22230"/>
    <cellStyle name="Table  - Opmaakprofiel6 2 23 3 8 3" xfId="43996"/>
    <cellStyle name="Table  - Opmaakprofiel6 2 23 3 8 4" xfId="42486"/>
    <cellStyle name="Table  - Opmaakprofiel6 2 23 3 8 5" xfId="54897"/>
    <cellStyle name="Table  - Opmaakprofiel6 2 23 3 9" xfId="17061"/>
    <cellStyle name="Table  - Opmaakprofiel6 2 23 4" xfId="879"/>
    <cellStyle name="Table  - Opmaakprofiel6 2 23 4 2" xfId="1426"/>
    <cellStyle name="Table  - Opmaakprofiel6 2 23 4 2 2" xfId="10908"/>
    <cellStyle name="Table  - Opmaakprofiel6 2 23 4 2 2 2" xfId="23206"/>
    <cellStyle name="Table  - Opmaakprofiel6 2 23 4 2 2 3" xfId="35258"/>
    <cellStyle name="Table  - Opmaakprofiel6 2 23 4 2 2 4" xfId="42079"/>
    <cellStyle name="Table  - Opmaakprofiel6 2 23 4 2 2 5" xfId="55873"/>
    <cellStyle name="Table  - Opmaakprofiel6 2 23 4 2 3" xfId="17069"/>
    <cellStyle name="Table  - Opmaakprofiel6 2 23 4 2 4" xfId="29121"/>
    <cellStyle name="Table  - Opmaakprofiel6 2 23 4 2 5" xfId="44629"/>
    <cellStyle name="Table  - Opmaakprofiel6 2 23 4 2 6" xfId="50077"/>
    <cellStyle name="Table  - Opmaakprofiel6 2 23 4 3" xfId="2890"/>
    <cellStyle name="Table  - Opmaakprofiel6 2 23 4 3 2" xfId="10909"/>
    <cellStyle name="Table  - Opmaakprofiel6 2 23 4 3 2 2" xfId="23207"/>
    <cellStyle name="Table  - Opmaakprofiel6 2 23 4 3 2 3" xfId="35259"/>
    <cellStyle name="Table  - Opmaakprofiel6 2 23 4 3 2 4" xfId="30246"/>
    <cellStyle name="Table  - Opmaakprofiel6 2 23 4 3 2 5" xfId="55874"/>
    <cellStyle name="Table  - Opmaakprofiel6 2 23 4 3 3" xfId="17070"/>
    <cellStyle name="Table  - Opmaakprofiel6 2 23 4 3 4" xfId="29122"/>
    <cellStyle name="Table  - Opmaakprofiel6 2 23 4 3 5" xfId="38483"/>
    <cellStyle name="Table  - Opmaakprofiel6 2 23 4 3 6" xfId="50078"/>
    <cellStyle name="Table  - Opmaakprofiel6 2 23 4 4" xfId="3743"/>
    <cellStyle name="Table  - Opmaakprofiel6 2 23 4 4 2" xfId="10910"/>
    <cellStyle name="Table  - Opmaakprofiel6 2 23 4 4 2 2" xfId="23208"/>
    <cellStyle name="Table  - Opmaakprofiel6 2 23 4 4 2 3" xfId="35260"/>
    <cellStyle name="Table  - Opmaakprofiel6 2 23 4 4 2 4" xfId="42078"/>
    <cellStyle name="Table  - Opmaakprofiel6 2 23 4 4 2 5" xfId="55875"/>
    <cellStyle name="Table  - Opmaakprofiel6 2 23 4 4 3" xfId="17071"/>
    <cellStyle name="Table  - Opmaakprofiel6 2 23 4 4 4" xfId="29123"/>
    <cellStyle name="Table  - Opmaakprofiel6 2 23 4 4 5" xfId="44628"/>
    <cellStyle name="Table  - Opmaakprofiel6 2 23 4 4 6" xfId="50079"/>
    <cellStyle name="Table  - Opmaakprofiel6 2 23 4 5" xfId="6045"/>
    <cellStyle name="Table  - Opmaakprofiel6 2 23 4 5 2" xfId="10911"/>
    <cellStyle name="Table  - Opmaakprofiel6 2 23 4 5 2 2" xfId="23209"/>
    <cellStyle name="Table  - Opmaakprofiel6 2 23 4 5 2 3" xfId="35261"/>
    <cellStyle name="Table  - Opmaakprofiel6 2 23 4 5 2 4" xfId="32024"/>
    <cellStyle name="Table  - Opmaakprofiel6 2 23 4 5 2 5" xfId="55876"/>
    <cellStyle name="Table  - Opmaakprofiel6 2 23 4 5 3" xfId="17072"/>
    <cellStyle name="Table  - Opmaakprofiel6 2 23 4 5 4" xfId="29124"/>
    <cellStyle name="Table  - Opmaakprofiel6 2 23 4 5 5" xfId="38482"/>
    <cellStyle name="Table  - Opmaakprofiel6 2 23 4 5 6" xfId="50080"/>
    <cellStyle name="Table  - Opmaakprofiel6 2 23 4 6" xfId="6046"/>
    <cellStyle name="Table  - Opmaakprofiel6 2 23 4 6 2" xfId="10912"/>
    <cellStyle name="Table  - Opmaakprofiel6 2 23 4 6 2 2" xfId="23210"/>
    <cellStyle name="Table  - Opmaakprofiel6 2 23 4 6 2 3" xfId="35262"/>
    <cellStyle name="Table  - Opmaakprofiel6 2 23 4 6 2 4" xfId="30253"/>
    <cellStyle name="Table  - Opmaakprofiel6 2 23 4 6 2 5" xfId="55877"/>
    <cellStyle name="Table  - Opmaakprofiel6 2 23 4 6 3" xfId="17073"/>
    <cellStyle name="Table  - Opmaakprofiel6 2 23 4 6 4" xfId="29125"/>
    <cellStyle name="Table  - Opmaakprofiel6 2 23 4 6 5" xfId="44627"/>
    <cellStyle name="Table  - Opmaakprofiel6 2 23 4 6 6" xfId="50081"/>
    <cellStyle name="Table  - Opmaakprofiel6 2 23 4 7" xfId="6047"/>
    <cellStyle name="Table  - Opmaakprofiel6 2 23 4 7 2" xfId="17074"/>
    <cellStyle name="Table  - Opmaakprofiel6 2 23 4 7 3" xfId="29126"/>
    <cellStyle name="Table  - Opmaakprofiel6 2 23 4 7 4" xfId="38481"/>
    <cellStyle name="Table  - Opmaakprofiel6 2 23 4 7 5" xfId="50082"/>
    <cellStyle name="Table  - Opmaakprofiel6 2 23 4 8" xfId="7392"/>
    <cellStyle name="Table  - Opmaakprofiel6 2 23 4 8 2" xfId="19690"/>
    <cellStyle name="Table  - Opmaakprofiel6 2 23 4 8 3" xfId="41493"/>
    <cellStyle name="Table  - Opmaakprofiel6 2 23 4 8 4" xfId="43528"/>
    <cellStyle name="Table  - Opmaakprofiel6 2 23 4 8 5" xfId="52362"/>
    <cellStyle name="Table  - Opmaakprofiel6 2 23 4 9" xfId="17068"/>
    <cellStyle name="Table  - Opmaakprofiel6 2 23 5" xfId="1243"/>
    <cellStyle name="Table  - Opmaakprofiel6 2 23 5 2" xfId="1971"/>
    <cellStyle name="Table  - Opmaakprofiel6 2 23 5 2 2" xfId="10913"/>
    <cellStyle name="Table  - Opmaakprofiel6 2 23 5 2 2 2" xfId="23211"/>
    <cellStyle name="Table  - Opmaakprofiel6 2 23 5 2 2 3" xfId="35263"/>
    <cellStyle name="Table  - Opmaakprofiel6 2 23 5 2 2 4" xfId="42077"/>
    <cellStyle name="Table  - Opmaakprofiel6 2 23 5 2 2 5" xfId="55878"/>
    <cellStyle name="Table  - Opmaakprofiel6 2 23 5 2 3" xfId="17076"/>
    <cellStyle name="Table  - Opmaakprofiel6 2 23 5 2 4" xfId="29128"/>
    <cellStyle name="Table  - Opmaakprofiel6 2 23 5 2 5" xfId="38480"/>
    <cellStyle name="Table  - Opmaakprofiel6 2 23 5 2 6" xfId="50083"/>
    <cellStyle name="Table  - Opmaakprofiel6 2 23 5 3" xfId="3254"/>
    <cellStyle name="Table  - Opmaakprofiel6 2 23 5 3 2" xfId="10914"/>
    <cellStyle name="Table  - Opmaakprofiel6 2 23 5 3 2 2" xfId="23212"/>
    <cellStyle name="Table  - Opmaakprofiel6 2 23 5 3 2 3" xfId="35264"/>
    <cellStyle name="Table  - Opmaakprofiel6 2 23 5 3 2 4" xfId="31541"/>
    <cellStyle name="Table  - Opmaakprofiel6 2 23 5 3 2 5" xfId="55879"/>
    <cellStyle name="Table  - Opmaakprofiel6 2 23 5 3 3" xfId="17077"/>
    <cellStyle name="Table  - Opmaakprofiel6 2 23 5 3 4" xfId="29129"/>
    <cellStyle name="Table  - Opmaakprofiel6 2 23 5 3 5" xfId="44625"/>
    <cellStyle name="Table  - Opmaakprofiel6 2 23 5 3 6" xfId="50084"/>
    <cellStyle name="Table  - Opmaakprofiel6 2 23 5 4" xfId="4067"/>
    <cellStyle name="Table  - Opmaakprofiel6 2 23 5 4 2" xfId="10915"/>
    <cellStyle name="Table  - Opmaakprofiel6 2 23 5 4 2 2" xfId="23213"/>
    <cellStyle name="Table  - Opmaakprofiel6 2 23 5 4 2 3" xfId="35265"/>
    <cellStyle name="Table  - Opmaakprofiel6 2 23 5 4 2 4" xfId="42076"/>
    <cellStyle name="Table  - Opmaakprofiel6 2 23 5 4 2 5" xfId="55880"/>
    <cellStyle name="Table  - Opmaakprofiel6 2 23 5 4 3" xfId="17078"/>
    <cellStyle name="Table  - Opmaakprofiel6 2 23 5 4 4" xfId="29130"/>
    <cellStyle name="Table  - Opmaakprofiel6 2 23 5 4 5" xfId="38479"/>
    <cellStyle name="Table  - Opmaakprofiel6 2 23 5 4 6" xfId="50085"/>
    <cellStyle name="Table  - Opmaakprofiel6 2 23 5 5" xfId="6048"/>
    <cellStyle name="Table  - Opmaakprofiel6 2 23 5 5 2" xfId="10916"/>
    <cellStyle name="Table  - Opmaakprofiel6 2 23 5 5 2 2" xfId="23214"/>
    <cellStyle name="Table  - Opmaakprofiel6 2 23 5 5 2 3" xfId="35266"/>
    <cellStyle name="Table  - Opmaakprofiel6 2 23 5 5 2 4" xfId="30260"/>
    <cellStyle name="Table  - Opmaakprofiel6 2 23 5 5 2 5" xfId="55881"/>
    <cellStyle name="Table  - Opmaakprofiel6 2 23 5 5 3" xfId="17079"/>
    <cellStyle name="Table  - Opmaakprofiel6 2 23 5 5 4" xfId="29131"/>
    <cellStyle name="Table  - Opmaakprofiel6 2 23 5 5 5" xfId="38478"/>
    <cellStyle name="Table  - Opmaakprofiel6 2 23 5 5 6" xfId="50086"/>
    <cellStyle name="Table  - Opmaakprofiel6 2 23 5 6" xfId="6049"/>
    <cellStyle name="Table  - Opmaakprofiel6 2 23 5 6 2" xfId="10917"/>
    <cellStyle name="Table  - Opmaakprofiel6 2 23 5 6 2 2" xfId="23215"/>
    <cellStyle name="Table  - Opmaakprofiel6 2 23 5 6 2 3" xfId="35267"/>
    <cellStyle name="Table  - Opmaakprofiel6 2 23 5 6 2 4" xfId="42075"/>
    <cellStyle name="Table  - Opmaakprofiel6 2 23 5 6 2 5" xfId="55882"/>
    <cellStyle name="Table  - Opmaakprofiel6 2 23 5 6 3" xfId="17080"/>
    <cellStyle name="Table  - Opmaakprofiel6 2 23 5 6 4" xfId="29132"/>
    <cellStyle name="Table  - Opmaakprofiel6 2 23 5 6 5" xfId="38477"/>
    <cellStyle name="Table  - Opmaakprofiel6 2 23 5 6 6" xfId="50087"/>
    <cellStyle name="Table  - Opmaakprofiel6 2 23 5 7" xfId="6050"/>
    <cellStyle name="Table  - Opmaakprofiel6 2 23 5 7 2" xfId="17081"/>
    <cellStyle name="Table  - Opmaakprofiel6 2 23 5 7 3" xfId="29133"/>
    <cellStyle name="Table  - Opmaakprofiel6 2 23 5 7 4" xfId="44624"/>
    <cellStyle name="Table  - Opmaakprofiel6 2 23 5 7 5" xfId="50088"/>
    <cellStyle name="Table  - Opmaakprofiel6 2 23 5 8" xfId="7131"/>
    <cellStyle name="Table  - Opmaakprofiel6 2 23 5 8 2" xfId="19429"/>
    <cellStyle name="Table  - Opmaakprofiel6 2 23 5 8 3" xfId="41232"/>
    <cellStyle name="Table  - Opmaakprofiel6 2 23 5 8 4" xfId="43637"/>
    <cellStyle name="Table  - Opmaakprofiel6 2 23 5 8 5" xfId="52101"/>
    <cellStyle name="Table  - Opmaakprofiel6 2 23 5 9" xfId="17075"/>
    <cellStyle name="Table  - Opmaakprofiel6 2 23 6" xfId="1288"/>
    <cellStyle name="Table  - Opmaakprofiel6 2 23 6 2" xfId="2230"/>
    <cellStyle name="Table  - Opmaakprofiel6 2 23 6 2 2" xfId="10918"/>
    <cellStyle name="Table  - Opmaakprofiel6 2 23 6 2 2 2" xfId="23216"/>
    <cellStyle name="Table  - Opmaakprofiel6 2 23 6 2 2 3" xfId="35268"/>
    <cellStyle name="Table  - Opmaakprofiel6 2 23 6 2 2 4" xfId="34640"/>
    <cellStyle name="Table  - Opmaakprofiel6 2 23 6 2 2 5" xfId="55883"/>
    <cellStyle name="Table  - Opmaakprofiel6 2 23 6 2 3" xfId="17083"/>
    <cellStyle name="Table  - Opmaakprofiel6 2 23 6 2 4" xfId="29135"/>
    <cellStyle name="Table  - Opmaakprofiel6 2 23 6 2 5" xfId="44623"/>
    <cellStyle name="Table  - Opmaakprofiel6 2 23 6 2 6" xfId="50089"/>
    <cellStyle name="Table  - Opmaakprofiel6 2 23 6 3" xfId="3299"/>
    <cellStyle name="Table  - Opmaakprofiel6 2 23 6 3 2" xfId="10919"/>
    <cellStyle name="Table  - Opmaakprofiel6 2 23 6 3 2 2" xfId="23217"/>
    <cellStyle name="Table  - Opmaakprofiel6 2 23 6 3 2 3" xfId="35269"/>
    <cellStyle name="Table  - Opmaakprofiel6 2 23 6 3 2 4" xfId="30270"/>
    <cellStyle name="Table  - Opmaakprofiel6 2 23 6 3 2 5" xfId="55884"/>
    <cellStyle name="Table  - Opmaakprofiel6 2 23 6 3 3" xfId="17084"/>
    <cellStyle name="Table  - Opmaakprofiel6 2 23 6 3 4" xfId="29136"/>
    <cellStyle name="Table  - Opmaakprofiel6 2 23 6 3 5" xfId="38475"/>
    <cellStyle name="Table  - Opmaakprofiel6 2 23 6 3 6" xfId="50090"/>
    <cellStyle name="Table  - Opmaakprofiel6 2 23 6 4" xfId="4093"/>
    <cellStyle name="Table  - Opmaakprofiel6 2 23 6 4 2" xfId="10920"/>
    <cellStyle name="Table  - Opmaakprofiel6 2 23 6 4 2 2" xfId="23218"/>
    <cellStyle name="Table  - Opmaakprofiel6 2 23 6 4 2 3" xfId="35270"/>
    <cellStyle name="Table  - Opmaakprofiel6 2 23 6 4 2 4" xfId="42074"/>
    <cellStyle name="Table  - Opmaakprofiel6 2 23 6 4 2 5" xfId="55885"/>
    <cellStyle name="Table  - Opmaakprofiel6 2 23 6 4 3" xfId="17085"/>
    <cellStyle name="Table  - Opmaakprofiel6 2 23 6 4 4" xfId="29137"/>
    <cellStyle name="Table  - Opmaakprofiel6 2 23 6 4 5" xfId="38474"/>
    <cellStyle name="Table  - Opmaakprofiel6 2 23 6 4 6" xfId="50091"/>
    <cellStyle name="Table  - Opmaakprofiel6 2 23 6 5" xfId="6051"/>
    <cellStyle name="Table  - Opmaakprofiel6 2 23 6 5 2" xfId="10921"/>
    <cellStyle name="Table  - Opmaakprofiel6 2 23 6 5 2 2" xfId="23219"/>
    <cellStyle name="Table  - Opmaakprofiel6 2 23 6 5 2 3" xfId="35271"/>
    <cellStyle name="Table  - Opmaakprofiel6 2 23 6 5 2 4" xfId="34490"/>
    <cellStyle name="Table  - Opmaakprofiel6 2 23 6 5 2 5" xfId="55886"/>
    <cellStyle name="Table  - Opmaakprofiel6 2 23 6 5 3" xfId="17086"/>
    <cellStyle name="Table  - Opmaakprofiel6 2 23 6 5 4" xfId="29138"/>
    <cellStyle name="Table  - Opmaakprofiel6 2 23 6 5 5" xfId="44622"/>
    <cellStyle name="Table  - Opmaakprofiel6 2 23 6 5 6" xfId="50092"/>
    <cellStyle name="Table  - Opmaakprofiel6 2 23 6 6" xfId="6052"/>
    <cellStyle name="Table  - Opmaakprofiel6 2 23 6 6 2" xfId="10922"/>
    <cellStyle name="Table  - Opmaakprofiel6 2 23 6 6 2 2" xfId="23220"/>
    <cellStyle name="Table  - Opmaakprofiel6 2 23 6 6 2 3" xfId="35272"/>
    <cellStyle name="Table  - Opmaakprofiel6 2 23 6 6 2 4" xfId="42073"/>
    <cellStyle name="Table  - Opmaakprofiel6 2 23 6 6 2 5" xfId="55887"/>
    <cellStyle name="Table  - Opmaakprofiel6 2 23 6 6 3" xfId="17087"/>
    <cellStyle name="Table  - Opmaakprofiel6 2 23 6 6 4" xfId="29139"/>
    <cellStyle name="Table  - Opmaakprofiel6 2 23 6 6 5" xfId="38473"/>
    <cellStyle name="Table  - Opmaakprofiel6 2 23 6 6 6" xfId="50093"/>
    <cellStyle name="Table  - Opmaakprofiel6 2 23 6 7" xfId="6053"/>
    <cellStyle name="Table  - Opmaakprofiel6 2 23 6 7 2" xfId="17088"/>
    <cellStyle name="Table  - Opmaakprofiel6 2 23 6 7 3" xfId="29140"/>
    <cellStyle name="Table  - Opmaakprofiel6 2 23 6 7 4" xfId="44621"/>
    <cellStyle name="Table  - Opmaakprofiel6 2 23 6 7 5" xfId="50094"/>
    <cellStyle name="Table  - Opmaakprofiel6 2 23 6 8" xfId="7088"/>
    <cellStyle name="Table  - Opmaakprofiel6 2 23 6 8 2" xfId="19386"/>
    <cellStyle name="Table  - Opmaakprofiel6 2 23 6 8 3" xfId="41189"/>
    <cellStyle name="Table  - Opmaakprofiel6 2 23 6 8 4" xfId="43655"/>
    <cellStyle name="Table  - Opmaakprofiel6 2 23 6 8 5" xfId="52059"/>
    <cellStyle name="Table  - Opmaakprofiel6 2 23 6 9" xfId="17082"/>
    <cellStyle name="Table  - Opmaakprofiel6 2 23 7" xfId="1517"/>
    <cellStyle name="Table  - Opmaakprofiel6 2 23 7 2" xfId="10923"/>
    <cellStyle name="Table  - Opmaakprofiel6 2 23 7 2 2" xfId="23221"/>
    <cellStyle name="Table  - Opmaakprofiel6 2 23 7 2 3" xfId="35273"/>
    <cellStyle name="Table  - Opmaakprofiel6 2 23 7 2 4" xfId="30274"/>
    <cellStyle name="Table  - Opmaakprofiel6 2 23 7 2 5" xfId="55888"/>
    <cellStyle name="Table  - Opmaakprofiel6 2 23 7 3" xfId="17089"/>
    <cellStyle name="Table  - Opmaakprofiel6 2 23 7 4" xfId="29141"/>
    <cellStyle name="Table  - Opmaakprofiel6 2 23 7 5" xfId="38472"/>
    <cellStyle name="Table  - Opmaakprofiel6 2 23 7 6" xfId="50095"/>
    <cellStyle name="Table  - Opmaakprofiel6 2 23 8" xfId="2834"/>
    <cellStyle name="Table  - Opmaakprofiel6 2 23 8 2" xfId="10924"/>
    <cellStyle name="Table  - Opmaakprofiel6 2 23 8 2 2" xfId="23222"/>
    <cellStyle name="Table  - Opmaakprofiel6 2 23 8 2 3" xfId="35274"/>
    <cellStyle name="Table  - Opmaakprofiel6 2 23 8 2 4" xfId="42072"/>
    <cellStyle name="Table  - Opmaakprofiel6 2 23 8 2 5" xfId="55889"/>
    <cellStyle name="Table  - Opmaakprofiel6 2 23 8 3" xfId="17090"/>
    <cellStyle name="Table  - Opmaakprofiel6 2 23 8 4" xfId="29142"/>
    <cellStyle name="Table  - Opmaakprofiel6 2 23 8 5" xfId="44620"/>
    <cellStyle name="Table  - Opmaakprofiel6 2 23 8 6" xfId="50096"/>
    <cellStyle name="Table  - Opmaakprofiel6 2 23 9" xfId="3692"/>
    <cellStyle name="Table  - Opmaakprofiel6 2 23 9 2" xfId="10925"/>
    <cellStyle name="Table  - Opmaakprofiel6 2 23 9 2 2" xfId="23223"/>
    <cellStyle name="Table  - Opmaakprofiel6 2 23 9 2 3" xfId="35275"/>
    <cellStyle name="Table  - Opmaakprofiel6 2 23 9 2 4" xfId="34374"/>
    <cellStyle name="Table  - Opmaakprofiel6 2 23 9 2 5" xfId="55890"/>
    <cellStyle name="Table  - Opmaakprofiel6 2 23 9 3" xfId="17091"/>
    <cellStyle name="Table  - Opmaakprofiel6 2 23 9 4" xfId="29143"/>
    <cellStyle name="Table  - Opmaakprofiel6 2 23 9 5" xfId="38471"/>
    <cellStyle name="Table  - Opmaakprofiel6 2 23 9 6" xfId="50097"/>
    <cellStyle name="Table  - Opmaakprofiel6 2 24" xfId="708"/>
    <cellStyle name="Table  - Opmaakprofiel6 2 24 10" xfId="6054"/>
    <cellStyle name="Table  - Opmaakprofiel6 2 24 10 2" xfId="10926"/>
    <cellStyle name="Table  - Opmaakprofiel6 2 24 10 2 2" xfId="23224"/>
    <cellStyle name="Table  - Opmaakprofiel6 2 24 10 2 3" xfId="35276"/>
    <cellStyle name="Table  - Opmaakprofiel6 2 24 10 2 4" xfId="42071"/>
    <cellStyle name="Table  - Opmaakprofiel6 2 24 10 2 5" xfId="55891"/>
    <cellStyle name="Table  - Opmaakprofiel6 2 24 10 3" xfId="17093"/>
    <cellStyle name="Table  - Opmaakprofiel6 2 24 10 4" xfId="29145"/>
    <cellStyle name="Table  - Opmaakprofiel6 2 24 10 5" xfId="44619"/>
    <cellStyle name="Table  - Opmaakprofiel6 2 24 10 6" xfId="50098"/>
    <cellStyle name="Table  - Opmaakprofiel6 2 24 11" xfId="6055"/>
    <cellStyle name="Table  - Opmaakprofiel6 2 24 11 2" xfId="10927"/>
    <cellStyle name="Table  - Opmaakprofiel6 2 24 11 2 2" xfId="23225"/>
    <cellStyle name="Table  - Opmaakprofiel6 2 24 11 2 3" xfId="35277"/>
    <cellStyle name="Table  - Opmaakprofiel6 2 24 11 2 4" xfId="30281"/>
    <cellStyle name="Table  - Opmaakprofiel6 2 24 11 2 5" xfId="55892"/>
    <cellStyle name="Table  - Opmaakprofiel6 2 24 11 3" xfId="17094"/>
    <cellStyle name="Table  - Opmaakprofiel6 2 24 11 4" xfId="29146"/>
    <cellStyle name="Table  - Opmaakprofiel6 2 24 11 5" xfId="38469"/>
    <cellStyle name="Table  - Opmaakprofiel6 2 24 11 6" xfId="50099"/>
    <cellStyle name="Table  - Opmaakprofiel6 2 24 12" xfId="6056"/>
    <cellStyle name="Table  - Opmaakprofiel6 2 24 12 2" xfId="17095"/>
    <cellStyle name="Table  - Opmaakprofiel6 2 24 12 3" xfId="29147"/>
    <cellStyle name="Table  - Opmaakprofiel6 2 24 12 4" xfId="44618"/>
    <cellStyle name="Table  - Opmaakprofiel6 2 24 12 5" xfId="50100"/>
    <cellStyle name="Table  - Opmaakprofiel6 2 24 13" xfId="7508"/>
    <cellStyle name="Table  - Opmaakprofiel6 2 24 13 2" xfId="19806"/>
    <cellStyle name="Table  - Opmaakprofiel6 2 24 13 3" xfId="41609"/>
    <cellStyle name="Table  - Opmaakprofiel6 2 24 13 4" xfId="43479"/>
    <cellStyle name="Table  - Opmaakprofiel6 2 24 13 5" xfId="52478"/>
    <cellStyle name="Table  - Opmaakprofiel6 2 24 14" xfId="17092"/>
    <cellStyle name="Table  - Opmaakprofiel6 2 24 2" xfId="881"/>
    <cellStyle name="Table  - Opmaakprofiel6 2 24 2 2" xfId="1425"/>
    <cellStyle name="Table  - Opmaakprofiel6 2 24 2 2 2" xfId="10928"/>
    <cellStyle name="Table  - Opmaakprofiel6 2 24 2 2 2 2" xfId="23226"/>
    <cellStyle name="Table  - Opmaakprofiel6 2 24 2 2 2 3" xfId="35278"/>
    <cellStyle name="Table  - Opmaakprofiel6 2 24 2 2 2 4" xfId="42070"/>
    <cellStyle name="Table  - Opmaakprofiel6 2 24 2 2 2 5" xfId="55893"/>
    <cellStyle name="Table  - Opmaakprofiel6 2 24 2 2 3" xfId="17097"/>
    <cellStyle name="Table  - Opmaakprofiel6 2 24 2 2 4" xfId="29149"/>
    <cellStyle name="Table  - Opmaakprofiel6 2 24 2 2 5" xfId="44617"/>
    <cellStyle name="Table  - Opmaakprofiel6 2 24 2 2 6" xfId="50101"/>
    <cellStyle name="Table  - Opmaakprofiel6 2 24 2 3" xfId="2892"/>
    <cellStyle name="Table  - Opmaakprofiel6 2 24 2 3 2" xfId="10929"/>
    <cellStyle name="Table  - Opmaakprofiel6 2 24 2 3 2 2" xfId="23227"/>
    <cellStyle name="Table  - Opmaakprofiel6 2 24 2 3 2 3" xfId="35279"/>
    <cellStyle name="Table  - Opmaakprofiel6 2 24 2 3 2 4" xfId="31624"/>
    <cellStyle name="Table  - Opmaakprofiel6 2 24 2 3 2 5" xfId="55894"/>
    <cellStyle name="Table  - Opmaakprofiel6 2 24 2 3 3" xfId="17098"/>
    <cellStyle name="Table  - Opmaakprofiel6 2 24 2 3 4" xfId="29150"/>
    <cellStyle name="Table  - Opmaakprofiel6 2 24 2 3 5" xfId="38468"/>
    <cellStyle name="Table  - Opmaakprofiel6 2 24 2 3 6" xfId="50102"/>
    <cellStyle name="Table  - Opmaakprofiel6 2 24 2 4" xfId="3745"/>
    <cellStyle name="Table  - Opmaakprofiel6 2 24 2 4 2" xfId="10930"/>
    <cellStyle name="Table  - Opmaakprofiel6 2 24 2 4 2 2" xfId="23228"/>
    <cellStyle name="Table  - Opmaakprofiel6 2 24 2 4 2 3" xfId="35280"/>
    <cellStyle name="Table  - Opmaakprofiel6 2 24 2 4 2 4" xfId="30288"/>
    <cellStyle name="Table  - Opmaakprofiel6 2 24 2 4 2 5" xfId="55895"/>
    <cellStyle name="Table  - Opmaakprofiel6 2 24 2 4 3" xfId="17099"/>
    <cellStyle name="Table  - Opmaakprofiel6 2 24 2 4 4" xfId="29151"/>
    <cellStyle name="Table  - Opmaakprofiel6 2 24 2 4 5" xfId="44616"/>
    <cellStyle name="Table  - Opmaakprofiel6 2 24 2 4 6" xfId="50103"/>
    <cellStyle name="Table  - Opmaakprofiel6 2 24 2 5" xfId="6057"/>
    <cellStyle name="Table  - Opmaakprofiel6 2 24 2 5 2" xfId="10931"/>
    <cellStyle name="Table  - Opmaakprofiel6 2 24 2 5 2 2" xfId="23229"/>
    <cellStyle name="Table  - Opmaakprofiel6 2 24 2 5 2 3" xfId="35281"/>
    <cellStyle name="Table  - Opmaakprofiel6 2 24 2 5 2 4" xfId="31986"/>
    <cellStyle name="Table  - Opmaakprofiel6 2 24 2 5 2 5" xfId="55896"/>
    <cellStyle name="Table  - Opmaakprofiel6 2 24 2 5 3" xfId="17100"/>
    <cellStyle name="Table  - Opmaakprofiel6 2 24 2 5 4" xfId="29152"/>
    <cellStyle name="Table  - Opmaakprofiel6 2 24 2 5 5" xfId="38467"/>
    <cellStyle name="Table  - Opmaakprofiel6 2 24 2 5 6" xfId="50104"/>
    <cellStyle name="Table  - Opmaakprofiel6 2 24 2 6" xfId="6058"/>
    <cellStyle name="Table  - Opmaakprofiel6 2 24 2 6 2" xfId="10932"/>
    <cellStyle name="Table  - Opmaakprofiel6 2 24 2 6 2 2" xfId="23230"/>
    <cellStyle name="Table  - Opmaakprofiel6 2 24 2 6 2 3" xfId="35282"/>
    <cellStyle name="Table  - Opmaakprofiel6 2 24 2 6 2 4" xfId="42069"/>
    <cellStyle name="Table  - Opmaakprofiel6 2 24 2 6 2 5" xfId="55897"/>
    <cellStyle name="Table  - Opmaakprofiel6 2 24 2 6 3" xfId="17101"/>
    <cellStyle name="Table  - Opmaakprofiel6 2 24 2 6 4" xfId="29153"/>
    <cellStyle name="Table  - Opmaakprofiel6 2 24 2 6 5" xfId="44615"/>
    <cellStyle name="Table  - Opmaakprofiel6 2 24 2 6 6" xfId="50105"/>
    <cellStyle name="Table  - Opmaakprofiel6 2 24 2 7" xfId="6059"/>
    <cellStyle name="Table  - Opmaakprofiel6 2 24 2 7 2" xfId="17102"/>
    <cellStyle name="Table  - Opmaakprofiel6 2 24 2 7 3" xfId="29154"/>
    <cellStyle name="Table  - Opmaakprofiel6 2 24 2 7 4" xfId="38466"/>
    <cellStyle name="Table  - Opmaakprofiel6 2 24 2 7 5" xfId="50106"/>
    <cellStyle name="Table  - Opmaakprofiel6 2 24 2 8" xfId="7391"/>
    <cellStyle name="Table  - Opmaakprofiel6 2 24 2 8 2" xfId="19689"/>
    <cellStyle name="Table  - Opmaakprofiel6 2 24 2 8 3" xfId="41492"/>
    <cellStyle name="Table  - Opmaakprofiel6 2 24 2 8 4" xfId="15581"/>
    <cellStyle name="Table  - Opmaakprofiel6 2 24 2 8 5" xfId="52361"/>
    <cellStyle name="Table  - Opmaakprofiel6 2 24 2 9" xfId="17096"/>
    <cellStyle name="Table  - Opmaakprofiel6 2 24 3" xfId="981"/>
    <cellStyle name="Table  - Opmaakprofiel6 2 24 3 2" xfId="2002"/>
    <cellStyle name="Table  - Opmaakprofiel6 2 24 3 2 2" xfId="10933"/>
    <cellStyle name="Table  - Opmaakprofiel6 2 24 3 2 2 2" xfId="23231"/>
    <cellStyle name="Table  - Opmaakprofiel6 2 24 3 2 2 3" xfId="35283"/>
    <cellStyle name="Table  - Opmaakprofiel6 2 24 3 2 2 4" xfId="30295"/>
    <cellStyle name="Table  - Opmaakprofiel6 2 24 3 2 2 5" xfId="55898"/>
    <cellStyle name="Table  - Opmaakprofiel6 2 24 3 2 3" xfId="17104"/>
    <cellStyle name="Table  - Opmaakprofiel6 2 24 3 2 4" xfId="29156"/>
    <cellStyle name="Table  - Opmaakprofiel6 2 24 3 2 5" xfId="38464"/>
    <cellStyle name="Table  - Opmaakprofiel6 2 24 3 2 6" xfId="50107"/>
    <cellStyle name="Table  - Opmaakprofiel6 2 24 3 3" xfId="2992"/>
    <cellStyle name="Table  - Opmaakprofiel6 2 24 3 3 2" xfId="10934"/>
    <cellStyle name="Table  - Opmaakprofiel6 2 24 3 3 2 2" xfId="23232"/>
    <cellStyle name="Table  - Opmaakprofiel6 2 24 3 3 2 3" xfId="35284"/>
    <cellStyle name="Table  - Opmaakprofiel6 2 24 3 3 2 4" xfId="42068"/>
    <cellStyle name="Table  - Opmaakprofiel6 2 24 3 3 2 5" xfId="55899"/>
    <cellStyle name="Table  - Opmaakprofiel6 2 24 3 3 3" xfId="17105"/>
    <cellStyle name="Table  - Opmaakprofiel6 2 24 3 3 4" xfId="29157"/>
    <cellStyle name="Table  - Opmaakprofiel6 2 24 3 3 5" xfId="44614"/>
    <cellStyle name="Table  - Opmaakprofiel6 2 24 3 3 6" xfId="50108"/>
    <cellStyle name="Table  - Opmaakprofiel6 2 24 3 4" xfId="3838"/>
    <cellStyle name="Table  - Opmaakprofiel6 2 24 3 4 2" xfId="10935"/>
    <cellStyle name="Table  - Opmaakprofiel6 2 24 3 4 2 2" xfId="23233"/>
    <cellStyle name="Table  - Opmaakprofiel6 2 24 3 4 2 3" xfId="35285"/>
    <cellStyle name="Table  - Opmaakprofiel6 2 24 3 4 2 4" xfId="31501"/>
    <cellStyle name="Table  - Opmaakprofiel6 2 24 3 4 2 5" xfId="55900"/>
    <cellStyle name="Table  - Opmaakprofiel6 2 24 3 4 3" xfId="17106"/>
    <cellStyle name="Table  - Opmaakprofiel6 2 24 3 4 4" xfId="29158"/>
    <cellStyle name="Table  - Opmaakprofiel6 2 24 3 4 5" xfId="38463"/>
    <cellStyle name="Table  - Opmaakprofiel6 2 24 3 4 6" xfId="50109"/>
    <cellStyle name="Table  - Opmaakprofiel6 2 24 3 5" xfId="6060"/>
    <cellStyle name="Table  - Opmaakprofiel6 2 24 3 5 2" xfId="10936"/>
    <cellStyle name="Table  - Opmaakprofiel6 2 24 3 5 2 2" xfId="23234"/>
    <cellStyle name="Table  - Opmaakprofiel6 2 24 3 5 2 3" xfId="35286"/>
    <cellStyle name="Table  - Opmaakprofiel6 2 24 3 5 2 4" xfId="42067"/>
    <cellStyle name="Table  - Opmaakprofiel6 2 24 3 5 2 5" xfId="55901"/>
    <cellStyle name="Table  - Opmaakprofiel6 2 24 3 5 3" xfId="17107"/>
    <cellStyle name="Table  - Opmaakprofiel6 2 24 3 5 4" xfId="29159"/>
    <cellStyle name="Table  - Opmaakprofiel6 2 24 3 5 5" xfId="44613"/>
    <cellStyle name="Table  - Opmaakprofiel6 2 24 3 5 6" xfId="50110"/>
    <cellStyle name="Table  - Opmaakprofiel6 2 24 3 6" xfId="6061"/>
    <cellStyle name="Table  - Opmaakprofiel6 2 24 3 6 2" xfId="10937"/>
    <cellStyle name="Table  - Opmaakprofiel6 2 24 3 6 2 2" xfId="23235"/>
    <cellStyle name="Table  - Opmaakprofiel6 2 24 3 6 2 3" xfId="35287"/>
    <cellStyle name="Table  - Opmaakprofiel6 2 24 3 6 2 4" xfId="30302"/>
    <cellStyle name="Table  - Opmaakprofiel6 2 24 3 6 2 5" xfId="55902"/>
    <cellStyle name="Table  - Opmaakprofiel6 2 24 3 6 3" xfId="17108"/>
    <cellStyle name="Table  - Opmaakprofiel6 2 24 3 6 4" xfId="29160"/>
    <cellStyle name="Table  - Opmaakprofiel6 2 24 3 6 5" xfId="38462"/>
    <cellStyle name="Table  - Opmaakprofiel6 2 24 3 6 6" xfId="50111"/>
    <cellStyle name="Table  - Opmaakprofiel6 2 24 3 7" xfId="6062"/>
    <cellStyle name="Table  - Opmaakprofiel6 2 24 3 7 2" xfId="17109"/>
    <cellStyle name="Table  - Opmaakprofiel6 2 24 3 7 3" xfId="29161"/>
    <cellStyle name="Table  - Opmaakprofiel6 2 24 3 7 4" xfId="44612"/>
    <cellStyle name="Table  - Opmaakprofiel6 2 24 3 7 5" xfId="50112"/>
    <cellStyle name="Table  - Opmaakprofiel6 2 24 3 8" xfId="7325"/>
    <cellStyle name="Table  - Opmaakprofiel6 2 24 3 8 2" xfId="19623"/>
    <cellStyle name="Table  - Opmaakprofiel6 2 24 3 8 3" xfId="41426"/>
    <cellStyle name="Table  - Opmaakprofiel6 2 24 3 8 4" xfId="36844"/>
    <cellStyle name="Table  - Opmaakprofiel6 2 24 3 8 5" xfId="52295"/>
    <cellStyle name="Table  - Opmaakprofiel6 2 24 3 9" xfId="17103"/>
    <cellStyle name="Table  - Opmaakprofiel6 2 24 4" xfId="929"/>
    <cellStyle name="Table  - Opmaakprofiel6 2 24 4 2" xfId="1818"/>
    <cellStyle name="Table  - Opmaakprofiel6 2 24 4 2 2" xfId="10938"/>
    <cellStyle name="Table  - Opmaakprofiel6 2 24 4 2 2 2" xfId="23236"/>
    <cellStyle name="Table  - Opmaakprofiel6 2 24 4 2 2 3" xfId="35288"/>
    <cellStyle name="Table  - Opmaakprofiel6 2 24 4 2 2 4" xfId="42066"/>
    <cellStyle name="Table  - Opmaakprofiel6 2 24 4 2 2 5" xfId="55903"/>
    <cellStyle name="Table  - Opmaakprofiel6 2 24 4 2 3" xfId="17111"/>
    <cellStyle name="Table  - Opmaakprofiel6 2 24 4 2 4" xfId="29163"/>
    <cellStyle name="Table  - Opmaakprofiel6 2 24 4 2 5" xfId="44611"/>
    <cellStyle name="Table  - Opmaakprofiel6 2 24 4 2 6" xfId="50113"/>
    <cellStyle name="Table  - Opmaakprofiel6 2 24 4 3" xfId="2940"/>
    <cellStyle name="Table  - Opmaakprofiel6 2 24 4 3 2" xfId="10939"/>
    <cellStyle name="Table  - Opmaakprofiel6 2 24 4 3 2 2" xfId="23237"/>
    <cellStyle name="Table  - Opmaakprofiel6 2 24 4 3 2 3" xfId="35289"/>
    <cellStyle name="Table  - Opmaakprofiel6 2 24 4 3 2 4" xfId="34703"/>
    <cellStyle name="Table  - Opmaakprofiel6 2 24 4 3 2 5" xfId="55904"/>
    <cellStyle name="Table  - Opmaakprofiel6 2 24 4 3 3" xfId="17112"/>
    <cellStyle name="Table  - Opmaakprofiel6 2 24 4 3 4" xfId="29164"/>
    <cellStyle name="Table  - Opmaakprofiel6 2 24 4 3 5" xfId="38460"/>
    <cellStyle name="Table  - Opmaakprofiel6 2 24 4 3 6" xfId="50114"/>
    <cellStyle name="Table  - Opmaakprofiel6 2 24 4 4" xfId="3788"/>
    <cellStyle name="Table  - Opmaakprofiel6 2 24 4 4 2" xfId="10940"/>
    <cellStyle name="Table  - Opmaakprofiel6 2 24 4 4 2 2" xfId="23238"/>
    <cellStyle name="Table  - Opmaakprofiel6 2 24 4 4 2 3" xfId="35290"/>
    <cellStyle name="Table  - Opmaakprofiel6 2 24 4 4 2 4" xfId="42065"/>
    <cellStyle name="Table  - Opmaakprofiel6 2 24 4 4 2 5" xfId="55905"/>
    <cellStyle name="Table  - Opmaakprofiel6 2 24 4 4 3" xfId="17113"/>
    <cellStyle name="Table  - Opmaakprofiel6 2 24 4 4 4" xfId="29165"/>
    <cellStyle name="Table  - Opmaakprofiel6 2 24 4 4 5" xfId="44610"/>
    <cellStyle name="Table  - Opmaakprofiel6 2 24 4 4 6" xfId="50115"/>
    <cellStyle name="Table  - Opmaakprofiel6 2 24 4 5" xfId="6063"/>
    <cellStyle name="Table  - Opmaakprofiel6 2 24 4 5 2" xfId="10941"/>
    <cellStyle name="Table  - Opmaakprofiel6 2 24 4 5 2 2" xfId="23239"/>
    <cellStyle name="Table  - Opmaakprofiel6 2 24 4 5 2 3" xfId="35291"/>
    <cellStyle name="Table  - Opmaakprofiel6 2 24 4 5 2 4" xfId="30312"/>
    <cellStyle name="Table  - Opmaakprofiel6 2 24 4 5 2 5" xfId="55906"/>
    <cellStyle name="Table  - Opmaakprofiel6 2 24 4 5 3" xfId="17114"/>
    <cellStyle name="Table  - Opmaakprofiel6 2 24 4 5 4" xfId="29166"/>
    <cellStyle name="Table  - Opmaakprofiel6 2 24 4 5 5" xfId="38459"/>
    <cellStyle name="Table  - Opmaakprofiel6 2 24 4 5 6" xfId="50116"/>
    <cellStyle name="Table  - Opmaakprofiel6 2 24 4 6" xfId="6064"/>
    <cellStyle name="Table  - Opmaakprofiel6 2 24 4 6 2" xfId="10942"/>
    <cellStyle name="Table  - Opmaakprofiel6 2 24 4 6 2 2" xfId="23240"/>
    <cellStyle name="Table  - Opmaakprofiel6 2 24 4 6 2 3" xfId="35292"/>
    <cellStyle name="Table  - Opmaakprofiel6 2 24 4 6 2 4" xfId="34483"/>
    <cellStyle name="Table  - Opmaakprofiel6 2 24 4 6 2 5" xfId="55907"/>
    <cellStyle name="Table  - Opmaakprofiel6 2 24 4 6 3" xfId="17115"/>
    <cellStyle name="Table  - Opmaakprofiel6 2 24 4 6 4" xfId="29167"/>
    <cellStyle name="Table  - Opmaakprofiel6 2 24 4 6 5" xfId="38458"/>
    <cellStyle name="Table  - Opmaakprofiel6 2 24 4 6 6" xfId="50117"/>
    <cellStyle name="Table  - Opmaakprofiel6 2 24 4 7" xfId="6065"/>
    <cellStyle name="Table  - Opmaakprofiel6 2 24 4 7 2" xfId="17116"/>
    <cellStyle name="Table  - Opmaakprofiel6 2 24 4 7 3" xfId="29168"/>
    <cellStyle name="Table  - Opmaakprofiel6 2 24 4 7 4" xfId="38457"/>
    <cellStyle name="Table  - Opmaakprofiel6 2 24 4 7 5" xfId="50118"/>
    <cellStyle name="Table  - Opmaakprofiel6 2 24 4 8" xfId="7359"/>
    <cellStyle name="Table  - Opmaakprofiel6 2 24 4 8 2" xfId="19657"/>
    <cellStyle name="Table  - Opmaakprofiel6 2 24 4 8 3" xfId="41460"/>
    <cellStyle name="Table  - Opmaakprofiel6 2 24 4 8 4" xfId="19275"/>
    <cellStyle name="Table  - Opmaakprofiel6 2 24 4 8 5" xfId="52329"/>
    <cellStyle name="Table  - Opmaakprofiel6 2 24 4 9" xfId="17110"/>
    <cellStyle name="Table  - Opmaakprofiel6 2 24 5" xfId="1156"/>
    <cellStyle name="Table  - Opmaakprofiel6 2 24 5 2" xfId="2319"/>
    <cellStyle name="Table  - Opmaakprofiel6 2 24 5 2 2" xfId="10943"/>
    <cellStyle name="Table  - Opmaakprofiel6 2 24 5 2 2 2" xfId="23241"/>
    <cellStyle name="Table  - Opmaakprofiel6 2 24 5 2 2 3" xfId="35293"/>
    <cellStyle name="Table  - Opmaakprofiel6 2 24 5 2 2 4" xfId="30316"/>
    <cellStyle name="Table  - Opmaakprofiel6 2 24 5 2 2 5" xfId="55908"/>
    <cellStyle name="Table  - Opmaakprofiel6 2 24 5 2 3" xfId="17118"/>
    <cellStyle name="Table  - Opmaakprofiel6 2 24 5 2 4" xfId="29170"/>
    <cellStyle name="Table  - Opmaakprofiel6 2 24 5 2 5" xfId="38456"/>
    <cellStyle name="Table  - Opmaakprofiel6 2 24 5 2 6" xfId="50119"/>
    <cellStyle name="Table  - Opmaakprofiel6 2 24 5 3" xfId="3167"/>
    <cellStyle name="Table  - Opmaakprofiel6 2 24 5 3 2" xfId="10944"/>
    <cellStyle name="Table  - Opmaakprofiel6 2 24 5 3 2 2" xfId="23242"/>
    <cellStyle name="Table  - Opmaakprofiel6 2 24 5 3 2 3" xfId="35294"/>
    <cellStyle name="Table  - Opmaakprofiel6 2 24 5 3 2 4" xfId="42064"/>
    <cellStyle name="Table  - Opmaakprofiel6 2 24 5 3 2 5" xfId="55909"/>
    <cellStyle name="Table  - Opmaakprofiel6 2 24 5 3 3" xfId="17119"/>
    <cellStyle name="Table  - Opmaakprofiel6 2 24 5 3 4" xfId="29171"/>
    <cellStyle name="Table  - Opmaakprofiel6 2 24 5 3 5" xfId="44607"/>
    <cellStyle name="Table  - Opmaakprofiel6 2 24 5 3 6" xfId="50120"/>
    <cellStyle name="Table  - Opmaakprofiel6 2 24 5 4" xfId="3989"/>
    <cellStyle name="Table  - Opmaakprofiel6 2 24 5 4 2" xfId="10945"/>
    <cellStyle name="Table  - Opmaakprofiel6 2 24 5 4 2 2" xfId="23243"/>
    <cellStyle name="Table  - Opmaakprofiel6 2 24 5 4 2 3" xfId="35295"/>
    <cellStyle name="Table  - Opmaakprofiel6 2 24 5 4 2 4" xfId="31684"/>
    <cellStyle name="Table  - Opmaakprofiel6 2 24 5 4 2 5" xfId="55910"/>
    <cellStyle name="Table  - Opmaakprofiel6 2 24 5 4 3" xfId="17120"/>
    <cellStyle name="Table  - Opmaakprofiel6 2 24 5 4 4" xfId="29172"/>
    <cellStyle name="Table  - Opmaakprofiel6 2 24 5 4 5" xfId="38455"/>
    <cellStyle name="Table  - Opmaakprofiel6 2 24 5 4 6" xfId="50121"/>
    <cellStyle name="Table  - Opmaakprofiel6 2 24 5 5" xfId="6066"/>
    <cellStyle name="Table  - Opmaakprofiel6 2 24 5 5 2" xfId="10946"/>
    <cellStyle name="Table  - Opmaakprofiel6 2 24 5 5 2 2" xfId="23244"/>
    <cellStyle name="Table  - Opmaakprofiel6 2 24 5 5 2 3" xfId="35296"/>
    <cellStyle name="Table  - Opmaakprofiel6 2 24 5 5 2 4" xfId="42063"/>
    <cellStyle name="Table  - Opmaakprofiel6 2 24 5 5 2 5" xfId="55911"/>
    <cellStyle name="Table  - Opmaakprofiel6 2 24 5 5 3" xfId="17121"/>
    <cellStyle name="Table  - Opmaakprofiel6 2 24 5 5 4" xfId="29173"/>
    <cellStyle name="Table  - Opmaakprofiel6 2 24 5 5 5" xfId="44606"/>
    <cellStyle name="Table  - Opmaakprofiel6 2 24 5 5 6" xfId="50122"/>
    <cellStyle name="Table  - Opmaakprofiel6 2 24 5 6" xfId="6067"/>
    <cellStyle name="Table  - Opmaakprofiel6 2 24 5 6 2" xfId="10947"/>
    <cellStyle name="Table  - Opmaakprofiel6 2 24 5 6 2 2" xfId="23245"/>
    <cellStyle name="Table  - Opmaakprofiel6 2 24 5 6 2 3" xfId="35297"/>
    <cellStyle name="Table  - Opmaakprofiel6 2 24 5 6 2 4" xfId="30323"/>
    <cellStyle name="Table  - Opmaakprofiel6 2 24 5 6 2 5" xfId="55912"/>
    <cellStyle name="Table  - Opmaakprofiel6 2 24 5 6 3" xfId="17122"/>
    <cellStyle name="Table  - Opmaakprofiel6 2 24 5 6 4" xfId="29174"/>
    <cellStyle name="Table  - Opmaakprofiel6 2 24 5 6 5" xfId="38454"/>
    <cellStyle name="Table  - Opmaakprofiel6 2 24 5 6 6" xfId="50123"/>
    <cellStyle name="Table  - Opmaakprofiel6 2 24 5 7" xfId="6068"/>
    <cellStyle name="Table  - Opmaakprofiel6 2 24 5 7 2" xfId="17123"/>
    <cellStyle name="Table  - Opmaakprofiel6 2 24 5 7 3" xfId="29175"/>
    <cellStyle name="Table  - Opmaakprofiel6 2 24 5 7 4" xfId="44605"/>
    <cellStyle name="Table  - Opmaakprofiel6 2 24 5 7 5" xfId="50124"/>
    <cellStyle name="Table  - Opmaakprofiel6 2 24 5 8" xfId="7205"/>
    <cellStyle name="Table  - Opmaakprofiel6 2 24 5 8 2" xfId="19503"/>
    <cellStyle name="Table  - Opmaakprofiel6 2 24 5 8 3" xfId="41306"/>
    <cellStyle name="Table  - Opmaakprofiel6 2 24 5 8 4" xfId="36914"/>
    <cellStyle name="Table  - Opmaakprofiel6 2 24 5 8 5" xfId="52175"/>
    <cellStyle name="Table  - Opmaakprofiel6 2 24 5 9" xfId="17117"/>
    <cellStyle name="Table  - Opmaakprofiel6 2 24 6" xfId="1135"/>
    <cellStyle name="Table  - Opmaakprofiel6 2 24 6 2" xfId="1538"/>
    <cellStyle name="Table  - Opmaakprofiel6 2 24 6 2 2" xfId="10948"/>
    <cellStyle name="Table  - Opmaakprofiel6 2 24 6 2 2 2" xfId="23246"/>
    <cellStyle name="Table  - Opmaakprofiel6 2 24 6 2 2 3" xfId="35298"/>
    <cellStyle name="Table  - Opmaakprofiel6 2 24 6 2 2 4" xfId="42062"/>
    <cellStyle name="Table  - Opmaakprofiel6 2 24 6 2 2 5" xfId="55913"/>
    <cellStyle name="Table  - Opmaakprofiel6 2 24 6 2 3" xfId="17125"/>
    <cellStyle name="Table  - Opmaakprofiel6 2 24 6 2 4" xfId="29177"/>
    <cellStyle name="Table  - Opmaakprofiel6 2 24 6 2 5" xfId="44604"/>
    <cellStyle name="Table  - Opmaakprofiel6 2 24 6 2 6" xfId="50125"/>
    <cellStyle name="Table  - Opmaakprofiel6 2 24 6 3" xfId="3146"/>
    <cellStyle name="Table  - Opmaakprofiel6 2 24 6 3 2" xfId="10949"/>
    <cellStyle name="Table  - Opmaakprofiel6 2 24 6 3 2 2" xfId="23247"/>
    <cellStyle name="Table  - Opmaakprofiel6 2 24 6 3 2 3" xfId="35299"/>
    <cellStyle name="Table  - Opmaakprofiel6 2 24 6 3 2 4" xfId="34306"/>
    <cellStyle name="Table  - Opmaakprofiel6 2 24 6 3 2 5" xfId="55914"/>
    <cellStyle name="Table  - Opmaakprofiel6 2 24 6 3 3" xfId="17126"/>
    <cellStyle name="Table  - Opmaakprofiel6 2 24 6 3 4" xfId="29178"/>
    <cellStyle name="Table  - Opmaakprofiel6 2 24 6 3 5" xfId="38452"/>
    <cellStyle name="Table  - Opmaakprofiel6 2 24 6 3 6" xfId="50126"/>
    <cellStyle name="Table  - Opmaakprofiel6 2 24 6 4" xfId="3974"/>
    <cellStyle name="Table  - Opmaakprofiel6 2 24 6 4 2" xfId="10950"/>
    <cellStyle name="Table  - Opmaakprofiel6 2 24 6 4 2 2" xfId="23248"/>
    <cellStyle name="Table  - Opmaakprofiel6 2 24 6 4 2 3" xfId="35300"/>
    <cellStyle name="Table  - Opmaakprofiel6 2 24 6 4 2 4" xfId="42061"/>
    <cellStyle name="Table  - Opmaakprofiel6 2 24 6 4 2 5" xfId="55915"/>
    <cellStyle name="Table  - Opmaakprofiel6 2 24 6 4 3" xfId="17127"/>
    <cellStyle name="Table  - Opmaakprofiel6 2 24 6 4 4" xfId="29179"/>
    <cellStyle name="Table  - Opmaakprofiel6 2 24 6 4 5" xfId="38451"/>
    <cellStyle name="Table  - Opmaakprofiel6 2 24 6 4 6" xfId="50127"/>
    <cellStyle name="Table  - Opmaakprofiel6 2 24 6 5" xfId="6069"/>
    <cellStyle name="Table  - Opmaakprofiel6 2 24 6 5 2" xfId="10951"/>
    <cellStyle name="Table  - Opmaakprofiel6 2 24 6 5 2 2" xfId="23249"/>
    <cellStyle name="Table  - Opmaakprofiel6 2 24 6 5 2 3" xfId="35301"/>
    <cellStyle name="Table  - Opmaakprofiel6 2 24 6 5 2 4" xfId="30330"/>
    <cellStyle name="Table  - Opmaakprofiel6 2 24 6 5 2 5" xfId="55916"/>
    <cellStyle name="Table  - Opmaakprofiel6 2 24 6 5 3" xfId="17128"/>
    <cellStyle name="Table  - Opmaakprofiel6 2 24 6 5 4" xfId="29180"/>
    <cellStyle name="Table  - Opmaakprofiel6 2 24 6 5 5" xfId="38450"/>
    <cellStyle name="Table  - Opmaakprofiel6 2 24 6 5 6" xfId="50128"/>
    <cellStyle name="Table  - Opmaakprofiel6 2 24 6 6" xfId="6070"/>
    <cellStyle name="Table  - Opmaakprofiel6 2 24 6 6 2" xfId="10952"/>
    <cellStyle name="Table  - Opmaakprofiel6 2 24 6 6 2 2" xfId="23250"/>
    <cellStyle name="Table  - Opmaakprofiel6 2 24 6 6 2 3" xfId="35302"/>
    <cellStyle name="Table  - Opmaakprofiel6 2 24 6 6 2 4" xfId="42060"/>
    <cellStyle name="Table  - Opmaakprofiel6 2 24 6 6 2 5" xfId="55917"/>
    <cellStyle name="Table  - Opmaakprofiel6 2 24 6 6 3" xfId="17129"/>
    <cellStyle name="Table  - Opmaakprofiel6 2 24 6 6 4" xfId="29181"/>
    <cellStyle name="Table  - Opmaakprofiel6 2 24 6 6 5" xfId="44602"/>
    <cellStyle name="Table  - Opmaakprofiel6 2 24 6 6 6" xfId="50129"/>
    <cellStyle name="Table  - Opmaakprofiel6 2 24 6 7" xfId="6071"/>
    <cellStyle name="Table  - Opmaakprofiel6 2 24 6 7 2" xfId="17130"/>
    <cellStyle name="Table  - Opmaakprofiel6 2 24 6 7 3" xfId="29182"/>
    <cellStyle name="Table  - Opmaakprofiel6 2 24 6 7 4" xfId="38449"/>
    <cellStyle name="Table  - Opmaakprofiel6 2 24 6 7 5" xfId="50130"/>
    <cellStyle name="Table  - Opmaakprofiel6 2 24 6 8" xfId="7219"/>
    <cellStyle name="Table  - Opmaakprofiel6 2 24 6 8 2" xfId="19517"/>
    <cellStyle name="Table  - Opmaakprofiel6 2 24 6 8 3" xfId="41320"/>
    <cellStyle name="Table  - Opmaakprofiel6 2 24 6 8 4" xfId="36906"/>
    <cellStyle name="Table  - Opmaakprofiel6 2 24 6 8 5" xfId="52189"/>
    <cellStyle name="Table  - Opmaakprofiel6 2 24 6 9" xfId="17124"/>
    <cellStyle name="Table  - Opmaakprofiel6 2 24 7" xfId="1492"/>
    <cellStyle name="Table  - Opmaakprofiel6 2 24 7 2" xfId="10953"/>
    <cellStyle name="Table  - Opmaakprofiel6 2 24 7 2 2" xfId="23251"/>
    <cellStyle name="Table  - Opmaakprofiel6 2 24 7 2 3" xfId="35303"/>
    <cellStyle name="Table  - Opmaakprofiel6 2 24 7 2 4" xfId="34455"/>
    <cellStyle name="Table  - Opmaakprofiel6 2 24 7 2 5" xfId="55918"/>
    <cellStyle name="Table  - Opmaakprofiel6 2 24 7 3" xfId="17131"/>
    <cellStyle name="Table  - Opmaakprofiel6 2 24 7 4" xfId="29183"/>
    <cellStyle name="Table  - Opmaakprofiel6 2 24 7 5" xfId="44601"/>
    <cellStyle name="Table  - Opmaakprofiel6 2 24 7 6" xfId="50131"/>
    <cellStyle name="Table  - Opmaakprofiel6 2 24 8" xfId="2768"/>
    <cellStyle name="Table  - Opmaakprofiel6 2 24 8 2" xfId="10954"/>
    <cellStyle name="Table  - Opmaakprofiel6 2 24 8 2 2" xfId="23252"/>
    <cellStyle name="Table  - Opmaakprofiel6 2 24 8 2 3" xfId="35304"/>
    <cellStyle name="Table  - Opmaakprofiel6 2 24 8 2 4" xfId="30337"/>
    <cellStyle name="Table  - Opmaakprofiel6 2 24 8 2 5" xfId="55919"/>
    <cellStyle name="Table  - Opmaakprofiel6 2 24 8 3" xfId="17132"/>
    <cellStyle name="Table  - Opmaakprofiel6 2 24 8 4" xfId="29184"/>
    <cellStyle name="Table  - Opmaakprofiel6 2 24 8 5" xfId="38448"/>
    <cellStyle name="Table  - Opmaakprofiel6 2 24 8 6" xfId="50132"/>
    <cellStyle name="Table  - Opmaakprofiel6 2 24 9" xfId="3630"/>
    <cellStyle name="Table  - Opmaakprofiel6 2 24 9 2" xfId="10955"/>
    <cellStyle name="Table  - Opmaakprofiel6 2 24 9 2 2" xfId="23253"/>
    <cellStyle name="Table  - Opmaakprofiel6 2 24 9 2 3" xfId="35305"/>
    <cellStyle name="Table  - Opmaakprofiel6 2 24 9 2 4" xfId="31492"/>
    <cellStyle name="Table  - Opmaakprofiel6 2 24 9 2 5" xfId="55920"/>
    <cellStyle name="Table  - Opmaakprofiel6 2 24 9 3" xfId="17133"/>
    <cellStyle name="Table  - Opmaakprofiel6 2 24 9 4" xfId="29185"/>
    <cellStyle name="Table  - Opmaakprofiel6 2 24 9 5" xfId="44600"/>
    <cellStyle name="Table  - Opmaakprofiel6 2 24 9 6" xfId="50133"/>
    <cellStyle name="Table  - Opmaakprofiel6 2 25" xfId="517"/>
    <cellStyle name="Table  - Opmaakprofiel6 2 25 2" xfId="1765"/>
    <cellStyle name="Table  - Opmaakprofiel6 2 25 2 2" xfId="10956"/>
    <cellStyle name="Table  - Opmaakprofiel6 2 25 2 2 2" xfId="23254"/>
    <cellStyle name="Table  - Opmaakprofiel6 2 25 2 2 3" xfId="35306"/>
    <cellStyle name="Table  - Opmaakprofiel6 2 25 2 2 4" xfId="42059"/>
    <cellStyle name="Table  - Opmaakprofiel6 2 25 2 2 5" xfId="55921"/>
    <cellStyle name="Table  - Opmaakprofiel6 2 25 2 3" xfId="17135"/>
    <cellStyle name="Table  - Opmaakprofiel6 2 25 2 4" xfId="29187"/>
    <cellStyle name="Table  - Opmaakprofiel6 2 25 2 5" xfId="44599"/>
    <cellStyle name="Table  - Opmaakprofiel6 2 25 2 6" xfId="50134"/>
    <cellStyle name="Table  - Opmaakprofiel6 2 25 3" xfId="2588"/>
    <cellStyle name="Table  - Opmaakprofiel6 2 25 3 2" xfId="10957"/>
    <cellStyle name="Table  - Opmaakprofiel6 2 25 3 2 2" xfId="23255"/>
    <cellStyle name="Table  - Opmaakprofiel6 2 25 3 2 3" xfId="35307"/>
    <cellStyle name="Table  - Opmaakprofiel6 2 25 3 2 4" xfId="30344"/>
    <cellStyle name="Table  - Opmaakprofiel6 2 25 3 2 5" xfId="55922"/>
    <cellStyle name="Table  - Opmaakprofiel6 2 25 3 3" xfId="17136"/>
    <cellStyle name="Table  - Opmaakprofiel6 2 25 3 4" xfId="29188"/>
    <cellStyle name="Table  - Opmaakprofiel6 2 25 3 5" xfId="38446"/>
    <cellStyle name="Table  - Opmaakprofiel6 2 25 3 6" xfId="50135"/>
    <cellStyle name="Table  - Opmaakprofiel6 2 25 4" xfId="3469"/>
    <cellStyle name="Table  - Opmaakprofiel6 2 25 4 2" xfId="10958"/>
    <cellStyle name="Table  - Opmaakprofiel6 2 25 4 2 2" xfId="23256"/>
    <cellStyle name="Table  - Opmaakprofiel6 2 25 4 2 3" xfId="35308"/>
    <cellStyle name="Table  - Opmaakprofiel6 2 25 4 2 4" xfId="42058"/>
    <cellStyle name="Table  - Opmaakprofiel6 2 25 4 2 5" xfId="55923"/>
    <cellStyle name="Table  - Opmaakprofiel6 2 25 4 3" xfId="17137"/>
    <cellStyle name="Table  - Opmaakprofiel6 2 25 4 4" xfId="29189"/>
    <cellStyle name="Table  - Opmaakprofiel6 2 25 4 5" xfId="44598"/>
    <cellStyle name="Table  - Opmaakprofiel6 2 25 4 6" xfId="50136"/>
    <cellStyle name="Table  - Opmaakprofiel6 2 25 5" xfId="6072"/>
    <cellStyle name="Table  - Opmaakprofiel6 2 25 5 2" xfId="10959"/>
    <cellStyle name="Table  - Opmaakprofiel6 2 25 5 2 2" xfId="23257"/>
    <cellStyle name="Table  - Opmaakprofiel6 2 25 5 2 3" xfId="35309"/>
    <cellStyle name="Table  - Opmaakprofiel6 2 25 5 2 4" xfId="31746"/>
    <cellStyle name="Table  - Opmaakprofiel6 2 25 5 2 5" xfId="55924"/>
    <cellStyle name="Table  - Opmaakprofiel6 2 25 5 3" xfId="17138"/>
    <cellStyle name="Table  - Opmaakprofiel6 2 25 5 4" xfId="29190"/>
    <cellStyle name="Table  - Opmaakprofiel6 2 25 5 5" xfId="38445"/>
    <cellStyle name="Table  - Opmaakprofiel6 2 25 5 6" xfId="50137"/>
    <cellStyle name="Table  - Opmaakprofiel6 2 25 6" xfId="6073"/>
    <cellStyle name="Table  - Opmaakprofiel6 2 25 6 2" xfId="10960"/>
    <cellStyle name="Table  - Opmaakprofiel6 2 25 6 2 2" xfId="23258"/>
    <cellStyle name="Table  - Opmaakprofiel6 2 25 6 2 3" xfId="35310"/>
    <cellStyle name="Table  - Opmaakprofiel6 2 25 6 2 4" xfId="42057"/>
    <cellStyle name="Table  - Opmaakprofiel6 2 25 6 2 5" xfId="55925"/>
    <cellStyle name="Table  - Opmaakprofiel6 2 25 6 3" xfId="17139"/>
    <cellStyle name="Table  - Opmaakprofiel6 2 25 6 4" xfId="29191"/>
    <cellStyle name="Table  - Opmaakprofiel6 2 25 6 5" xfId="38444"/>
    <cellStyle name="Table  - Opmaakprofiel6 2 25 6 6" xfId="50138"/>
    <cellStyle name="Table  - Opmaakprofiel6 2 25 7" xfId="6074"/>
    <cellStyle name="Table  - Opmaakprofiel6 2 25 7 2" xfId="17140"/>
    <cellStyle name="Table  - Opmaakprofiel6 2 25 7 3" xfId="29192"/>
    <cellStyle name="Table  - Opmaakprofiel6 2 25 7 4" xfId="38443"/>
    <cellStyle name="Table  - Opmaakprofiel6 2 25 7 5" xfId="50139"/>
    <cellStyle name="Table  - Opmaakprofiel6 2 25 8" xfId="7638"/>
    <cellStyle name="Table  - Opmaakprofiel6 2 25 8 2" xfId="19936"/>
    <cellStyle name="Table  - Opmaakprofiel6 2 25 8 3" xfId="41739"/>
    <cellStyle name="Table  - Opmaakprofiel6 2 25 8 4" xfId="43425"/>
    <cellStyle name="Table  - Opmaakprofiel6 2 25 8 5" xfId="52608"/>
    <cellStyle name="Table  - Opmaakprofiel6 2 25 9" xfId="17134"/>
    <cellStyle name="Table  - Opmaakprofiel6 2 26" xfId="590"/>
    <cellStyle name="Table  - Opmaakprofiel6 2 26 2" xfId="1957"/>
    <cellStyle name="Table  - Opmaakprofiel6 2 26 2 2" xfId="10961"/>
    <cellStyle name="Table  - Opmaakprofiel6 2 26 2 2 2" xfId="23259"/>
    <cellStyle name="Table  - Opmaakprofiel6 2 26 2 2 3" xfId="35311"/>
    <cellStyle name="Table  - Opmaakprofiel6 2 26 2 2 4" xfId="30354"/>
    <cellStyle name="Table  - Opmaakprofiel6 2 26 2 2 5" xfId="55926"/>
    <cellStyle name="Table  - Opmaakprofiel6 2 26 2 3" xfId="17142"/>
    <cellStyle name="Table  - Opmaakprofiel6 2 26 2 4" xfId="29194"/>
    <cellStyle name="Table  - Opmaakprofiel6 2 26 2 5" xfId="38442"/>
    <cellStyle name="Table  - Opmaakprofiel6 2 26 2 6" xfId="50140"/>
    <cellStyle name="Table  - Opmaakprofiel6 2 26 3" xfId="2661"/>
    <cellStyle name="Table  - Opmaakprofiel6 2 26 3 2" xfId="10962"/>
    <cellStyle name="Table  - Opmaakprofiel6 2 26 3 2 2" xfId="23260"/>
    <cellStyle name="Table  - Opmaakprofiel6 2 26 3 2 3" xfId="35312"/>
    <cellStyle name="Table  - Opmaakprofiel6 2 26 3 2 4" xfId="42056"/>
    <cellStyle name="Table  - Opmaakprofiel6 2 26 3 2 5" xfId="55927"/>
    <cellStyle name="Table  - Opmaakprofiel6 2 26 3 3" xfId="17143"/>
    <cellStyle name="Table  - Opmaakprofiel6 2 26 3 4" xfId="29195"/>
    <cellStyle name="Table  - Opmaakprofiel6 2 26 3 5" xfId="44596"/>
    <cellStyle name="Table  - Opmaakprofiel6 2 26 3 6" xfId="50141"/>
    <cellStyle name="Table  - Opmaakprofiel6 2 26 4" xfId="3536"/>
    <cellStyle name="Table  - Opmaakprofiel6 2 26 4 2" xfId="10963"/>
    <cellStyle name="Table  - Opmaakprofiel6 2 26 4 2 2" xfId="23261"/>
    <cellStyle name="Table  - Opmaakprofiel6 2 26 4 2 3" xfId="35313"/>
    <cellStyle name="Table  - Opmaakprofiel6 2 26 4 2 4" xfId="34478"/>
    <cellStyle name="Table  - Opmaakprofiel6 2 26 4 2 5" xfId="55928"/>
    <cellStyle name="Table  - Opmaakprofiel6 2 26 4 3" xfId="17144"/>
    <cellStyle name="Table  - Opmaakprofiel6 2 26 4 4" xfId="29196"/>
    <cellStyle name="Table  - Opmaakprofiel6 2 26 4 5" xfId="38441"/>
    <cellStyle name="Table  - Opmaakprofiel6 2 26 4 6" xfId="50142"/>
    <cellStyle name="Table  - Opmaakprofiel6 2 26 5" xfId="6075"/>
    <cellStyle name="Table  - Opmaakprofiel6 2 26 5 2" xfId="10964"/>
    <cellStyle name="Table  - Opmaakprofiel6 2 26 5 2 2" xfId="23262"/>
    <cellStyle name="Table  - Opmaakprofiel6 2 26 5 2 3" xfId="35314"/>
    <cellStyle name="Table  - Opmaakprofiel6 2 26 5 2 4" xfId="42055"/>
    <cellStyle name="Table  - Opmaakprofiel6 2 26 5 2 5" xfId="55929"/>
    <cellStyle name="Table  - Opmaakprofiel6 2 26 5 3" xfId="17145"/>
    <cellStyle name="Table  - Opmaakprofiel6 2 26 5 4" xfId="29197"/>
    <cellStyle name="Table  - Opmaakprofiel6 2 26 5 5" xfId="44595"/>
    <cellStyle name="Table  - Opmaakprofiel6 2 26 5 6" xfId="50143"/>
    <cellStyle name="Table  - Opmaakprofiel6 2 26 6" xfId="6076"/>
    <cellStyle name="Table  - Opmaakprofiel6 2 26 6 2" xfId="10965"/>
    <cellStyle name="Table  - Opmaakprofiel6 2 26 6 2 2" xfId="23263"/>
    <cellStyle name="Table  - Opmaakprofiel6 2 26 6 2 3" xfId="35315"/>
    <cellStyle name="Table  - Opmaakprofiel6 2 26 6 2 4" xfId="30358"/>
    <cellStyle name="Table  - Opmaakprofiel6 2 26 6 2 5" xfId="55930"/>
    <cellStyle name="Table  - Opmaakprofiel6 2 26 6 3" xfId="17146"/>
    <cellStyle name="Table  - Opmaakprofiel6 2 26 6 4" xfId="29198"/>
    <cellStyle name="Table  - Opmaakprofiel6 2 26 6 5" xfId="38440"/>
    <cellStyle name="Table  - Opmaakprofiel6 2 26 6 6" xfId="50144"/>
    <cellStyle name="Table  - Opmaakprofiel6 2 26 7" xfId="6077"/>
    <cellStyle name="Table  - Opmaakprofiel6 2 26 7 2" xfId="17147"/>
    <cellStyle name="Table  - Opmaakprofiel6 2 26 7 3" xfId="29199"/>
    <cellStyle name="Table  - Opmaakprofiel6 2 26 7 4" xfId="44594"/>
    <cellStyle name="Table  - Opmaakprofiel6 2 26 7 5" xfId="50145"/>
    <cellStyle name="Table  - Opmaakprofiel6 2 26 8" xfId="7589"/>
    <cellStyle name="Table  - Opmaakprofiel6 2 26 8 2" xfId="19887"/>
    <cellStyle name="Table  - Opmaakprofiel6 2 26 8 3" xfId="41690"/>
    <cellStyle name="Table  - Opmaakprofiel6 2 26 8 4" xfId="43446"/>
    <cellStyle name="Table  - Opmaakprofiel6 2 26 8 5" xfId="52559"/>
    <cellStyle name="Table  - Opmaakprofiel6 2 26 9" xfId="17141"/>
    <cellStyle name="Table  - Opmaakprofiel6 2 27" xfId="872"/>
    <cellStyle name="Table  - Opmaakprofiel6 2 27 2" xfId="1513"/>
    <cellStyle name="Table  - Opmaakprofiel6 2 27 2 2" xfId="10966"/>
    <cellStyle name="Table  - Opmaakprofiel6 2 27 2 2 2" xfId="23264"/>
    <cellStyle name="Table  - Opmaakprofiel6 2 27 2 2 3" xfId="35316"/>
    <cellStyle name="Table  - Opmaakprofiel6 2 27 2 2 4" xfId="31680"/>
    <cellStyle name="Table  - Opmaakprofiel6 2 27 2 2 5" xfId="55931"/>
    <cellStyle name="Table  - Opmaakprofiel6 2 27 2 3" xfId="17149"/>
    <cellStyle name="Table  - Opmaakprofiel6 2 27 2 4" xfId="29201"/>
    <cellStyle name="Table  - Opmaakprofiel6 2 27 2 5" xfId="44593"/>
    <cellStyle name="Table  - Opmaakprofiel6 2 27 2 6" xfId="50146"/>
    <cellStyle name="Table  - Opmaakprofiel6 2 27 3" xfId="2883"/>
    <cellStyle name="Table  - Opmaakprofiel6 2 27 3 2" xfId="10967"/>
    <cellStyle name="Table  - Opmaakprofiel6 2 27 3 2 2" xfId="23265"/>
    <cellStyle name="Table  - Opmaakprofiel6 2 27 3 2 3" xfId="35317"/>
    <cellStyle name="Table  - Opmaakprofiel6 2 27 3 2 4" xfId="30365"/>
    <cellStyle name="Table  - Opmaakprofiel6 2 27 3 2 5" xfId="55932"/>
    <cellStyle name="Table  - Opmaakprofiel6 2 27 3 3" xfId="17150"/>
    <cellStyle name="Table  - Opmaakprofiel6 2 27 3 4" xfId="29202"/>
    <cellStyle name="Table  - Opmaakprofiel6 2 27 3 5" xfId="38439"/>
    <cellStyle name="Table  - Opmaakprofiel6 2 27 3 6" xfId="50147"/>
    <cellStyle name="Table  - Opmaakprofiel6 2 27 4" xfId="3736"/>
    <cellStyle name="Table  - Opmaakprofiel6 2 27 4 2" xfId="10968"/>
    <cellStyle name="Table  - Opmaakprofiel6 2 27 4 2 2" xfId="23266"/>
    <cellStyle name="Table  - Opmaakprofiel6 2 27 4 2 3" xfId="35318"/>
    <cellStyle name="Table  - Opmaakprofiel6 2 27 4 2 4" xfId="42054"/>
    <cellStyle name="Table  - Opmaakprofiel6 2 27 4 2 5" xfId="55933"/>
    <cellStyle name="Table  - Opmaakprofiel6 2 27 4 3" xfId="17151"/>
    <cellStyle name="Table  - Opmaakprofiel6 2 27 4 4" xfId="29203"/>
    <cellStyle name="Table  - Opmaakprofiel6 2 27 4 5" xfId="38438"/>
    <cellStyle name="Table  - Opmaakprofiel6 2 27 4 6" xfId="50148"/>
    <cellStyle name="Table  - Opmaakprofiel6 2 27 5" xfId="6078"/>
    <cellStyle name="Table  - Opmaakprofiel6 2 27 5 2" xfId="10969"/>
    <cellStyle name="Table  - Opmaakprofiel6 2 27 5 2 2" xfId="23267"/>
    <cellStyle name="Table  - Opmaakprofiel6 2 27 5 2 3" xfId="35319"/>
    <cellStyle name="Table  - Opmaakprofiel6 2 27 5 2 4" xfId="31613"/>
    <cellStyle name="Table  - Opmaakprofiel6 2 27 5 2 5" xfId="55934"/>
    <cellStyle name="Table  - Opmaakprofiel6 2 27 5 3" xfId="17152"/>
    <cellStyle name="Table  - Opmaakprofiel6 2 27 5 4" xfId="29204"/>
    <cellStyle name="Table  - Opmaakprofiel6 2 27 5 5" xfId="38437"/>
    <cellStyle name="Table  - Opmaakprofiel6 2 27 5 6" xfId="50149"/>
    <cellStyle name="Table  - Opmaakprofiel6 2 27 6" xfId="6079"/>
    <cellStyle name="Table  - Opmaakprofiel6 2 27 6 2" xfId="10970"/>
    <cellStyle name="Table  - Opmaakprofiel6 2 27 6 2 2" xfId="23268"/>
    <cellStyle name="Table  - Opmaakprofiel6 2 27 6 2 3" xfId="35320"/>
    <cellStyle name="Table  - Opmaakprofiel6 2 27 6 2 4" xfId="42053"/>
    <cellStyle name="Table  - Opmaakprofiel6 2 27 6 2 5" xfId="55935"/>
    <cellStyle name="Table  - Opmaakprofiel6 2 27 6 3" xfId="17153"/>
    <cellStyle name="Table  - Opmaakprofiel6 2 27 6 4" xfId="29205"/>
    <cellStyle name="Table  - Opmaakprofiel6 2 27 6 5" xfId="44592"/>
    <cellStyle name="Table  - Opmaakprofiel6 2 27 6 6" xfId="50150"/>
    <cellStyle name="Table  - Opmaakprofiel6 2 27 7" xfId="6080"/>
    <cellStyle name="Table  - Opmaakprofiel6 2 27 7 2" xfId="17154"/>
    <cellStyle name="Table  - Opmaakprofiel6 2 27 7 3" xfId="29206"/>
    <cellStyle name="Table  - Opmaakprofiel6 2 27 7 4" xfId="38436"/>
    <cellStyle name="Table  - Opmaakprofiel6 2 27 7 5" xfId="50151"/>
    <cellStyle name="Table  - Opmaakprofiel6 2 27 8" xfId="7397"/>
    <cellStyle name="Table  - Opmaakprofiel6 2 27 8 2" xfId="19695"/>
    <cellStyle name="Table  - Opmaakprofiel6 2 27 8 3" xfId="41498"/>
    <cellStyle name="Table  - Opmaakprofiel6 2 27 8 4" xfId="15579"/>
    <cellStyle name="Table  - Opmaakprofiel6 2 27 8 5" xfId="52367"/>
    <cellStyle name="Table  - Opmaakprofiel6 2 27 9" xfId="17148"/>
    <cellStyle name="Table  - Opmaakprofiel6 2 28" xfId="659"/>
    <cellStyle name="Table  - Opmaakprofiel6 2 28 2" xfId="2384"/>
    <cellStyle name="Table  - Opmaakprofiel6 2 28 2 2" xfId="10971"/>
    <cellStyle name="Table  - Opmaakprofiel6 2 28 2 2 2" xfId="23269"/>
    <cellStyle name="Table  - Opmaakprofiel6 2 28 2 2 3" xfId="35321"/>
    <cellStyle name="Table  - Opmaakprofiel6 2 28 2 2 4" xfId="30372"/>
    <cellStyle name="Table  - Opmaakprofiel6 2 28 2 2 5" xfId="55936"/>
    <cellStyle name="Table  - Opmaakprofiel6 2 28 2 3" xfId="17156"/>
    <cellStyle name="Table  - Opmaakprofiel6 2 28 2 4" xfId="29208"/>
    <cellStyle name="Table  - Opmaakprofiel6 2 28 2 5" xfId="38435"/>
    <cellStyle name="Table  - Opmaakprofiel6 2 28 2 6" xfId="50152"/>
    <cellStyle name="Table  - Opmaakprofiel6 2 28 3" xfId="2725"/>
    <cellStyle name="Table  - Opmaakprofiel6 2 28 3 2" xfId="10972"/>
    <cellStyle name="Table  - Opmaakprofiel6 2 28 3 2 2" xfId="23270"/>
    <cellStyle name="Table  - Opmaakprofiel6 2 28 3 2 3" xfId="35322"/>
    <cellStyle name="Table  - Opmaakprofiel6 2 28 3 2 4" xfId="42052"/>
    <cellStyle name="Table  - Opmaakprofiel6 2 28 3 2 5" xfId="55937"/>
    <cellStyle name="Table  - Opmaakprofiel6 2 28 3 3" xfId="17157"/>
    <cellStyle name="Table  - Opmaakprofiel6 2 28 3 4" xfId="29209"/>
    <cellStyle name="Table  - Opmaakprofiel6 2 28 3 5" xfId="38434"/>
    <cellStyle name="Table  - Opmaakprofiel6 2 28 3 6" xfId="50153"/>
    <cellStyle name="Table  - Opmaakprofiel6 2 28 4" xfId="3592"/>
    <cellStyle name="Table  - Opmaakprofiel6 2 28 4 2" xfId="10973"/>
    <cellStyle name="Table  - Opmaakprofiel6 2 28 4 2 2" xfId="23271"/>
    <cellStyle name="Table  - Opmaakprofiel6 2 28 4 2 3" xfId="35323"/>
    <cellStyle name="Table  - Opmaakprofiel6 2 28 4 2 4" xfId="31688"/>
    <cellStyle name="Table  - Opmaakprofiel6 2 28 4 2 5" xfId="55938"/>
    <cellStyle name="Table  - Opmaakprofiel6 2 28 4 3" xfId="17158"/>
    <cellStyle name="Table  - Opmaakprofiel6 2 28 4 4" xfId="29210"/>
    <cellStyle name="Table  - Opmaakprofiel6 2 28 4 5" xfId="44590"/>
    <cellStyle name="Table  - Opmaakprofiel6 2 28 4 6" xfId="50154"/>
    <cellStyle name="Table  - Opmaakprofiel6 2 28 5" xfId="6081"/>
    <cellStyle name="Table  - Opmaakprofiel6 2 28 5 2" xfId="10974"/>
    <cellStyle name="Table  - Opmaakprofiel6 2 28 5 2 2" xfId="23272"/>
    <cellStyle name="Table  - Opmaakprofiel6 2 28 5 2 3" xfId="35324"/>
    <cellStyle name="Table  - Opmaakprofiel6 2 28 5 2 4" xfId="42051"/>
    <cellStyle name="Table  - Opmaakprofiel6 2 28 5 2 5" xfId="55939"/>
    <cellStyle name="Table  - Opmaakprofiel6 2 28 5 3" xfId="17159"/>
    <cellStyle name="Table  - Opmaakprofiel6 2 28 5 4" xfId="29211"/>
    <cellStyle name="Table  - Opmaakprofiel6 2 28 5 5" xfId="38433"/>
    <cellStyle name="Table  - Opmaakprofiel6 2 28 5 6" xfId="50155"/>
    <cellStyle name="Table  - Opmaakprofiel6 2 28 6" xfId="6082"/>
    <cellStyle name="Table  - Opmaakprofiel6 2 28 6 2" xfId="10975"/>
    <cellStyle name="Table  - Opmaakprofiel6 2 28 6 2 2" xfId="23273"/>
    <cellStyle name="Table  - Opmaakprofiel6 2 28 6 2 3" xfId="35325"/>
    <cellStyle name="Table  - Opmaakprofiel6 2 28 6 2 4" xfId="30379"/>
    <cellStyle name="Table  - Opmaakprofiel6 2 28 6 2 5" xfId="55940"/>
    <cellStyle name="Table  - Opmaakprofiel6 2 28 6 3" xfId="17160"/>
    <cellStyle name="Table  - Opmaakprofiel6 2 28 6 4" xfId="29212"/>
    <cellStyle name="Table  - Opmaakprofiel6 2 28 6 5" xfId="44589"/>
    <cellStyle name="Table  - Opmaakprofiel6 2 28 6 6" xfId="50156"/>
    <cellStyle name="Table  - Opmaakprofiel6 2 28 7" xfId="6083"/>
    <cellStyle name="Table  - Opmaakprofiel6 2 28 7 2" xfId="17161"/>
    <cellStyle name="Table  - Opmaakprofiel6 2 28 7 3" xfId="29213"/>
    <cellStyle name="Table  - Opmaakprofiel6 2 28 7 4" xfId="38432"/>
    <cellStyle name="Table  - Opmaakprofiel6 2 28 7 5" xfId="50157"/>
    <cellStyle name="Table  - Opmaakprofiel6 2 28 8" xfId="10229"/>
    <cellStyle name="Table  - Opmaakprofiel6 2 28 8 2" xfId="22527"/>
    <cellStyle name="Table  - Opmaakprofiel6 2 28 8 3" xfId="44289"/>
    <cellStyle name="Table  - Opmaakprofiel6 2 28 8 4" xfId="31922"/>
    <cellStyle name="Table  - Opmaakprofiel6 2 28 8 5" xfId="55194"/>
    <cellStyle name="Table  - Opmaakprofiel6 2 28 9" xfId="17155"/>
    <cellStyle name="Table  - Opmaakprofiel6 2 29" xfId="537"/>
    <cellStyle name="Table  - Opmaakprofiel6 2 29 2" xfId="2367"/>
    <cellStyle name="Table  - Opmaakprofiel6 2 29 2 2" xfId="10976"/>
    <cellStyle name="Table  - Opmaakprofiel6 2 29 2 2 2" xfId="23274"/>
    <cellStyle name="Table  - Opmaakprofiel6 2 29 2 2 3" xfId="35326"/>
    <cellStyle name="Table  - Opmaakprofiel6 2 29 2 2 4" xfId="42050"/>
    <cellStyle name="Table  - Opmaakprofiel6 2 29 2 2 5" xfId="55941"/>
    <cellStyle name="Table  - Opmaakprofiel6 2 29 2 3" xfId="17163"/>
    <cellStyle name="Table  - Opmaakprofiel6 2 29 2 4" xfId="29215"/>
    <cellStyle name="Table  - Opmaakprofiel6 2 29 2 5" xfId="38431"/>
    <cellStyle name="Table  - Opmaakprofiel6 2 29 2 6" xfId="50158"/>
    <cellStyle name="Table  - Opmaakprofiel6 2 29 3" xfId="2608"/>
    <cellStyle name="Table  - Opmaakprofiel6 2 29 3 2" xfId="10977"/>
    <cellStyle name="Table  - Opmaakprofiel6 2 29 3 2 2" xfId="23275"/>
    <cellStyle name="Table  - Opmaakprofiel6 2 29 3 2 3" xfId="35327"/>
    <cellStyle name="Table  - Opmaakprofiel6 2 29 3 2 4" xfId="31486"/>
    <cellStyle name="Table  - Opmaakprofiel6 2 29 3 2 5" xfId="55942"/>
    <cellStyle name="Table  - Opmaakprofiel6 2 29 3 3" xfId="17164"/>
    <cellStyle name="Table  - Opmaakprofiel6 2 29 3 4" xfId="29216"/>
    <cellStyle name="Table  - Opmaakprofiel6 2 29 3 5" xfId="38430"/>
    <cellStyle name="Table  - Opmaakprofiel6 2 29 3 6" xfId="50159"/>
    <cellStyle name="Table  - Opmaakprofiel6 2 29 4" xfId="3487"/>
    <cellStyle name="Table  - Opmaakprofiel6 2 29 4 2" xfId="10978"/>
    <cellStyle name="Table  - Opmaakprofiel6 2 29 4 2 2" xfId="23276"/>
    <cellStyle name="Table  - Opmaakprofiel6 2 29 4 2 3" xfId="35328"/>
    <cellStyle name="Table  - Opmaakprofiel6 2 29 4 2 4" xfId="30386"/>
    <cellStyle name="Table  - Opmaakprofiel6 2 29 4 2 5" xfId="55943"/>
    <cellStyle name="Table  - Opmaakprofiel6 2 29 4 3" xfId="17165"/>
    <cellStyle name="Table  - Opmaakprofiel6 2 29 4 4" xfId="29217"/>
    <cellStyle name="Table  - Opmaakprofiel6 2 29 4 5" xfId="44587"/>
    <cellStyle name="Table  - Opmaakprofiel6 2 29 4 6" xfId="50160"/>
    <cellStyle name="Table  - Opmaakprofiel6 2 29 5" xfId="6084"/>
    <cellStyle name="Table  - Opmaakprofiel6 2 29 5 2" xfId="10979"/>
    <cellStyle name="Table  - Opmaakprofiel6 2 29 5 2 2" xfId="23277"/>
    <cellStyle name="Table  - Opmaakprofiel6 2 29 5 2 3" xfId="35329"/>
    <cellStyle name="Table  - Opmaakprofiel6 2 29 5 2 4" xfId="34303"/>
    <cellStyle name="Table  - Opmaakprofiel6 2 29 5 2 5" xfId="55944"/>
    <cellStyle name="Table  - Opmaakprofiel6 2 29 5 3" xfId="17166"/>
    <cellStyle name="Table  - Opmaakprofiel6 2 29 5 4" xfId="29218"/>
    <cellStyle name="Table  - Opmaakprofiel6 2 29 5 5" xfId="38429"/>
    <cellStyle name="Table  - Opmaakprofiel6 2 29 5 6" xfId="50161"/>
    <cellStyle name="Table  - Opmaakprofiel6 2 29 6" xfId="6085"/>
    <cellStyle name="Table  - Opmaakprofiel6 2 29 6 2" xfId="10980"/>
    <cellStyle name="Table  - Opmaakprofiel6 2 29 6 2 2" xfId="23278"/>
    <cellStyle name="Table  - Opmaakprofiel6 2 29 6 2 3" xfId="35330"/>
    <cellStyle name="Table  - Opmaakprofiel6 2 29 6 2 4" xfId="42049"/>
    <cellStyle name="Table  - Opmaakprofiel6 2 29 6 2 5" xfId="55945"/>
    <cellStyle name="Table  - Opmaakprofiel6 2 29 6 3" xfId="17167"/>
    <cellStyle name="Table  - Opmaakprofiel6 2 29 6 4" xfId="29219"/>
    <cellStyle name="Table  - Opmaakprofiel6 2 29 6 5" xfId="44586"/>
    <cellStyle name="Table  - Opmaakprofiel6 2 29 6 6" xfId="50162"/>
    <cellStyle name="Table  - Opmaakprofiel6 2 29 7" xfId="6086"/>
    <cellStyle name="Table  - Opmaakprofiel6 2 29 7 2" xfId="17168"/>
    <cellStyle name="Table  - Opmaakprofiel6 2 29 7 3" xfId="29220"/>
    <cellStyle name="Table  - Opmaakprofiel6 2 29 7 4" xfId="38428"/>
    <cellStyle name="Table  - Opmaakprofiel6 2 29 7 5" xfId="50163"/>
    <cellStyle name="Table  - Opmaakprofiel6 2 29 8" xfId="7624"/>
    <cellStyle name="Table  - Opmaakprofiel6 2 29 8 2" xfId="19922"/>
    <cellStyle name="Table  - Opmaakprofiel6 2 29 8 3" xfId="41725"/>
    <cellStyle name="Table  - Opmaakprofiel6 2 29 8 4" xfId="43431"/>
    <cellStyle name="Table  - Opmaakprofiel6 2 29 8 5" xfId="52594"/>
    <cellStyle name="Table  - Opmaakprofiel6 2 29 9" xfId="17162"/>
    <cellStyle name="Table  - Opmaakprofiel6 2 3" xfId="344"/>
    <cellStyle name="Table  - Opmaakprofiel6 2 3 10" xfId="1518"/>
    <cellStyle name="Table  - Opmaakprofiel6 2 3 10 2" xfId="10981"/>
    <cellStyle name="Table  - Opmaakprofiel6 2 3 10 2 2" xfId="23279"/>
    <cellStyle name="Table  - Opmaakprofiel6 2 3 10 2 3" xfId="35331"/>
    <cellStyle name="Table  - Opmaakprofiel6 2 3 10 2 4" xfId="30396"/>
    <cellStyle name="Table  - Opmaakprofiel6 2 3 10 2 5" xfId="55946"/>
    <cellStyle name="Table  - Opmaakprofiel6 2 3 10 3" xfId="17170"/>
    <cellStyle name="Table  - Opmaakprofiel6 2 3 10 4" xfId="29222"/>
    <cellStyle name="Table  - Opmaakprofiel6 2 3 10 5" xfId="38427"/>
    <cellStyle name="Table  - Opmaakprofiel6 2 3 10 6" xfId="50164"/>
    <cellStyle name="Table  - Opmaakprofiel6 2 3 11" xfId="1804"/>
    <cellStyle name="Table  - Opmaakprofiel6 2 3 11 2" xfId="10982"/>
    <cellStyle name="Table  - Opmaakprofiel6 2 3 11 2 2" xfId="23280"/>
    <cellStyle name="Table  - Opmaakprofiel6 2 3 11 2 3" xfId="35332"/>
    <cellStyle name="Table  - Opmaakprofiel6 2 3 11 2 4" xfId="42048"/>
    <cellStyle name="Table  - Opmaakprofiel6 2 3 11 2 5" xfId="55947"/>
    <cellStyle name="Table  - Opmaakprofiel6 2 3 11 3" xfId="17171"/>
    <cellStyle name="Table  - Opmaakprofiel6 2 3 11 4" xfId="29223"/>
    <cellStyle name="Table  - Opmaakprofiel6 2 3 11 5" xfId="44584"/>
    <cellStyle name="Table  - Opmaakprofiel6 2 3 11 6" xfId="50165"/>
    <cellStyle name="Table  - Opmaakprofiel6 2 3 12" xfId="2373"/>
    <cellStyle name="Table  - Opmaakprofiel6 2 3 12 2" xfId="10983"/>
    <cellStyle name="Table  - Opmaakprofiel6 2 3 12 2 2" xfId="23281"/>
    <cellStyle name="Table  - Opmaakprofiel6 2 3 12 2 3" xfId="35333"/>
    <cellStyle name="Table  - Opmaakprofiel6 2 3 12 2 4" xfId="30397"/>
    <cellStyle name="Table  - Opmaakprofiel6 2 3 12 2 5" xfId="55948"/>
    <cellStyle name="Table  - Opmaakprofiel6 2 3 12 3" xfId="17172"/>
    <cellStyle name="Table  - Opmaakprofiel6 2 3 12 4" xfId="29224"/>
    <cellStyle name="Table  - Opmaakprofiel6 2 3 12 5" xfId="38426"/>
    <cellStyle name="Table  - Opmaakprofiel6 2 3 12 6" xfId="50166"/>
    <cellStyle name="Table  - Opmaakprofiel6 2 3 13" xfId="6087"/>
    <cellStyle name="Table  - Opmaakprofiel6 2 3 13 2" xfId="10984"/>
    <cellStyle name="Table  - Opmaakprofiel6 2 3 13 2 2" xfId="23282"/>
    <cellStyle name="Table  - Opmaakprofiel6 2 3 13 2 3" xfId="35334"/>
    <cellStyle name="Table  - Opmaakprofiel6 2 3 13 2 4" xfId="31370"/>
    <cellStyle name="Table  - Opmaakprofiel6 2 3 13 2 5" xfId="55949"/>
    <cellStyle name="Table  - Opmaakprofiel6 2 3 13 3" xfId="17173"/>
    <cellStyle name="Table  - Opmaakprofiel6 2 3 13 4" xfId="29225"/>
    <cellStyle name="Table  - Opmaakprofiel6 2 3 13 5" xfId="44583"/>
    <cellStyle name="Table  - Opmaakprofiel6 2 3 13 6" xfId="50167"/>
    <cellStyle name="Table  - Opmaakprofiel6 2 3 14" xfId="6088"/>
    <cellStyle name="Table  - Opmaakprofiel6 2 3 14 2" xfId="10985"/>
    <cellStyle name="Table  - Opmaakprofiel6 2 3 14 2 2" xfId="23283"/>
    <cellStyle name="Table  - Opmaakprofiel6 2 3 14 2 3" xfId="35335"/>
    <cellStyle name="Table  - Opmaakprofiel6 2 3 14 2 4" xfId="42047"/>
    <cellStyle name="Table  - Opmaakprofiel6 2 3 14 2 5" xfId="55950"/>
    <cellStyle name="Table  - Opmaakprofiel6 2 3 14 3" xfId="17174"/>
    <cellStyle name="Table  - Opmaakprofiel6 2 3 14 4" xfId="29226"/>
    <cellStyle name="Table  - Opmaakprofiel6 2 3 14 5" xfId="38425"/>
    <cellStyle name="Table  - Opmaakprofiel6 2 3 14 6" xfId="50168"/>
    <cellStyle name="Table  - Opmaakprofiel6 2 3 15" xfId="6089"/>
    <cellStyle name="Table  - Opmaakprofiel6 2 3 15 2" xfId="17175"/>
    <cellStyle name="Table  - Opmaakprofiel6 2 3 15 3" xfId="29227"/>
    <cellStyle name="Table  - Opmaakprofiel6 2 3 15 4" xfId="38424"/>
    <cellStyle name="Table  - Opmaakprofiel6 2 3 15 5" xfId="50169"/>
    <cellStyle name="Table  - Opmaakprofiel6 2 3 16" xfId="7755"/>
    <cellStyle name="Table  - Opmaakprofiel6 2 3 16 2" xfId="20053"/>
    <cellStyle name="Table  - Opmaakprofiel6 2 3 16 3" xfId="41856"/>
    <cellStyle name="Table  - Opmaakprofiel6 2 3 16 4" xfId="25206"/>
    <cellStyle name="Table  - Opmaakprofiel6 2 3 16 5" xfId="52725"/>
    <cellStyle name="Table  - Opmaakprofiel6 2 3 17" xfId="17169"/>
    <cellStyle name="Table  - Opmaakprofiel6 2 3 2" xfId="622"/>
    <cellStyle name="Table  - Opmaakprofiel6 2 3 2 2" xfId="2269"/>
    <cellStyle name="Table  - Opmaakprofiel6 2 3 2 2 2" xfId="10986"/>
    <cellStyle name="Table  - Opmaakprofiel6 2 3 2 2 2 2" xfId="23284"/>
    <cellStyle name="Table  - Opmaakprofiel6 2 3 2 2 2 3" xfId="35336"/>
    <cellStyle name="Table  - Opmaakprofiel6 2 3 2 2 2 4" xfId="34864"/>
    <cellStyle name="Table  - Opmaakprofiel6 2 3 2 2 2 5" xfId="55951"/>
    <cellStyle name="Table  - Opmaakprofiel6 2 3 2 2 3" xfId="17177"/>
    <cellStyle name="Table  - Opmaakprofiel6 2 3 2 2 4" xfId="29229"/>
    <cellStyle name="Table  - Opmaakprofiel6 2 3 2 2 5" xfId="44582"/>
    <cellStyle name="Table  - Opmaakprofiel6 2 3 2 2 6" xfId="50170"/>
    <cellStyle name="Table  - Opmaakprofiel6 2 3 2 3" xfId="2693"/>
    <cellStyle name="Table  - Opmaakprofiel6 2 3 2 3 2" xfId="10987"/>
    <cellStyle name="Table  - Opmaakprofiel6 2 3 2 3 2 2" xfId="23285"/>
    <cellStyle name="Table  - Opmaakprofiel6 2 3 2 3 2 3" xfId="35337"/>
    <cellStyle name="Table  - Opmaakprofiel6 2 3 2 3 2 4" xfId="42046"/>
    <cellStyle name="Table  - Opmaakprofiel6 2 3 2 3 2 5" xfId="55952"/>
    <cellStyle name="Table  - Opmaakprofiel6 2 3 2 3 3" xfId="17178"/>
    <cellStyle name="Table  - Opmaakprofiel6 2 3 2 3 4" xfId="29230"/>
    <cellStyle name="Table  - Opmaakprofiel6 2 3 2 3 5" xfId="38423"/>
    <cellStyle name="Table  - Opmaakprofiel6 2 3 2 3 6" xfId="50171"/>
    <cellStyle name="Table  - Opmaakprofiel6 2 3 2 4" xfId="3565"/>
    <cellStyle name="Table  - Opmaakprofiel6 2 3 2 4 2" xfId="10988"/>
    <cellStyle name="Table  - Opmaakprofiel6 2 3 2 4 2 2" xfId="23286"/>
    <cellStyle name="Table  - Opmaakprofiel6 2 3 2 4 2 3" xfId="35338"/>
    <cellStyle name="Table  - Opmaakprofiel6 2 3 2 4 2 4" xfId="30410"/>
    <cellStyle name="Table  - Opmaakprofiel6 2 3 2 4 2 5" xfId="55953"/>
    <cellStyle name="Table  - Opmaakprofiel6 2 3 2 4 3" xfId="17179"/>
    <cellStyle name="Table  - Opmaakprofiel6 2 3 2 4 4" xfId="29231"/>
    <cellStyle name="Table  - Opmaakprofiel6 2 3 2 4 5" xfId="44581"/>
    <cellStyle name="Table  - Opmaakprofiel6 2 3 2 4 6" xfId="50172"/>
    <cellStyle name="Table  - Opmaakprofiel6 2 3 2 5" xfId="6090"/>
    <cellStyle name="Table  - Opmaakprofiel6 2 3 2 5 2" xfId="10989"/>
    <cellStyle name="Table  - Opmaakprofiel6 2 3 2 5 2 2" xfId="23287"/>
    <cellStyle name="Table  - Opmaakprofiel6 2 3 2 5 2 3" xfId="35339"/>
    <cellStyle name="Table  - Opmaakprofiel6 2 3 2 5 2 4" xfId="42045"/>
    <cellStyle name="Table  - Opmaakprofiel6 2 3 2 5 2 5" xfId="55954"/>
    <cellStyle name="Table  - Opmaakprofiel6 2 3 2 5 3" xfId="17180"/>
    <cellStyle name="Table  - Opmaakprofiel6 2 3 2 5 4" xfId="29232"/>
    <cellStyle name="Table  - Opmaakprofiel6 2 3 2 5 5" xfId="38422"/>
    <cellStyle name="Table  - Opmaakprofiel6 2 3 2 5 6" xfId="50173"/>
    <cellStyle name="Table  - Opmaakprofiel6 2 3 2 6" xfId="6091"/>
    <cellStyle name="Table  - Opmaakprofiel6 2 3 2 6 2" xfId="10990"/>
    <cellStyle name="Table  - Opmaakprofiel6 2 3 2 6 2 2" xfId="23288"/>
    <cellStyle name="Table  - Opmaakprofiel6 2 3 2 6 2 3" xfId="35340"/>
    <cellStyle name="Table  - Opmaakprofiel6 2 3 2 6 2 4" xfId="34803"/>
    <cellStyle name="Table  - Opmaakprofiel6 2 3 2 6 2 5" xfId="55955"/>
    <cellStyle name="Table  - Opmaakprofiel6 2 3 2 6 3" xfId="17181"/>
    <cellStyle name="Table  - Opmaakprofiel6 2 3 2 6 4" xfId="29233"/>
    <cellStyle name="Table  - Opmaakprofiel6 2 3 2 6 5" xfId="44580"/>
    <cellStyle name="Table  - Opmaakprofiel6 2 3 2 6 6" xfId="50174"/>
    <cellStyle name="Table  - Opmaakprofiel6 2 3 2 7" xfId="6092"/>
    <cellStyle name="Table  - Opmaakprofiel6 2 3 2 7 2" xfId="17182"/>
    <cellStyle name="Table  - Opmaakprofiel6 2 3 2 7 3" xfId="29234"/>
    <cellStyle name="Table  - Opmaakprofiel6 2 3 2 7 4" xfId="38421"/>
    <cellStyle name="Table  - Opmaakprofiel6 2 3 2 7 5" xfId="50175"/>
    <cellStyle name="Table  - Opmaakprofiel6 2 3 2 8" xfId="7567"/>
    <cellStyle name="Table  - Opmaakprofiel6 2 3 2 8 2" xfId="19865"/>
    <cellStyle name="Table  - Opmaakprofiel6 2 3 2 8 3" xfId="41668"/>
    <cellStyle name="Table  - Opmaakprofiel6 2 3 2 8 4" xfId="24821"/>
    <cellStyle name="Table  - Opmaakprofiel6 2 3 2 8 5" xfId="52537"/>
    <cellStyle name="Table  - Opmaakprofiel6 2 3 2 9" xfId="17176"/>
    <cellStyle name="Table  - Opmaakprofiel6 2 3 3" xfId="441"/>
    <cellStyle name="Table  - Opmaakprofiel6 2 3 3 2" xfId="1779"/>
    <cellStyle name="Table  - Opmaakprofiel6 2 3 3 2 2" xfId="10991"/>
    <cellStyle name="Table  - Opmaakprofiel6 2 3 3 2 2 2" xfId="23289"/>
    <cellStyle name="Table  - Opmaakprofiel6 2 3 3 2 2 3" xfId="35341"/>
    <cellStyle name="Table  - Opmaakprofiel6 2 3 3 2 2 4" xfId="30417"/>
    <cellStyle name="Table  - Opmaakprofiel6 2 3 3 2 2 5" xfId="55956"/>
    <cellStyle name="Table  - Opmaakprofiel6 2 3 3 2 3" xfId="17184"/>
    <cellStyle name="Table  - Opmaakprofiel6 2 3 3 2 4" xfId="29236"/>
    <cellStyle name="Table  - Opmaakprofiel6 2 3 3 2 5" xfId="38420"/>
    <cellStyle name="Table  - Opmaakprofiel6 2 3 3 2 6" xfId="50176"/>
    <cellStyle name="Table  - Opmaakprofiel6 2 3 3 3" xfId="2512"/>
    <cellStyle name="Table  - Opmaakprofiel6 2 3 3 3 2" xfId="10992"/>
    <cellStyle name="Table  - Opmaakprofiel6 2 3 3 3 2 2" xfId="23290"/>
    <cellStyle name="Table  - Opmaakprofiel6 2 3 3 3 2 3" xfId="35342"/>
    <cellStyle name="Table  - Opmaakprofiel6 2 3 3 3 2 4" xfId="42044"/>
    <cellStyle name="Table  - Opmaakprofiel6 2 3 3 3 2 5" xfId="55957"/>
    <cellStyle name="Table  - Opmaakprofiel6 2 3 3 3 3" xfId="17185"/>
    <cellStyle name="Table  - Opmaakprofiel6 2 3 3 3 4" xfId="29237"/>
    <cellStyle name="Table  - Opmaakprofiel6 2 3 3 3 5" xfId="44578"/>
    <cellStyle name="Table  - Opmaakprofiel6 2 3 3 3 6" xfId="50177"/>
    <cellStyle name="Table  - Opmaakprofiel6 2 3 3 4" xfId="2321"/>
    <cellStyle name="Table  - Opmaakprofiel6 2 3 3 4 2" xfId="10993"/>
    <cellStyle name="Table  - Opmaakprofiel6 2 3 3 4 2 2" xfId="23291"/>
    <cellStyle name="Table  - Opmaakprofiel6 2 3 3 4 2 3" xfId="35343"/>
    <cellStyle name="Table  - Opmaakprofiel6 2 3 3 4 2 4" xfId="31923"/>
    <cellStyle name="Table  - Opmaakprofiel6 2 3 3 4 2 5" xfId="55958"/>
    <cellStyle name="Table  - Opmaakprofiel6 2 3 3 4 3" xfId="17186"/>
    <cellStyle name="Table  - Opmaakprofiel6 2 3 3 4 4" xfId="29238"/>
    <cellStyle name="Table  - Opmaakprofiel6 2 3 3 4 5" xfId="38419"/>
    <cellStyle name="Table  - Opmaakprofiel6 2 3 3 4 6" xfId="50178"/>
    <cellStyle name="Table  - Opmaakprofiel6 2 3 3 5" xfId="6093"/>
    <cellStyle name="Table  - Opmaakprofiel6 2 3 3 5 2" xfId="10994"/>
    <cellStyle name="Table  - Opmaakprofiel6 2 3 3 5 2 2" xfId="23292"/>
    <cellStyle name="Table  - Opmaakprofiel6 2 3 3 5 2 3" xfId="35344"/>
    <cellStyle name="Table  - Opmaakprofiel6 2 3 3 5 2 4" xfId="42043"/>
    <cellStyle name="Table  - Opmaakprofiel6 2 3 3 5 2 5" xfId="55959"/>
    <cellStyle name="Table  - Opmaakprofiel6 2 3 3 5 3" xfId="17187"/>
    <cellStyle name="Table  - Opmaakprofiel6 2 3 3 5 4" xfId="29239"/>
    <cellStyle name="Table  - Opmaakprofiel6 2 3 3 5 5" xfId="38418"/>
    <cellStyle name="Table  - Opmaakprofiel6 2 3 3 5 6" xfId="50179"/>
    <cellStyle name="Table  - Opmaakprofiel6 2 3 3 6" xfId="6094"/>
    <cellStyle name="Table  - Opmaakprofiel6 2 3 3 6 2" xfId="10995"/>
    <cellStyle name="Table  - Opmaakprofiel6 2 3 3 6 2 2" xfId="23293"/>
    <cellStyle name="Table  - Opmaakprofiel6 2 3 3 6 2 3" xfId="35345"/>
    <cellStyle name="Table  - Opmaakprofiel6 2 3 3 6 2 4" xfId="30424"/>
    <cellStyle name="Table  - Opmaakprofiel6 2 3 3 6 2 5" xfId="55960"/>
    <cellStyle name="Table  - Opmaakprofiel6 2 3 3 6 3" xfId="17188"/>
    <cellStyle name="Table  - Opmaakprofiel6 2 3 3 6 4" xfId="29240"/>
    <cellStyle name="Table  - Opmaakprofiel6 2 3 3 6 5" xfId="38417"/>
    <cellStyle name="Table  - Opmaakprofiel6 2 3 3 6 6" xfId="50180"/>
    <cellStyle name="Table  - Opmaakprofiel6 2 3 3 7" xfId="6095"/>
    <cellStyle name="Table  - Opmaakprofiel6 2 3 3 7 2" xfId="17189"/>
    <cellStyle name="Table  - Opmaakprofiel6 2 3 3 7 3" xfId="29241"/>
    <cellStyle name="Table  - Opmaakprofiel6 2 3 3 7 4" xfId="44576"/>
    <cellStyle name="Table  - Opmaakprofiel6 2 3 3 7 5" xfId="50181"/>
    <cellStyle name="Table  - Opmaakprofiel6 2 3 3 8" xfId="10373"/>
    <cellStyle name="Table  - Opmaakprofiel6 2 3 3 8 2" xfId="22671"/>
    <cellStyle name="Table  - Opmaakprofiel6 2 3 3 8 3" xfId="44431"/>
    <cellStyle name="Table  - Opmaakprofiel6 2 3 3 8 4" xfId="31709"/>
    <cellStyle name="Table  - Opmaakprofiel6 2 3 3 8 5" xfId="55338"/>
    <cellStyle name="Table  - Opmaakprofiel6 2 3 3 9" xfId="17183"/>
    <cellStyle name="Table  - Opmaakprofiel6 2 3 4" xfId="573"/>
    <cellStyle name="Table  - Opmaakprofiel6 2 3 4 2" xfId="1631"/>
    <cellStyle name="Table  - Opmaakprofiel6 2 3 4 2 2" xfId="10996"/>
    <cellStyle name="Table  - Opmaakprofiel6 2 3 4 2 2 2" xfId="23294"/>
    <cellStyle name="Table  - Opmaakprofiel6 2 3 4 2 2 3" xfId="35346"/>
    <cellStyle name="Table  - Opmaakprofiel6 2 3 4 2 2 4" xfId="42042"/>
    <cellStyle name="Table  - Opmaakprofiel6 2 3 4 2 2 5" xfId="55961"/>
    <cellStyle name="Table  - Opmaakprofiel6 2 3 4 2 3" xfId="17191"/>
    <cellStyle name="Table  - Opmaakprofiel6 2 3 4 2 4" xfId="29243"/>
    <cellStyle name="Table  - Opmaakprofiel6 2 3 4 2 5" xfId="44575"/>
    <cellStyle name="Table  - Opmaakprofiel6 2 3 4 2 6" xfId="50182"/>
    <cellStyle name="Table  - Opmaakprofiel6 2 3 4 3" xfId="2644"/>
    <cellStyle name="Table  - Opmaakprofiel6 2 3 4 3 2" xfId="10997"/>
    <cellStyle name="Table  - Opmaakprofiel6 2 3 4 3 2 2" xfId="23295"/>
    <cellStyle name="Table  - Opmaakprofiel6 2 3 4 3 2 3" xfId="35347"/>
    <cellStyle name="Table  - Opmaakprofiel6 2 3 4 3 2 4" xfId="31963"/>
    <cellStyle name="Table  - Opmaakprofiel6 2 3 4 3 2 5" xfId="55962"/>
    <cellStyle name="Table  - Opmaakprofiel6 2 3 4 3 3" xfId="17192"/>
    <cellStyle name="Table  - Opmaakprofiel6 2 3 4 3 4" xfId="29244"/>
    <cellStyle name="Table  - Opmaakprofiel6 2 3 4 3 5" xfId="38415"/>
    <cellStyle name="Table  - Opmaakprofiel6 2 3 4 3 6" xfId="50183"/>
    <cellStyle name="Table  - Opmaakprofiel6 2 3 4 4" xfId="3521"/>
    <cellStyle name="Table  - Opmaakprofiel6 2 3 4 4 2" xfId="10998"/>
    <cellStyle name="Table  - Opmaakprofiel6 2 3 4 4 2 2" xfId="23296"/>
    <cellStyle name="Table  - Opmaakprofiel6 2 3 4 4 2 3" xfId="35348"/>
    <cellStyle name="Table  - Opmaakprofiel6 2 3 4 4 2 4" xfId="42041"/>
    <cellStyle name="Table  - Opmaakprofiel6 2 3 4 4 2 5" xfId="55963"/>
    <cellStyle name="Table  - Opmaakprofiel6 2 3 4 4 3" xfId="17193"/>
    <cellStyle name="Table  - Opmaakprofiel6 2 3 4 4 4" xfId="29245"/>
    <cellStyle name="Table  - Opmaakprofiel6 2 3 4 4 5" xfId="44574"/>
    <cellStyle name="Table  - Opmaakprofiel6 2 3 4 4 6" xfId="50184"/>
    <cellStyle name="Table  - Opmaakprofiel6 2 3 4 5" xfId="6096"/>
    <cellStyle name="Table  - Opmaakprofiel6 2 3 4 5 2" xfId="10999"/>
    <cellStyle name="Table  - Opmaakprofiel6 2 3 4 5 2 2" xfId="23297"/>
    <cellStyle name="Table  - Opmaakprofiel6 2 3 4 5 2 3" xfId="35349"/>
    <cellStyle name="Table  - Opmaakprofiel6 2 3 4 5 2 4" xfId="30431"/>
    <cellStyle name="Table  - Opmaakprofiel6 2 3 4 5 2 5" xfId="55964"/>
    <cellStyle name="Table  - Opmaakprofiel6 2 3 4 5 3" xfId="17194"/>
    <cellStyle name="Table  - Opmaakprofiel6 2 3 4 5 4" xfId="29246"/>
    <cellStyle name="Table  - Opmaakprofiel6 2 3 4 5 5" xfId="38414"/>
    <cellStyle name="Table  - Opmaakprofiel6 2 3 4 5 6" xfId="50185"/>
    <cellStyle name="Table  - Opmaakprofiel6 2 3 4 6" xfId="6097"/>
    <cellStyle name="Table  - Opmaakprofiel6 2 3 4 6 2" xfId="11000"/>
    <cellStyle name="Table  - Opmaakprofiel6 2 3 4 6 2 2" xfId="23298"/>
    <cellStyle name="Table  - Opmaakprofiel6 2 3 4 6 2 3" xfId="35350"/>
    <cellStyle name="Table  - Opmaakprofiel6 2 3 4 6 2 4" xfId="42040"/>
    <cellStyle name="Table  - Opmaakprofiel6 2 3 4 6 2 5" xfId="55965"/>
    <cellStyle name="Table  - Opmaakprofiel6 2 3 4 6 3" xfId="17195"/>
    <cellStyle name="Table  - Opmaakprofiel6 2 3 4 6 4" xfId="29247"/>
    <cellStyle name="Table  - Opmaakprofiel6 2 3 4 6 5" xfId="44573"/>
    <cellStyle name="Table  - Opmaakprofiel6 2 3 4 6 6" xfId="50186"/>
    <cellStyle name="Table  - Opmaakprofiel6 2 3 4 7" xfId="6098"/>
    <cellStyle name="Table  - Opmaakprofiel6 2 3 4 7 2" xfId="17196"/>
    <cellStyle name="Table  - Opmaakprofiel6 2 3 4 7 3" xfId="29248"/>
    <cellStyle name="Table  - Opmaakprofiel6 2 3 4 7 4" xfId="38413"/>
    <cellStyle name="Table  - Opmaakprofiel6 2 3 4 7 5" xfId="50187"/>
    <cellStyle name="Table  - Opmaakprofiel6 2 3 4 8" xfId="7600"/>
    <cellStyle name="Table  - Opmaakprofiel6 2 3 4 8 2" xfId="19898"/>
    <cellStyle name="Table  - Opmaakprofiel6 2 3 4 8 3" xfId="41701"/>
    <cellStyle name="Table  - Opmaakprofiel6 2 3 4 8 4" xfId="43441"/>
    <cellStyle name="Table  - Opmaakprofiel6 2 3 4 8 5" xfId="52570"/>
    <cellStyle name="Table  - Opmaakprofiel6 2 3 4 9" xfId="17190"/>
    <cellStyle name="Table  - Opmaakprofiel6 2 3 5" xfId="883"/>
    <cellStyle name="Table  - Opmaakprofiel6 2 3 5 2" xfId="1424"/>
    <cellStyle name="Table  - Opmaakprofiel6 2 3 5 2 2" xfId="11001"/>
    <cellStyle name="Table  - Opmaakprofiel6 2 3 5 2 2 2" xfId="23299"/>
    <cellStyle name="Table  - Opmaakprofiel6 2 3 5 2 2 3" xfId="35351"/>
    <cellStyle name="Table  - Opmaakprofiel6 2 3 5 2 2 4" xfId="31898"/>
    <cellStyle name="Table  - Opmaakprofiel6 2 3 5 2 2 5" xfId="55966"/>
    <cellStyle name="Table  - Opmaakprofiel6 2 3 5 2 3" xfId="17198"/>
    <cellStyle name="Table  - Opmaakprofiel6 2 3 5 2 4" xfId="29250"/>
    <cellStyle name="Table  - Opmaakprofiel6 2 3 5 2 5" xfId="38412"/>
    <cellStyle name="Table  - Opmaakprofiel6 2 3 5 2 6" xfId="50188"/>
    <cellStyle name="Table  - Opmaakprofiel6 2 3 5 3" xfId="2894"/>
    <cellStyle name="Table  - Opmaakprofiel6 2 3 5 3 2" xfId="11002"/>
    <cellStyle name="Table  - Opmaakprofiel6 2 3 5 3 2 2" xfId="23300"/>
    <cellStyle name="Table  - Opmaakprofiel6 2 3 5 3 2 3" xfId="35352"/>
    <cellStyle name="Table  - Opmaakprofiel6 2 3 5 3 2 4" xfId="30438"/>
    <cellStyle name="Table  - Opmaakprofiel6 2 3 5 3 2 5" xfId="55967"/>
    <cellStyle name="Table  - Opmaakprofiel6 2 3 5 3 3" xfId="17199"/>
    <cellStyle name="Table  - Opmaakprofiel6 2 3 5 3 4" xfId="29251"/>
    <cellStyle name="Table  - Opmaakprofiel6 2 3 5 3 5" xfId="38411"/>
    <cellStyle name="Table  - Opmaakprofiel6 2 3 5 3 6" xfId="50189"/>
    <cellStyle name="Table  - Opmaakprofiel6 2 3 5 4" xfId="3747"/>
    <cellStyle name="Table  - Opmaakprofiel6 2 3 5 4 2" xfId="11003"/>
    <cellStyle name="Table  - Opmaakprofiel6 2 3 5 4 2 2" xfId="23301"/>
    <cellStyle name="Table  - Opmaakprofiel6 2 3 5 4 2 3" xfId="35353"/>
    <cellStyle name="Table  - Opmaakprofiel6 2 3 5 4 2 4" xfId="34645"/>
    <cellStyle name="Table  - Opmaakprofiel6 2 3 5 4 2 5" xfId="55968"/>
    <cellStyle name="Table  - Opmaakprofiel6 2 3 5 4 3" xfId="17200"/>
    <cellStyle name="Table  - Opmaakprofiel6 2 3 5 4 4" xfId="29252"/>
    <cellStyle name="Table  - Opmaakprofiel6 2 3 5 4 5" xfId="38410"/>
    <cellStyle name="Table  - Opmaakprofiel6 2 3 5 4 6" xfId="50190"/>
    <cellStyle name="Table  - Opmaakprofiel6 2 3 5 5" xfId="6099"/>
    <cellStyle name="Table  - Opmaakprofiel6 2 3 5 5 2" xfId="11004"/>
    <cellStyle name="Table  - Opmaakprofiel6 2 3 5 5 2 2" xfId="23302"/>
    <cellStyle name="Table  - Opmaakprofiel6 2 3 5 5 2 3" xfId="35354"/>
    <cellStyle name="Table  - Opmaakprofiel6 2 3 5 5 2 4" xfId="42039"/>
    <cellStyle name="Table  - Opmaakprofiel6 2 3 5 5 2 5" xfId="55969"/>
    <cellStyle name="Table  - Opmaakprofiel6 2 3 5 5 3" xfId="17201"/>
    <cellStyle name="Table  - Opmaakprofiel6 2 3 5 5 4" xfId="29253"/>
    <cellStyle name="Table  - Opmaakprofiel6 2 3 5 5 5" xfId="44570"/>
    <cellStyle name="Table  - Opmaakprofiel6 2 3 5 5 6" xfId="50191"/>
    <cellStyle name="Table  - Opmaakprofiel6 2 3 5 6" xfId="6100"/>
    <cellStyle name="Table  - Opmaakprofiel6 2 3 5 6 2" xfId="11005"/>
    <cellStyle name="Table  - Opmaakprofiel6 2 3 5 6 2 2" xfId="23303"/>
    <cellStyle name="Table  - Opmaakprofiel6 2 3 5 6 2 3" xfId="35355"/>
    <cellStyle name="Table  - Opmaakprofiel6 2 3 5 6 2 4" xfId="30445"/>
    <cellStyle name="Table  - Opmaakprofiel6 2 3 5 6 2 5" xfId="55970"/>
    <cellStyle name="Table  - Opmaakprofiel6 2 3 5 6 3" xfId="17202"/>
    <cellStyle name="Table  - Opmaakprofiel6 2 3 5 6 4" xfId="29254"/>
    <cellStyle name="Table  - Opmaakprofiel6 2 3 5 6 5" xfId="38409"/>
    <cellStyle name="Table  - Opmaakprofiel6 2 3 5 6 6" xfId="50192"/>
    <cellStyle name="Table  - Opmaakprofiel6 2 3 5 7" xfId="6101"/>
    <cellStyle name="Table  - Opmaakprofiel6 2 3 5 7 2" xfId="17203"/>
    <cellStyle name="Table  - Opmaakprofiel6 2 3 5 7 3" xfId="29255"/>
    <cellStyle name="Table  - Opmaakprofiel6 2 3 5 7 4" xfId="44569"/>
    <cellStyle name="Table  - Opmaakprofiel6 2 3 5 7 5" xfId="50193"/>
    <cellStyle name="Table  - Opmaakprofiel6 2 3 5 8" xfId="7390"/>
    <cellStyle name="Table  - Opmaakprofiel6 2 3 5 8 2" xfId="19688"/>
    <cellStyle name="Table  - Opmaakprofiel6 2 3 5 8 3" xfId="41491"/>
    <cellStyle name="Table  - Opmaakprofiel6 2 3 5 8 4" xfId="15582"/>
    <cellStyle name="Table  - Opmaakprofiel6 2 3 5 8 5" xfId="52360"/>
    <cellStyle name="Table  - Opmaakprofiel6 2 3 5 9" xfId="17197"/>
    <cellStyle name="Table  - Opmaakprofiel6 2 3 6" xfId="1107"/>
    <cellStyle name="Table  - Opmaakprofiel6 2 3 6 2" xfId="1542"/>
    <cellStyle name="Table  - Opmaakprofiel6 2 3 6 2 2" xfId="11006"/>
    <cellStyle name="Table  - Opmaakprofiel6 2 3 6 2 2 2" xfId="23304"/>
    <cellStyle name="Table  - Opmaakprofiel6 2 3 6 2 2 3" xfId="35356"/>
    <cellStyle name="Table  - Opmaakprofiel6 2 3 6 2 2 4" xfId="42038"/>
    <cellStyle name="Table  - Opmaakprofiel6 2 3 6 2 2 5" xfId="55971"/>
    <cellStyle name="Table  - Opmaakprofiel6 2 3 6 2 3" xfId="17205"/>
    <cellStyle name="Table  - Opmaakprofiel6 2 3 6 2 4" xfId="29257"/>
    <cellStyle name="Table  - Opmaakprofiel6 2 3 6 2 5" xfId="44568"/>
    <cellStyle name="Table  - Opmaakprofiel6 2 3 6 2 6" xfId="50194"/>
    <cellStyle name="Table  - Opmaakprofiel6 2 3 6 3" xfId="3118"/>
    <cellStyle name="Table  - Opmaakprofiel6 2 3 6 3 2" xfId="11007"/>
    <cellStyle name="Table  - Opmaakprofiel6 2 3 6 3 2 2" xfId="23305"/>
    <cellStyle name="Table  - Opmaakprofiel6 2 3 6 3 2 3" xfId="35357"/>
    <cellStyle name="Table  - Opmaakprofiel6 2 3 6 3 2 4" xfId="34739"/>
    <cellStyle name="Table  - Opmaakprofiel6 2 3 6 3 2 5" xfId="55972"/>
    <cellStyle name="Table  - Opmaakprofiel6 2 3 6 3 3" xfId="17206"/>
    <cellStyle name="Table  - Opmaakprofiel6 2 3 6 3 4" xfId="29258"/>
    <cellStyle name="Table  - Opmaakprofiel6 2 3 6 3 5" xfId="38407"/>
    <cellStyle name="Table  - Opmaakprofiel6 2 3 6 3 6" xfId="50195"/>
    <cellStyle name="Table  - Opmaakprofiel6 2 3 6 4" xfId="3953"/>
    <cellStyle name="Table  - Opmaakprofiel6 2 3 6 4 2" xfId="11008"/>
    <cellStyle name="Table  - Opmaakprofiel6 2 3 6 4 2 2" xfId="23306"/>
    <cellStyle name="Table  - Opmaakprofiel6 2 3 6 4 2 3" xfId="35358"/>
    <cellStyle name="Table  - Opmaakprofiel6 2 3 6 4 2 4" xfId="42037"/>
    <cellStyle name="Table  - Opmaakprofiel6 2 3 6 4 2 5" xfId="55973"/>
    <cellStyle name="Table  - Opmaakprofiel6 2 3 6 4 3" xfId="17207"/>
    <cellStyle name="Table  - Opmaakprofiel6 2 3 6 4 4" xfId="29259"/>
    <cellStyle name="Table  - Opmaakprofiel6 2 3 6 4 5" xfId="44567"/>
    <cellStyle name="Table  - Opmaakprofiel6 2 3 6 4 6" xfId="50196"/>
    <cellStyle name="Table  - Opmaakprofiel6 2 3 6 5" xfId="6102"/>
    <cellStyle name="Table  - Opmaakprofiel6 2 3 6 5 2" xfId="11009"/>
    <cellStyle name="Table  - Opmaakprofiel6 2 3 6 5 2 2" xfId="23307"/>
    <cellStyle name="Table  - Opmaakprofiel6 2 3 6 5 2 3" xfId="35359"/>
    <cellStyle name="Table  - Opmaakprofiel6 2 3 6 5 2 4" xfId="30452"/>
    <cellStyle name="Table  - Opmaakprofiel6 2 3 6 5 2 5" xfId="55974"/>
    <cellStyle name="Table  - Opmaakprofiel6 2 3 6 5 3" xfId="17208"/>
    <cellStyle name="Table  - Opmaakprofiel6 2 3 6 5 4" xfId="29260"/>
    <cellStyle name="Table  - Opmaakprofiel6 2 3 6 5 5" xfId="38406"/>
    <cellStyle name="Table  - Opmaakprofiel6 2 3 6 5 6" xfId="50197"/>
    <cellStyle name="Table  - Opmaakprofiel6 2 3 6 6" xfId="6103"/>
    <cellStyle name="Table  - Opmaakprofiel6 2 3 6 6 2" xfId="11010"/>
    <cellStyle name="Table  - Opmaakprofiel6 2 3 6 6 2 2" xfId="23308"/>
    <cellStyle name="Table  - Opmaakprofiel6 2 3 6 6 2 3" xfId="35360"/>
    <cellStyle name="Table  - Opmaakprofiel6 2 3 6 6 2 4" xfId="42036"/>
    <cellStyle name="Table  - Opmaakprofiel6 2 3 6 6 2 5" xfId="55975"/>
    <cellStyle name="Table  - Opmaakprofiel6 2 3 6 6 3" xfId="17209"/>
    <cellStyle name="Table  - Opmaakprofiel6 2 3 6 6 4" xfId="29261"/>
    <cellStyle name="Table  - Opmaakprofiel6 2 3 6 6 5" xfId="44566"/>
    <cellStyle name="Table  - Opmaakprofiel6 2 3 6 6 6" xfId="50198"/>
    <cellStyle name="Table  - Opmaakprofiel6 2 3 6 7" xfId="6104"/>
    <cellStyle name="Table  - Opmaakprofiel6 2 3 6 7 2" xfId="17210"/>
    <cellStyle name="Table  - Opmaakprofiel6 2 3 6 7 3" xfId="29262"/>
    <cellStyle name="Table  - Opmaakprofiel6 2 3 6 7 4" xfId="38405"/>
    <cellStyle name="Table  - Opmaakprofiel6 2 3 6 7 5" xfId="50199"/>
    <cellStyle name="Table  - Opmaakprofiel6 2 3 6 8" xfId="7238"/>
    <cellStyle name="Table  - Opmaakprofiel6 2 3 6 8 2" xfId="19536"/>
    <cellStyle name="Table  - Opmaakprofiel6 2 3 6 8 3" xfId="41339"/>
    <cellStyle name="Table  - Opmaakprofiel6 2 3 6 8 4" xfId="43592"/>
    <cellStyle name="Table  - Opmaakprofiel6 2 3 6 8 5" xfId="52208"/>
    <cellStyle name="Table  - Opmaakprofiel6 2 3 6 9" xfId="17204"/>
    <cellStyle name="Table  - Opmaakprofiel6 2 3 7" xfId="850"/>
    <cellStyle name="Table  - Opmaakprofiel6 2 3 7 2" xfId="1497"/>
    <cellStyle name="Table  - Opmaakprofiel6 2 3 7 2 2" xfId="11011"/>
    <cellStyle name="Table  - Opmaakprofiel6 2 3 7 2 2 2" xfId="23309"/>
    <cellStyle name="Table  - Opmaakprofiel6 2 3 7 2 2 3" xfId="35361"/>
    <cellStyle name="Table  - Opmaakprofiel6 2 3 7 2 2 4" xfId="31574"/>
    <cellStyle name="Table  - Opmaakprofiel6 2 3 7 2 2 5" xfId="55976"/>
    <cellStyle name="Table  - Opmaakprofiel6 2 3 7 2 3" xfId="17212"/>
    <cellStyle name="Table  - Opmaakprofiel6 2 3 7 2 4" xfId="29264"/>
    <cellStyle name="Table  - Opmaakprofiel6 2 3 7 2 5" xfId="38403"/>
    <cellStyle name="Table  - Opmaakprofiel6 2 3 7 2 6" xfId="50200"/>
    <cellStyle name="Table  - Opmaakprofiel6 2 3 7 3" xfId="2861"/>
    <cellStyle name="Table  - Opmaakprofiel6 2 3 7 3 2" xfId="11012"/>
    <cellStyle name="Table  - Opmaakprofiel6 2 3 7 3 2 2" xfId="23310"/>
    <cellStyle name="Table  - Opmaakprofiel6 2 3 7 3 2 3" xfId="35362"/>
    <cellStyle name="Table  - Opmaakprofiel6 2 3 7 3 2 4" xfId="42035"/>
    <cellStyle name="Table  - Opmaakprofiel6 2 3 7 3 2 5" xfId="55977"/>
    <cellStyle name="Table  - Opmaakprofiel6 2 3 7 3 3" xfId="17213"/>
    <cellStyle name="Table  - Opmaakprofiel6 2 3 7 3 4" xfId="29265"/>
    <cellStyle name="Table  - Opmaakprofiel6 2 3 7 3 5" xfId="44565"/>
    <cellStyle name="Table  - Opmaakprofiel6 2 3 7 3 6" xfId="50201"/>
    <cellStyle name="Table  - Opmaakprofiel6 2 3 7 4" xfId="3714"/>
    <cellStyle name="Table  - Opmaakprofiel6 2 3 7 4 2" xfId="11013"/>
    <cellStyle name="Table  - Opmaakprofiel6 2 3 7 4 2 2" xfId="23311"/>
    <cellStyle name="Table  - Opmaakprofiel6 2 3 7 4 2 3" xfId="35363"/>
    <cellStyle name="Table  - Opmaakprofiel6 2 3 7 4 2 4" xfId="30459"/>
    <cellStyle name="Table  - Opmaakprofiel6 2 3 7 4 2 5" xfId="55978"/>
    <cellStyle name="Table  - Opmaakprofiel6 2 3 7 4 3" xfId="17214"/>
    <cellStyle name="Table  - Opmaakprofiel6 2 3 7 4 4" xfId="29266"/>
    <cellStyle name="Table  - Opmaakprofiel6 2 3 7 4 5" xfId="38402"/>
    <cellStyle name="Table  - Opmaakprofiel6 2 3 7 4 6" xfId="50202"/>
    <cellStyle name="Table  - Opmaakprofiel6 2 3 7 5" xfId="6105"/>
    <cellStyle name="Table  - Opmaakprofiel6 2 3 7 5 2" xfId="11014"/>
    <cellStyle name="Table  - Opmaakprofiel6 2 3 7 5 2 2" xfId="23312"/>
    <cellStyle name="Table  - Opmaakprofiel6 2 3 7 5 2 3" xfId="35364"/>
    <cellStyle name="Table  - Opmaakprofiel6 2 3 7 5 2 4" xfId="31416"/>
    <cellStyle name="Table  - Opmaakprofiel6 2 3 7 5 2 5" xfId="55979"/>
    <cellStyle name="Table  - Opmaakprofiel6 2 3 7 5 3" xfId="17215"/>
    <cellStyle name="Table  - Opmaakprofiel6 2 3 7 5 4" xfId="29267"/>
    <cellStyle name="Table  - Opmaakprofiel6 2 3 7 5 5" xfId="44564"/>
    <cellStyle name="Table  - Opmaakprofiel6 2 3 7 5 6" xfId="50203"/>
    <cellStyle name="Table  - Opmaakprofiel6 2 3 7 6" xfId="6106"/>
    <cellStyle name="Table  - Opmaakprofiel6 2 3 7 6 2" xfId="11015"/>
    <cellStyle name="Table  - Opmaakprofiel6 2 3 7 6 2 2" xfId="23313"/>
    <cellStyle name="Table  - Opmaakprofiel6 2 3 7 6 2 3" xfId="35365"/>
    <cellStyle name="Table  - Opmaakprofiel6 2 3 7 6 2 4" xfId="30466"/>
    <cellStyle name="Table  - Opmaakprofiel6 2 3 7 6 2 5" xfId="55980"/>
    <cellStyle name="Table  - Opmaakprofiel6 2 3 7 6 3" xfId="17216"/>
    <cellStyle name="Table  - Opmaakprofiel6 2 3 7 6 4" xfId="29268"/>
    <cellStyle name="Table  - Opmaakprofiel6 2 3 7 6 5" xfId="38401"/>
    <cellStyle name="Table  - Opmaakprofiel6 2 3 7 6 6" xfId="50204"/>
    <cellStyle name="Table  - Opmaakprofiel6 2 3 7 7" xfId="6107"/>
    <cellStyle name="Table  - Opmaakprofiel6 2 3 7 7 2" xfId="17217"/>
    <cellStyle name="Table  - Opmaakprofiel6 2 3 7 7 3" xfId="29269"/>
    <cellStyle name="Table  - Opmaakprofiel6 2 3 7 7 4" xfId="44563"/>
    <cellStyle name="Table  - Opmaakprofiel6 2 3 7 7 5" xfId="50205"/>
    <cellStyle name="Table  - Opmaakprofiel6 2 3 7 8" xfId="10100"/>
    <cellStyle name="Table  - Opmaakprofiel6 2 3 7 8 2" xfId="22398"/>
    <cellStyle name="Table  - Opmaakprofiel6 2 3 7 8 3" xfId="44162"/>
    <cellStyle name="Table  - Opmaakprofiel6 2 3 7 8 4" xfId="42415"/>
    <cellStyle name="Table  - Opmaakprofiel6 2 3 7 8 5" xfId="55065"/>
    <cellStyle name="Table  - Opmaakprofiel6 2 3 7 9" xfId="17211"/>
    <cellStyle name="Table  - Opmaakprofiel6 2 3 8" xfId="1320"/>
    <cellStyle name="Table  - Opmaakprofiel6 2 3 8 2" xfId="2096"/>
    <cellStyle name="Table  - Opmaakprofiel6 2 3 8 2 2" xfId="11016"/>
    <cellStyle name="Table  - Opmaakprofiel6 2 3 8 2 2 2" xfId="23314"/>
    <cellStyle name="Table  - Opmaakprofiel6 2 3 8 2 2 3" xfId="35366"/>
    <cellStyle name="Table  - Opmaakprofiel6 2 3 8 2 2 4" xfId="42034"/>
    <cellStyle name="Table  - Opmaakprofiel6 2 3 8 2 2 5" xfId="55981"/>
    <cellStyle name="Table  - Opmaakprofiel6 2 3 8 2 3" xfId="17219"/>
    <cellStyle name="Table  - Opmaakprofiel6 2 3 8 2 4" xfId="29271"/>
    <cellStyle name="Table  - Opmaakprofiel6 2 3 8 2 5" xfId="44562"/>
    <cellStyle name="Table  - Opmaakprofiel6 2 3 8 2 6" xfId="50206"/>
    <cellStyle name="Table  - Opmaakprofiel6 2 3 8 3" xfId="3331"/>
    <cellStyle name="Table  - Opmaakprofiel6 2 3 8 3 2" xfId="11017"/>
    <cellStyle name="Table  - Opmaakprofiel6 2 3 8 3 2 2" xfId="23315"/>
    <cellStyle name="Table  - Opmaakprofiel6 2 3 8 3 2 3" xfId="35367"/>
    <cellStyle name="Table  - Opmaakprofiel6 2 3 8 3 2 4" xfId="31368"/>
    <cellStyle name="Table  - Opmaakprofiel6 2 3 8 3 2 5" xfId="55982"/>
    <cellStyle name="Table  - Opmaakprofiel6 2 3 8 3 3" xfId="17220"/>
    <cellStyle name="Table  - Opmaakprofiel6 2 3 8 3 4" xfId="29272"/>
    <cellStyle name="Table  - Opmaakprofiel6 2 3 8 3 5" xfId="38399"/>
    <cellStyle name="Table  - Opmaakprofiel6 2 3 8 3 6" xfId="50207"/>
    <cellStyle name="Table  - Opmaakprofiel6 2 3 8 4" xfId="4112"/>
    <cellStyle name="Table  - Opmaakprofiel6 2 3 8 4 2" xfId="11018"/>
    <cellStyle name="Table  - Opmaakprofiel6 2 3 8 4 2 2" xfId="23316"/>
    <cellStyle name="Table  - Opmaakprofiel6 2 3 8 4 2 3" xfId="35368"/>
    <cellStyle name="Table  - Opmaakprofiel6 2 3 8 4 2 4" xfId="42033"/>
    <cellStyle name="Table  - Opmaakprofiel6 2 3 8 4 2 5" xfId="55983"/>
    <cellStyle name="Table  - Opmaakprofiel6 2 3 8 4 3" xfId="17221"/>
    <cellStyle name="Table  - Opmaakprofiel6 2 3 8 4 4" xfId="29273"/>
    <cellStyle name="Table  - Opmaakprofiel6 2 3 8 4 5" xfId="44561"/>
    <cellStyle name="Table  - Opmaakprofiel6 2 3 8 4 6" xfId="50208"/>
    <cellStyle name="Table  - Opmaakprofiel6 2 3 8 5" xfId="6108"/>
    <cellStyle name="Table  - Opmaakprofiel6 2 3 8 5 2" xfId="11019"/>
    <cellStyle name="Table  - Opmaakprofiel6 2 3 8 5 2 2" xfId="23317"/>
    <cellStyle name="Table  - Opmaakprofiel6 2 3 8 5 2 3" xfId="35369"/>
    <cellStyle name="Table  - Opmaakprofiel6 2 3 8 5 2 4" xfId="30473"/>
    <cellStyle name="Table  - Opmaakprofiel6 2 3 8 5 2 5" xfId="55984"/>
    <cellStyle name="Table  - Opmaakprofiel6 2 3 8 5 3" xfId="17222"/>
    <cellStyle name="Table  - Opmaakprofiel6 2 3 8 5 4" xfId="29274"/>
    <cellStyle name="Table  - Opmaakprofiel6 2 3 8 5 5" xfId="38398"/>
    <cellStyle name="Table  - Opmaakprofiel6 2 3 8 5 6" xfId="50209"/>
    <cellStyle name="Table  - Opmaakprofiel6 2 3 8 6" xfId="6109"/>
    <cellStyle name="Table  - Opmaakprofiel6 2 3 8 6 2" xfId="11020"/>
    <cellStyle name="Table  - Opmaakprofiel6 2 3 8 6 2 2" xfId="23318"/>
    <cellStyle name="Table  - Opmaakprofiel6 2 3 8 6 2 3" xfId="35370"/>
    <cellStyle name="Table  - Opmaakprofiel6 2 3 8 6 2 4" xfId="42032"/>
    <cellStyle name="Table  - Opmaakprofiel6 2 3 8 6 2 5" xfId="55985"/>
    <cellStyle name="Table  - Opmaakprofiel6 2 3 8 6 3" xfId="17223"/>
    <cellStyle name="Table  - Opmaakprofiel6 2 3 8 6 4" xfId="29275"/>
    <cellStyle name="Table  - Opmaakprofiel6 2 3 8 6 5" xfId="38397"/>
    <cellStyle name="Table  - Opmaakprofiel6 2 3 8 6 6" xfId="50210"/>
    <cellStyle name="Table  - Opmaakprofiel6 2 3 8 7" xfId="6110"/>
    <cellStyle name="Table  - Opmaakprofiel6 2 3 8 7 2" xfId="17224"/>
    <cellStyle name="Table  - Opmaakprofiel6 2 3 8 7 3" xfId="29276"/>
    <cellStyle name="Table  - Opmaakprofiel6 2 3 8 7 4" xfId="38396"/>
    <cellStyle name="Table  - Opmaakprofiel6 2 3 8 7 5" xfId="50211"/>
    <cellStyle name="Table  - Opmaakprofiel6 2 3 8 8" xfId="7058"/>
    <cellStyle name="Table  - Opmaakprofiel6 2 3 8 8 2" xfId="19356"/>
    <cellStyle name="Table  - Opmaakprofiel6 2 3 8 8 3" xfId="41159"/>
    <cellStyle name="Table  - Opmaakprofiel6 2 3 8 8 4" xfId="37000"/>
    <cellStyle name="Table  - Opmaakprofiel6 2 3 8 8 5" xfId="52029"/>
    <cellStyle name="Table  - Opmaakprofiel6 2 3 8 9" xfId="17218"/>
    <cellStyle name="Table  - Opmaakprofiel6 2 3 9" xfId="1376"/>
    <cellStyle name="Table  - Opmaakprofiel6 2 3 9 2" xfId="1393"/>
    <cellStyle name="Table  - Opmaakprofiel6 2 3 9 2 2" xfId="11021"/>
    <cellStyle name="Table  - Opmaakprofiel6 2 3 9 2 2 2" xfId="23319"/>
    <cellStyle name="Table  - Opmaakprofiel6 2 3 9 2 2 3" xfId="35371"/>
    <cellStyle name="Table  - Opmaakprofiel6 2 3 9 2 2 4" xfId="34652"/>
    <cellStyle name="Table  - Opmaakprofiel6 2 3 9 2 2 5" xfId="55986"/>
    <cellStyle name="Table  - Opmaakprofiel6 2 3 9 2 3" xfId="17226"/>
    <cellStyle name="Table  - Opmaakprofiel6 2 3 9 2 4" xfId="29278"/>
    <cellStyle name="Table  - Opmaakprofiel6 2 3 9 2 5" xfId="38395"/>
    <cellStyle name="Table  - Opmaakprofiel6 2 3 9 2 6" xfId="50212"/>
    <cellStyle name="Table  - Opmaakprofiel6 2 3 9 3" xfId="3387"/>
    <cellStyle name="Table  - Opmaakprofiel6 2 3 9 3 2" xfId="11022"/>
    <cellStyle name="Table  - Opmaakprofiel6 2 3 9 3 2 2" xfId="23320"/>
    <cellStyle name="Table  - Opmaakprofiel6 2 3 9 3 2 3" xfId="35372"/>
    <cellStyle name="Table  - Opmaakprofiel6 2 3 9 3 2 4" xfId="42031"/>
    <cellStyle name="Table  - Opmaakprofiel6 2 3 9 3 2 5" xfId="55987"/>
    <cellStyle name="Table  - Opmaakprofiel6 2 3 9 3 3" xfId="17227"/>
    <cellStyle name="Table  - Opmaakprofiel6 2 3 9 3 4" xfId="29279"/>
    <cellStyle name="Table  - Opmaakprofiel6 2 3 9 3 5" xfId="44559"/>
    <cellStyle name="Table  - Opmaakprofiel6 2 3 9 3 6" xfId="50213"/>
    <cellStyle name="Table  - Opmaakprofiel6 2 3 9 4" xfId="4148"/>
    <cellStyle name="Table  - Opmaakprofiel6 2 3 9 4 2" xfId="11023"/>
    <cellStyle name="Table  - Opmaakprofiel6 2 3 9 4 2 2" xfId="23321"/>
    <cellStyle name="Table  - Opmaakprofiel6 2 3 9 4 2 3" xfId="35373"/>
    <cellStyle name="Table  - Opmaakprofiel6 2 3 9 4 2 4" xfId="30480"/>
    <cellStyle name="Table  - Opmaakprofiel6 2 3 9 4 2 5" xfId="55988"/>
    <cellStyle name="Table  - Opmaakprofiel6 2 3 9 4 3" xfId="17228"/>
    <cellStyle name="Table  - Opmaakprofiel6 2 3 9 4 4" xfId="29280"/>
    <cellStyle name="Table  - Opmaakprofiel6 2 3 9 4 5" xfId="38394"/>
    <cellStyle name="Table  - Opmaakprofiel6 2 3 9 4 6" xfId="50214"/>
    <cellStyle name="Table  - Opmaakprofiel6 2 3 9 5" xfId="6111"/>
    <cellStyle name="Table  - Opmaakprofiel6 2 3 9 5 2" xfId="11024"/>
    <cellStyle name="Table  - Opmaakprofiel6 2 3 9 5 2 2" xfId="23322"/>
    <cellStyle name="Table  - Opmaakprofiel6 2 3 9 5 2 3" xfId="35374"/>
    <cellStyle name="Table  - Opmaakprofiel6 2 3 9 5 2 4" xfId="42030"/>
    <cellStyle name="Table  - Opmaakprofiel6 2 3 9 5 2 5" xfId="55989"/>
    <cellStyle name="Table  - Opmaakprofiel6 2 3 9 5 3" xfId="17229"/>
    <cellStyle name="Table  - Opmaakprofiel6 2 3 9 5 4" xfId="29281"/>
    <cellStyle name="Table  - Opmaakprofiel6 2 3 9 5 5" xfId="38393"/>
    <cellStyle name="Table  - Opmaakprofiel6 2 3 9 5 6" xfId="50215"/>
    <cellStyle name="Table  - Opmaakprofiel6 2 3 9 6" xfId="6112"/>
    <cellStyle name="Table  - Opmaakprofiel6 2 3 9 6 2" xfId="11025"/>
    <cellStyle name="Table  - Opmaakprofiel6 2 3 9 6 2 2" xfId="23323"/>
    <cellStyle name="Table  - Opmaakprofiel6 2 3 9 6 2 3" xfId="35375"/>
    <cellStyle name="Table  - Opmaakprofiel6 2 3 9 6 2 4" xfId="32017"/>
    <cellStyle name="Table  - Opmaakprofiel6 2 3 9 6 2 5" xfId="55990"/>
    <cellStyle name="Table  - Opmaakprofiel6 2 3 9 6 3" xfId="17230"/>
    <cellStyle name="Table  - Opmaakprofiel6 2 3 9 6 4" xfId="29282"/>
    <cellStyle name="Table  - Opmaakprofiel6 2 3 9 6 5" xfId="44558"/>
    <cellStyle name="Table  - Opmaakprofiel6 2 3 9 6 6" xfId="50216"/>
    <cellStyle name="Table  - Opmaakprofiel6 2 3 9 7" xfId="6113"/>
    <cellStyle name="Table  - Opmaakprofiel6 2 3 9 7 2" xfId="17231"/>
    <cellStyle name="Table  - Opmaakprofiel6 2 3 9 7 3" xfId="29283"/>
    <cellStyle name="Table  - Opmaakprofiel6 2 3 9 7 4" xfId="38392"/>
    <cellStyle name="Table  - Opmaakprofiel6 2 3 9 7 5" xfId="50217"/>
    <cellStyle name="Table  - Opmaakprofiel6 2 3 9 8" xfId="7010"/>
    <cellStyle name="Table  - Opmaakprofiel6 2 3 9 8 2" xfId="19308"/>
    <cellStyle name="Table  - Opmaakprofiel6 2 3 9 8 3" xfId="41111"/>
    <cellStyle name="Table  - Opmaakprofiel6 2 3 9 8 4" xfId="37028"/>
    <cellStyle name="Table  - Opmaakprofiel6 2 3 9 8 5" xfId="51981"/>
    <cellStyle name="Table  - Opmaakprofiel6 2 3 9 9" xfId="17225"/>
    <cellStyle name="Table  - Opmaakprofiel6 2 30" xfId="582"/>
    <cellStyle name="Table  - Opmaakprofiel6 2 30 2" xfId="2000"/>
    <cellStyle name="Table  - Opmaakprofiel6 2 30 2 2" xfId="11026"/>
    <cellStyle name="Table  - Opmaakprofiel6 2 30 2 2 2" xfId="23324"/>
    <cellStyle name="Table  - Opmaakprofiel6 2 30 2 2 3" xfId="35376"/>
    <cellStyle name="Table  - Opmaakprofiel6 2 30 2 2 4" xfId="30487"/>
    <cellStyle name="Table  - Opmaakprofiel6 2 30 2 2 5" xfId="55991"/>
    <cellStyle name="Table  - Opmaakprofiel6 2 30 2 3" xfId="17233"/>
    <cellStyle name="Table  - Opmaakprofiel6 2 30 2 4" xfId="29285"/>
    <cellStyle name="Table  - Opmaakprofiel6 2 30 2 5" xfId="38391"/>
    <cellStyle name="Table  - Opmaakprofiel6 2 30 2 6" xfId="50218"/>
    <cellStyle name="Table  - Opmaakprofiel6 2 30 3" xfId="2653"/>
    <cellStyle name="Table  - Opmaakprofiel6 2 30 3 2" xfId="11027"/>
    <cellStyle name="Table  - Opmaakprofiel6 2 30 3 2 2" xfId="23325"/>
    <cellStyle name="Table  - Opmaakprofiel6 2 30 3 2 3" xfId="35377"/>
    <cellStyle name="Table  - Opmaakprofiel6 2 30 3 2 4" xfId="34699"/>
    <cellStyle name="Table  - Opmaakprofiel6 2 30 3 2 5" xfId="55992"/>
    <cellStyle name="Table  - Opmaakprofiel6 2 30 3 3" xfId="17234"/>
    <cellStyle name="Table  - Opmaakprofiel6 2 30 3 4" xfId="29286"/>
    <cellStyle name="Table  - Opmaakprofiel6 2 30 3 5" xfId="44556"/>
    <cellStyle name="Table  - Opmaakprofiel6 2 30 3 6" xfId="50219"/>
    <cellStyle name="Table  - Opmaakprofiel6 2 30 4" xfId="3529"/>
    <cellStyle name="Table  - Opmaakprofiel6 2 30 4 2" xfId="11028"/>
    <cellStyle name="Table  - Opmaakprofiel6 2 30 4 2 2" xfId="23326"/>
    <cellStyle name="Table  - Opmaakprofiel6 2 30 4 2 3" xfId="35378"/>
    <cellStyle name="Table  - Opmaakprofiel6 2 30 4 2 4" xfId="42029"/>
    <cellStyle name="Table  - Opmaakprofiel6 2 30 4 2 5" xfId="55993"/>
    <cellStyle name="Table  - Opmaakprofiel6 2 30 4 3" xfId="17235"/>
    <cellStyle name="Table  - Opmaakprofiel6 2 30 4 4" xfId="29287"/>
    <cellStyle name="Table  - Opmaakprofiel6 2 30 4 5" xfId="38390"/>
    <cellStyle name="Table  - Opmaakprofiel6 2 30 4 6" xfId="50220"/>
    <cellStyle name="Table  - Opmaakprofiel6 2 30 5" xfId="6114"/>
    <cellStyle name="Table  - Opmaakprofiel6 2 30 5 2" xfId="11029"/>
    <cellStyle name="Table  - Opmaakprofiel6 2 30 5 2 2" xfId="23327"/>
    <cellStyle name="Table  - Opmaakprofiel6 2 30 5 2 3" xfId="35379"/>
    <cellStyle name="Table  - Opmaakprofiel6 2 30 5 2 4" xfId="30494"/>
    <cellStyle name="Table  - Opmaakprofiel6 2 30 5 2 5" xfId="55994"/>
    <cellStyle name="Table  - Opmaakprofiel6 2 30 5 3" xfId="17236"/>
    <cellStyle name="Table  - Opmaakprofiel6 2 30 5 4" xfId="29288"/>
    <cellStyle name="Table  - Opmaakprofiel6 2 30 5 5" xfId="38389"/>
    <cellStyle name="Table  - Opmaakprofiel6 2 30 5 6" xfId="50221"/>
    <cellStyle name="Table  - Opmaakprofiel6 2 30 6" xfId="6115"/>
    <cellStyle name="Table  - Opmaakprofiel6 2 30 6 2" xfId="11030"/>
    <cellStyle name="Table  - Opmaakprofiel6 2 30 6 2 2" xfId="23328"/>
    <cellStyle name="Table  - Opmaakprofiel6 2 30 6 2 3" xfId="35380"/>
    <cellStyle name="Table  - Opmaakprofiel6 2 30 6 2 4" xfId="42028"/>
    <cellStyle name="Table  - Opmaakprofiel6 2 30 6 2 5" xfId="55995"/>
    <cellStyle name="Table  - Opmaakprofiel6 2 30 6 3" xfId="17237"/>
    <cellStyle name="Table  - Opmaakprofiel6 2 30 6 4" xfId="29289"/>
    <cellStyle name="Table  - Opmaakprofiel6 2 30 6 5" xfId="44555"/>
    <cellStyle name="Table  - Opmaakprofiel6 2 30 6 6" xfId="50222"/>
    <cellStyle name="Table  - Opmaakprofiel6 2 30 7" xfId="6116"/>
    <cellStyle name="Table  - Opmaakprofiel6 2 30 7 2" xfId="17238"/>
    <cellStyle name="Table  - Opmaakprofiel6 2 30 7 3" xfId="29290"/>
    <cellStyle name="Table  - Opmaakprofiel6 2 30 7 4" xfId="38388"/>
    <cellStyle name="Table  - Opmaakprofiel6 2 30 7 5" xfId="50223"/>
    <cellStyle name="Table  - Opmaakprofiel6 2 30 8" xfId="7594"/>
    <cellStyle name="Table  - Opmaakprofiel6 2 30 8 2" xfId="19892"/>
    <cellStyle name="Table  - Opmaakprofiel6 2 30 8 3" xfId="41695"/>
    <cellStyle name="Table  - Opmaakprofiel6 2 30 8 4" xfId="24877"/>
    <cellStyle name="Table  - Opmaakprofiel6 2 30 8 5" xfId="52564"/>
    <cellStyle name="Table  - Opmaakprofiel6 2 30 9" xfId="17232"/>
    <cellStyle name="Table  - Opmaakprofiel6 2 31" xfId="1257"/>
    <cellStyle name="Table  - Opmaakprofiel6 2 31 2" xfId="2379"/>
    <cellStyle name="Table  - Opmaakprofiel6 2 31 2 2" xfId="11031"/>
    <cellStyle name="Table  - Opmaakprofiel6 2 31 2 2 2" xfId="23329"/>
    <cellStyle name="Table  - Opmaakprofiel6 2 31 2 2 3" xfId="35381"/>
    <cellStyle name="Table  - Opmaakprofiel6 2 31 2 2 4" xfId="34463"/>
    <cellStyle name="Table  - Opmaakprofiel6 2 31 2 2 5" xfId="55996"/>
    <cellStyle name="Table  - Opmaakprofiel6 2 31 2 3" xfId="17240"/>
    <cellStyle name="Table  - Opmaakprofiel6 2 31 2 4" xfId="29292"/>
    <cellStyle name="Table  - Opmaakprofiel6 2 31 2 5" xfId="38387"/>
    <cellStyle name="Table  - Opmaakprofiel6 2 31 2 6" xfId="50224"/>
    <cellStyle name="Table  - Opmaakprofiel6 2 31 3" xfId="3268"/>
    <cellStyle name="Table  - Opmaakprofiel6 2 31 3 2" xfId="11032"/>
    <cellStyle name="Table  - Opmaakprofiel6 2 31 3 2 2" xfId="23330"/>
    <cellStyle name="Table  - Opmaakprofiel6 2 31 3 2 3" xfId="35382"/>
    <cellStyle name="Table  - Opmaakprofiel6 2 31 3 2 4" xfId="42027"/>
    <cellStyle name="Table  - Opmaakprofiel6 2 31 3 2 5" xfId="55997"/>
    <cellStyle name="Table  - Opmaakprofiel6 2 31 3 3" xfId="17241"/>
    <cellStyle name="Table  - Opmaakprofiel6 2 31 3 4" xfId="29293"/>
    <cellStyle name="Table  - Opmaakprofiel6 2 31 3 5" xfId="44553"/>
    <cellStyle name="Table  - Opmaakprofiel6 2 31 3 6" xfId="50225"/>
    <cellStyle name="Table  - Opmaakprofiel6 2 31 4" xfId="4077"/>
    <cellStyle name="Table  - Opmaakprofiel6 2 31 4 2" xfId="11033"/>
    <cellStyle name="Table  - Opmaakprofiel6 2 31 4 2 2" xfId="23331"/>
    <cellStyle name="Table  - Opmaakprofiel6 2 31 4 2 3" xfId="35383"/>
    <cellStyle name="Table  - Opmaakprofiel6 2 31 4 2 4" xfId="30501"/>
    <cellStyle name="Table  - Opmaakprofiel6 2 31 4 2 5" xfId="55998"/>
    <cellStyle name="Table  - Opmaakprofiel6 2 31 4 3" xfId="17242"/>
    <cellStyle name="Table  - Opmaakprofiel6 2 31 4 4" xfId="29294"/>
    <cellStyle name="Table  - Opmaakprofiel6 2 31 4 5" xfId="38386"/>
    <cellStyle name="Table  - Opmaakprofiel6 2 31 4 6" xfId="50226"/>
    <cellStyle name="Table  - Opmaakprofiel6 2 31 5" xfId="6117"/>
    <cellStyle name="Table  - Opmaakprofiel6 2 31 5 2" xfId="11034"/>
    <cellStyle name="Table  - Opmaakprofiel6 2 31 5 2 2" xfId="23332"/>
    <cellStyle name="Table  - Opmaakprofiel6 2 31 5 2 3" xfId="35384"/>
    <cellStyle name="Table  - Opmaakprofiel6 2 31 5 2 4" xfId="42026"/>
    <cellStyle name="Table  - Opmaakprofiel6 2 31 5 2 5" xfId="55999"/>
    <cellStyle name="Table  - Opmaakprofiel6 2 31 5 3" xfId="17243"/>
    <cellStyle name="Table  - Opmaakprofiel6 2 31 5 4" xfId="29295"/>
    <cellStyle name="Table  - Opmaakprofiel6 2 31 5 5" xfId="44552"/>
    <cellStyle name="Table  - Opmaakprofiel6 2 31 5 6" xfId="50227"/>
    <cellStyle name="Table  - Opmaakprofiel6 2 31 6" xfId="6118"/>
    <cellStyle name="Table  - Opmaakprofiel6 2 31 6 2" xfId="11035"/>
    <cellStyle name="Table  - Opmaakprofiel6 2 31 6 2 2" xfId="23333"/>
    <cellStyle name="Table  - Opmaakprofiel6 2 31 6 2 3" xfId="35385"/>
    <cellStyle name="Table  - Opmaakprofiel6 2 31 6 2 4" xfId="31708"/>
    <cellStyle name="Table  - Opmaakprofiel6 2 31 6 2 5" xfId="56000"/>
    <cellStyle name="Table  - Opmaakprofiel6 2 31 6 3" xfId="17244"/>
    <cellStyle name="Table  - Opmaakprofiel6 2 31 6 4" xfId="29296"/>
    <cellStyle name="Table  - Opmaakprofiel6 2 31 6 5" xfId="38385"/>
    <cellStyle name="Table  - Opmaakprofiel6 2 31 6 6" xfId="50228"/>
    <cellStyle name="Table  - Opmaakprofiel6 2 31 7" xfId="6119"/>
    <cellStyle name="Table  - Opmaakprofiel6 2 31 7 2" xfId="17245"/>
    <cellStyle name="Table  - Opmaakprofiel6 2 31 7 3" xfId="29297"/>
    <cellStyle name="Table  - Opmaakprofiel6 2 31 7 4" xfId="44551"/>
    <cellStyle name="Table  - Opmaakprofiel6 2 31 7 5" xfId="50229"/>
    <cellStyle name="Table  - Opmaakprofiel6 2 31 8" xfId="7118"/>
    <cellStyle name="Table  - Opmaakprofiel6 2 31 8 2" xfId="19416"/>
    <cellStyle name="Table  - Opmaakprofiel6 2 31 8 3" xfId="41219"/>
    <cellStyle name="Table  - Opmaakprofiel6 2 31 8 4" xfId="36965"/>
    <cellStyle name="Table  - Opmaakprofiel6 2 31 8 5" xfId="52089"/>
    <cellStyle name="Table  - Opmaakprofiel6 2 31 9" xfId="17239"/>
    <cellStyle name="Table  - Opmaakprofiel6 2 32" xfId="671"/>
    <cellStyle name="Table  - Opmaakprofiel6 2 32 2" xfId="2193"/>
    <cellStyle name="Table  - Opmaakprofiel6 2 32 2 2" xfId="11036"/>
    <cellStyle name="Table  - Opmaakprofiel6 2 32 2 2 2" xfId="23334"/>
    <cellStyle name="Table  - Opmaakprofiel6 2 32 2 2 3" xfId="35386"/>
    <cellStyle name="Table  - Opmaakprofiel6 2 32 2 2 4" xfId="42025"/>
    <cellStyle name="Table  - Opmaakprofiel6 2 32 2 2 5" xfId="56001"/>
    <cellStyle name="Table  - Opmaakprofiel6 2 32 2 3" xfId="17247"/>
    <cellStyle name="Table  - Opmaakprofiel6 2 32 2 4" xfId="29299"/>
    <cellStyle name="Table  - Opmaakprofiel6 2 32 2 5" xfId="38384"/>
    <cellStyle name="Table  - Opmaakprofiel6 2 32 2 6" xfId="50230"/>
    <cellStyle name="Table  - Opmaakprofiel6 2 32 3" xfId="2737"/>
    <cellStyle name="Table  - Opmaakprofiel6 2 32 3 2" xfId="11037"/>
    <cellStyle name="Table  - Opmaakprofiel6 2 32 3 2 2" xfId="23335"/>
    <cellStyle name="Table  - Opmaakprofiel6 2 32 3 2 3" xfId="35387"/>
    <cellStyle name="Table  - Opmaakprofiel6 2 32 3 2 4" xfId="30508"/>
    <cellStyle name="Table  - Opmaakprofiel6 2 32 3 2 5" xfId="56002"/>
    <cellStyle name="Table  - Opmaakprofiel6 2 32 3 3" xfId="17248"/>
    <cellStyle name="Table  - Opmaakprofiel6 2 32 3 4" xfId="29300"/>
    <cellStyle name="Table  - Opmaakprofiel6 2 32 3 5" xfId="38383"/>
    <cellStyle name="Table  - Opmaakprofiel6 2 32 3 6" xfId="50231"/>
    <cellStyle name="Table  - Opmaakprofiel6 2 32 4" xfId="3604"/>
    <cellStyle name="Table  - Opmaakprofiel6 2 32 4 2" xfId="11038"/>
    <cellStyle name="Table  - Opmaakprofiel6 2 32 4 2 2" xfId="23336"/>
    <cellStyle name="Table  - Opmaakprofiel6 2 32 4 2 3" xfId="35388"/>
    <cellStyle name="Table  - Opmaakprofiel6 2 32 4 2 4" xfId="34612"/>
    <cellStyle name="Table  - Opmaakprofiel6 2 32 4 2 5" xfId="56003"/>
    <cellStyle name="Table  - Opmaakprofiel6 2 32 4 3" xfId="17249"/>
    <cellStyle name="Table  - Opmaakprofiel6 2 32 4 4" xfId="29301"/>
    <cellStyle name="Table  - Opmaakprofiel6 2 32 4 5" xfId="44550"/>
    <cellStyle name="Table  - Opmaakprofiel6 2 32 4 6" xfId="50232"/>
    <cellStyle name="Table  - Opmaakprofiel6 2 32 5" xfId="6120"/>
    <cellStyle name="Table  - Opmaakprofiel6 2 32 5 2" xfId="11039"/>
    <cellStyle name="Table  - Opmaakprofiel6 2 32 5 2 2" xfId="23337"/>
    <cellStyle name="Table  - Opmaakprofiel6 2 32 5 2 3" xfId="35389"/>
    <cellStyle name="Table  - Opmaakprofiel6 2 32 5 2 4" xfId="30515"/>
    <cellStyle name="Table  - Opmaakprofiel6 2 32 5 2 5" xfId="56004"/>
    <cellStyle name="Table  - Opmaakprofiel6 2 32 5 3" xfId="17250"/>
    <cellStyle name="Table  - Opmaakprofiel6 2 32 5 4" xfId="29302"/>
    <cellStyle name="Table  - Opmaakprofiel6 2 32 5 5" xfId="38382"/>
    <cellStyle name="Table  - Opmaakprofiel6 2 32 5 6" xfId="50233"/>
    <cellStyle name="Table  - Opmaakprofiel6 2 32 6" xfId="6121"/>
    <cellStyle name="Table  - Opmaakprofiel6 2 32 6 2" xfId="11040"/>
    <cellStyle name="Table  - Opmaakprofiel6 2 32 6 2 2" xfId="23338"/>
    <cellStyle name="Table  - Opmaakprofiel6 2 32 6 2 3" xfId="35390"/>
    <cellStyle name="Table  - Opmaakprofiel6 2 32 6 2 4" xfId="42024"/>
    <cellStyle name="Table  - Opmaakprofiel6 2 32 6 2 5" xfId="56005"/>
    <cellStyle name="Table  - Opmaakprofiel6 2 32 6 3" xfId="17251"/>
    <cellStyle name="Table  - Opmaakprofiel6 2 32 6 4" xfId="29303"/>
    <cellStyle name="Table  - Opmaakprofiel6 2 32 6 5" xfId="44549"/>
    <cellStyle name="Table  - Opmaakprofiel6 2 32 6 6" xfId="50234"/>
    <cellStyle name="Table  - Opmaakprofiel6 2 32 7" xfId="6122"/>
    <cellStyle name="Table  - Opmaakprofiel6 2 32 7 2" xfId="17252"/>
    <cellStyle name="Table  - Opmaakprofiel6 2 32 7 3" xfId="29304"/>
    <cellStyle name="Table  - Opmaakprofiel6 2 32 7 4" xfId="38381"/>
    <cellStyle name="Table  - Opmaakprofiel6 2 32 7 5" xfId="50235"/>
    <cellStyle name="Table  - Opmaakprofiel6 2 32 8" xfId="7535"/>
    <cellStyle name="Table  - Opmaakprofiel6 2 32 8 2" xfId="19833"/>
    <cellStyle name="Table  - Opmaakprofiel6 2 32 8 3" xfId="41636"/>
    <cellStyle name="Table  - Opmaakprofiel6 2 32 8 4" xfId="12498"/>
    <cellStyle name="Table  - Opmaakprofiel6 2 32 8 5" xfId="52505"/>
    <cellStyle name="Table  - Opmaakprofiel6 2 32 9" xfId="17246"/>
    <cellStyle name="Table  - Opmaakprofiel6 2 33" xfId="1355"/>
    <cellStyle name="Table  - Opmaakprofiel6 2 33 2" xfId="1414"/>
    <cellStyle name="Table  - Opmaakprofiel6 2 33 2 2" xfId="11041"/>
    <cellStyle name="Table  - Opmaakprofiel6 2 33 2 2 2" xfId="23339"/>
    <cellStyle name="Table  - Opmaakprofiel6 2 33 2 2 3" xfId="35391"/>
    <cellStyle name="Table  - Opmaakprofiel6 2 33 2 2 4" xfId="31418"/>
    <cellStyle name="Table  - Opmaakprofiel6 2 33 2 2 5" xfId="56006"/>
    <cellStyle name="Table  - Opmaakprofiel6 2 33 2 3" xfId="17254"/>
    <cellStyle name="Table  - Opmaakprofiel6 2 33 2 4" xfId="29306"/>
    <cellStyle name="Table  - Opmaakprofiel6 2 33 2 5" xfId="38380"/>
    <cellStyle name="Table  - Opmaakprofiel6 2 33 2 6" xfId="50236"/>
    <cellStyle name="Table  - Opmaakprofiel6 2 33 3" xfId="3366"/>
    <cellStyle name="Table  - Opmaakprofiel6 2 33 3 2" xfId="11042"/>
    <cellStyle name="Table  - Opmaakprofiel6 2 33 3 2 2" xfId="23340"/>
    <cellStyle name="Table  - Opmaakprofiel6 2 33 3 2 3" xfId="35392"/>
    <cellStyle name="Table  - Opmaakprofiel6 2 33 3 2 4" xfId="42023"/>
    <cellStyle name="Table  - Opmaakprofiel6 2 33 3 2 5" xfId="56007"/>
    <cellStyle name="Table  - Opmaakprofiel6 2 33 3 3" xfId="17255"/>
    <cellStyle name="Table  - Opmaakprofiel6 2 33 3 4" xfId="29307"/>
    <cellStyle name="Table  - Opmaakprofiel6 2 33 3 5" xfId="44547"/>
    <cellStyle name="Table  - Opmaakprofiel6 2 33 3 6" xfId="50237"/>
    <cellStyle name="Table  - Opmaakprofiel6 2 33 4" xfId="4127"/>
    <cellStyle name="Table  - Opmaakprofiel6 2 33 4 2" xfId="11043"/>
    <cellStyle name="Table  - Opmaakprofiel6 2 33 4 2 2" xfId="23341"/>
    <cellStyle name="Table  - Opmaakprofiel6 2 33 4 2 3" xfId="35393"/>
    <cellStyle name="Table  - Opmaakprofiel6 2 33 4 2 4" xfId="30522"/>
    <cellStyle name="Table  - Opmaakprofiel6 2 33 4 2 5" xfId="56008"/>
    <cellStyle name="Table  - Opmaakprofiel6 2 33 4 3" xfId="17256"/>
    <cellStyle name="Table  - Opmaakprofiel6 2 33 4 4" xfId="29308"/>
    <cellStyle name="Table  - Opmaakprofiel6 2 33 4 5" xfId="38379"/>
    <cellStyle name="Table  - Opmaakprofiel6 2 33 4 6" xfId="50238"/>
    <cellStyle name="Table  - Opmaakprofiel6 2 33 5" xfId="6123"/>
    <cellStyle name="Table  - Opmaakprofiel6 2 33 5 2" xfId="11044"/>
    <cellStyle name="Table  - Opmaakprofiel6 2 33 5 2 2" xfId="23342"/>
    <cellStyle name="Table  - Opmaakprofiel6 2 33 5 2 3" xfId="35394"/>
    <cellStyle name="Table  - Opmaakprofiel6 2 33 5 2 4" xfId="42022"/>
    <cellStyle name="Table  - Opmaakprofiel6 2 33 5 2 5" xfId="56009"/>
    <cellStyle name="Table  - Opmaakprofiel6 2 33 5 3" xfId="17257"/>
    <cellStyle name="Table  - Opmaakprofiel6 2 33 5 4" xfId="29309"/>
    <cellStyle name="Table  - Opmaakprofiel6 2 33 5 5" xfId="44546"/>
    <cellStyle name="Table  - Opmaakprofiel6 2 33 5 6" xfId="50239"/>
    <cellStyle name="Table  - Opmaakprofiel6 2 33 6" xfId="6124"/>
    <cellStyle name="Table  - Opmaakprofiel6 2 33 6 2" xfId="11045"/>
    <cellStyle name="Table  - Opmaakprofiel6 2 33 6 2 2" xfId="23343"/>
    <cellStyle name="Table  - Opmaakprofiel6 2 33 6 2 3" xfId="35395"/>
    <cellStyle name="Table  - Opmaakprofiel6 2 33 6 2 4" xfId="31868"/>
    <cellStyle name="Table  - Opmaakprofiel6 2 33 6 2 5" xfId="56010"/>
    <cellStyle name="Table  - Opmaakprofiel6 2 33 6 3" xfId="17258"/>
    <cellStyle name="Table  - Opmaakprofiel6 2 33 6 4" xfId="29310"/>
    <cellStyle name="Table  - Opmaakprofiel6 2 33 6 5" xfId="38378"/>
    <cellStyle name="Table  - Opmaakprofiel6 2 33 6 6" xfId="50240"/>
    <cellStyle name="Table  - Opmaakprofiel6 2 33 7" xfId="6125"/>
    <cellStyle name="Table  - Opmaakprofiel6 2 33 7 2" xfId="17259"/>
    <cellStyle name="Table  - Opmaakprofiel6 2 33 7 3" xfId="29311"/>
    <cellStyle name="Table  - Opmaakprofiel6 2 33 7 4" xfId="38377"/>
    <cellStyle name="Table  - Opmaakprofiel6 2 33 7 5" xfId="50241"/>
    <cellStyle name="Table  - Opmaakprofiel6 2 33 8" xfId="7028"/>
    <cellStyle name="Table  - Opmaakprofiel6 2 33 8 2" xfId="19326"/>
    <cellStyle name="Table  - Opmaakprofiel6 2 33 8 3" xfId="41129"/>
    <cellStyle name="Table  - Opmaakprofiel6 2 33 8 4" xfId="37018"/>
    <cellStyle name="Table  - Opmaakprofiel6 2 33 8 5" xfId="51999"/>
    <cellStyle name="Table  - Opmaakprofiel6 2 33 9" xfId="17253"/>
    <cellStyle name="Table  - Opmaakprofiel6 2 34" xfId="1357"/>
    <cellStyle name="Table  - Opmaakprofiel6 2 34 2" xfId="1412"/>
    <cellStyle name="Table  - Opmaakprofiel6 2 34 2 2" xfId="11046"/>
    <cellStyle name="Table  - Opmaakprofiel6 2 34 2 2 2" xfId="23344"/>
    <cellStyle name="Table  - Opmaakprofiel6 2 34 2 2 3" xfId="35396"/>
    <cellStyle name="Table  - Opmaakprofiel6 2 34 2 2 4" xfId="42021"/>
    <cellStyle name="Table  - Opmaakprofiel6 2 34 2 2 5" xfId="56011"/>
    <cellStyle name="Table  - Opmaakprofiel6 2 34 2 3" xfId="17261"/>
    <cellStyle name="Table  - Opmaakprofiel6 2 34 2 4" xfId="29313"/>
    <cellStyle name="Table  - Opmaakprofiel6 2 34 2 5" xfId="44545"/>
    <cellStyle name="Table  - Opmaakprofiel6 2 34 2 6" xfId="50242"/>
    <cellStyle name="Table  - Opmaakprofiel6 2 34 3" xfId="3368"/>
    <cellStyle name="Table  - Opmaakprofiel6 2 34 3 2" xfId="11047"/>
    <cellStyle name="Table  - Opmaakprofiel6 2 34 3 2 2" xfId="23345"/>
    <cellStyle name="Table  - Opmaakprofiel6 2 34 3 2 3" xfId="35397"/>
    <cellStyle name="Table  - Opmaakprofiel6 2 34 3 2 4" xfId="30526"/>
    <cellStyle name="Table  - Opmaakprofiel6 2 34 3 2 5" xfId="56012"/>
    <cellStyle name="Table  - Opmaakprofiel6 2 34 3 3" xfId="17262"/>
    <cellStyle name="Table  - Opmaakprofiel6 2 34 3 4" xfId="29314"/>
    <cellStyle name="Table  - Opmaakprofiel6 2 34 3 5" xfId="38375"/>
    <cellStyle name="Table  - Opmaakprofiel6 2 34 3 6" xfId="50243"/>
    <cellStyle name="Table  - Opmaakprofiel6 2 34 4" xfId="4129"/>
    <cellStyle name="Table  - Opmaakprofiel6 2 34 4 2" xfId="11048"/>
    <cellStyle name="Table  - Opmaakprofiel6 2 34 4 2 2" xfId="23346"/>
    <cellStyle name="Table  - Opmaakprofiel6 2 34 4 2 3" xfId="35398"/>
    <cellStyle name="Table  - Opmaakprofiel6 2 34 4 2 4" xfId="42020"/>
    <cellStyle name="Table  - Opmaakprofiel6 2 34 4 2 5" xfId="56013"/>
    <cellStyle name="Table  - Opmaakprofiel6 2 34 4 3" xfId="17263"/>
    <cellStyle name="Table  - Opmaakprofiel6 2 34 4 4" xfId="29315"/>
    <cellStyle name="Table  - Opmaakprofiel6 2 34 4 5" xfId="44544"/>
    <cellStyle name="Table  - Opmaakprofiel6 2 34 4 6" xfId="50244"/>
    <cellStyle name="Table  - Opmaakprofiel6 2 34 5" xfId="6126"/>
    <cellStyle name="Table  - Opmaakprofiel6 2 34 5 2" xfId="11049"/>
    <cellStyle name="Table  - Opmaakprofiel6 2 34 5 2 2" xfId="23347"/>
    <cellStyle name="Table  - Opmaakprofiel6 2 34 5 2 3" xfId="35399"/>
    <cellStyle name="Table  - Opmaakprofiel6 2 34 5 2 4" xfId="31750"/>
    <cellStyle name="Table  - Opmaakprofiel6 2 34 5 2 5" xfId="56014"/>
    <cellStyle name="Table  - Opmaakprofiel6 2 34 5 3" xfId="17264"/>
    <cellStyle name="Table  - Opmaakprofiel6 2 34 5 4" xfId="29316"/>
    <cellStyle name="Table  - Opmaakprofiel6 2 34 5 5" xfId="38374"/>
    <cellStyle name="Table  - Opmaakprofiel6 2 34 5 6" xfId="50245"/>
    <cellStyle name="Table  - Opmaakprofiel6 2 34 6" xfId="6127"/>
    <cellStyle name="Table  - Opmaakprofiel6 2 34 6 2" xfId="11050"/>
    <cellStyle name="Table  - Opmaakprofiel6 2 34 6 2 2" xfId="23348"/>
    <cellStyle name="Table  - Opmaakprofiel6 2 34 6 2 3" xfId="35400"/>
    <cellStyle name="Table  - Opmaakprofiel6 2 34 6 2 4" xfId="30533"/>
    <cellStyle name="Table  - Opmaakprofiel6 2 34 6 2 5" xfId="56015"/>
    <cellStyle name="Table  - Opmaakprofiel6 2 34 6 3" xfId="17265"/>
    <cellStyle name="Table  - Opmaakprofiel6 2 34 6 4" xfId="29317"/>
    <cellStyle name="Table  - Opmaakprofiel6 2 34 6 5" xfId="44543"/>
    <cellStyle name="Table  - Opmaakprofiel6 2 34 6 6" xfId="50246"/>
    <cellStyle name="Table  - Opmaakprofiel6 2 34 7" xfId="6128"/>
    <cellStyle name="Table  - Opmaakprofiel6 2 34 7 2" xfId="17266"/>
    <cellStyle name="Table  - Opmaakprofiel6 2 34 7 3" xfId="29318"/>
    <cellStyle name="Table  - Opmaakprofiel6 2 34 7 4" xfId="38373"/>
    <cellStyle name="Table  - Opmaakprofiel6 2 34 7 5" xfId="50247"/>
    <cellStyle name="Table  - Opmaakprofiel6 2 34 8" xfId="9831"/>
    <cellStyle name="Table  - Opmaakprofiel6 2 34 8 2" xfId="22129"/>
    <cellStyle name="Table  - Opmaakprofiel6 2 34 8 3" xfId="43897"/>
    <cellStyle name="Table  - Opmaakprofiel6 2 34 8 4" xfId="31819"/>
    <cellStyle name="Table  - Opmaakprofiel6 2 34 8 5" xfId="54796"/>
    <cellStyle name="Table  - Opmaakprofiel6 2 34 9" xfId="17260"/>
    <cellStyle name="Table  - Opmaakprofiel6 2 35" xfId="1389"/>
    <cellStyle name="Table  - Opmaakprofiel6 2 35 2" xfId="166"/>
    <cellStyle name="Table  - Opmaakprofiel6 2 35 2 2" xfId="11051"/>
    <cellStyle name="Table  - Opmaakprofiel6 2 35 2 2 2" xfId="23349"/>
    <cellStyle name="Table  - Opmaakprofiel6 2 35 2 2 3" xfId="35401"/>
    <cellStyle name="Table  - Opmaakprofiel6 2 35 2 2 4" xfId="34668"/>
    <cellStyle name="Table  - Opmaakprofiel6 2 35 2 2 5" xfId="56016"/>
    <cellStyle name="Table  - Opmaakprofiel6 2 35 2 3" xfId="17268"/>
    <cellStyle name="Table  - Opmaakprofiel6 2 35 2 4" xfId="29320"/>
    <cellStyle name="Table  - Opmaakprofiel6 2 35 2 5" xfId="38372"/>
    <cellStyle name="Table  - Opmaakprofiel6 2 35 2 6" xfId="50248"/>
    <cellStyle name="Table  - Opmaakprofiel6 2 35 3" xfId="3400"/>
    <cellStyle name="Table  - Opmaakprofiel6 2 35 3 2" xfId="11052"/>
    <cellStyle name="Table  - Opmaakprofiel6 2 35 3 2 2" xfId="23350"/>
    <cellStyle name="Table  - Opmaakprofiel6 2 35 3 2 3" xfId="35402"/>
    <cellStyle name="Table  - Opmaakprofiel6 2 35 3 2 4" xfId="42019"/>
    <cellStyle name="Table  - Opmaakprofiel6 2 35 3 2 5" xfId="56017"/>
    <cellStyle name="Table  - Opmaakprofiel6 2 35 3 3" xfId="17269"/>
    <cellStyle name="Table  - Opmaakprofiel6 2 35 3 4" xfId="29321"/>
    <cellStyle name="Table  - Opmaakprofiel6 2 35 3 5" xfId="44541"/>
    <cellStyle name="Table  - Opmaakprofiel6 2 35 3 6" xfId="50249"/>
    <cellStyle name="Table  - Opmaakprofiel6 2 35 4" xfId="4161"/>
    <cellStyle name="Table  - Opmaakprofiel6 2 35 4 2" xfId="11053"/>
    <cellStyle name="Table  - Opmaakprofiel6 2 35 4 2 2" xfId="23351"/>
    <cellStyle name="Table  - Opmaakprofiel6 2 35 4 2 3" xfId="35403"/>
    <cellStyle name="Table  - Opmaakprofiel6 2 35 4 2 4" xfId="30540"/>
    <cellStyle name="Table  - Opmaakprofiel6 2 35 4 2 5" xfId="56018"/>
    <cellStyle name="Table  - Opmaakprofiel6 2 35 4 3" xfId="17270"/>
    <cellStyle name="Table  - Opmaakprofiel6 2 35 4 4" xfId="29322"/>
    <cellStyle name="Table  - Opmaakprofiel6 2 35 4 5" xfId="38371"/>
    <cellStyle name="Table  - Opmaakprofiel6 2 35 4 6" xfId="50250"/>
    <cellStyle name="Table  - Opmaakprofiel6 2 35 5" xfId="6129"/>
    <cellStyle name="Table  - Opmaakprofiel6 2 35 5 2" xfId="11054"/>
    <cellStyle name="Table  - Opmaakprofiel6 2 35 5 2 2" xfId="23352"/>
    <cellStyle name="Table  - Opmaakprofiel6 2 35 5 2 3" xfId="35404"/>
    <cellStyle name="Table  - Opmaakprofiel6 2 35 5 2 4" xfId="42018"/>
    <cellStyle name="Table  - Opmaakprofiel6 2 35 5 2 5" xfId="56019"/>
    <cellStyle name="Table  - Opmaakprofiel6 2 35 5 3" xfId="17271"/>
    <cellStyle name="Table  - Opmaakprofiel6 2 35 5 4" xfId="29323"/>
    <cellStyle name="Table  - Opmaakprofiel6 2 35 5 5" xfId="38370"/>
    <cellStyle name="Table  - Opmaakprofiel6 2 35 5 6" xfId="50251"/>
    <cellStyle name="Table  - Opmaakprofiel6 2 35 6" xfId="6130"/>
    <cellStyle name="Table  - Opmaakprofiel6 2 35 6 2" xfId="11055"/>
    <cellStyle name="Table  - Opmaakprofiel6 2 35 6 2 2" xfId="23353"/>
    <cellStyle name="Table  - Opmaakprofiel6 2 35 6 2 3" xfId="35405"/>
    <cellStyle name="Table  - Opmaakprofiel6 2 35 6 2 4" xfId="31664"/>
    <cellStyle name="Table  - Opmaakprofiel6 2 35 6 2 5" xfId="56020"/>
    <cellStyle name="Table  - Opmaakprofiel6 2 35 6 3" xfId="17272"/>
    <cellStyle name="Table  - Opmaakprofiel6 2 35 6 4" xfId="29324"/>
    <cellStyle name="Table  - Opmaakprofiel6 2 35 6 5" xfId="38369"/>
    <cellStyle name="Table  - Opmaakprofiel6 2 35 6 6" xfId="50252"/>
    <cellStyle name="Table  - Opmaakprofiel6 2 35 7" xfId="6131"/>
    <cellStyle name="Table  - Opmaakprofiel6 2 35 7 2" xfId="17273"/>
    <cellStyle name="Table  - Opmaakprofiel6 2 35 7 3" xfId="29325"/>
    <cellStyle name="Table  - Opmaakprofiel6 2 35 7 4" xfId="44540"/>
    <cellStyle name="Table  - Opmaakprofiel6 2 35 7 5" xfId="50253"/>
    <cellStyle name="Table  - Opmaakprofiel6 2 35 8" xfId="6999"/>
    <cellStyle name="Table  - Opmaakprofiel6 2 35 8 2" xfId="19297"/>
    <cellStyle name="Table  - Opmaakprofiel6 2 35 8 3" xfId="41100"/>
    <cellStyle name="Table  - Opmaakprofiel6 2 35 8 4" xfId="43692"/>
    <cellStyle name="Table  - Opmaakprofiel6 2 35 8 5" xfId="51970"/>
    <cellStyle name="Table  - Opmaakprofiel6 2 35 9" xfId="17267"/>
    <cellStyle name="Table  - Opmaakprofiel6 2 36" xfId="2018"/>
    <cellStyle name="Table  - Opmaakprofiel6 2 36 2" xfId="11056"/>
    <cellStyle name="Table  - Opmaakprofiel6 2 36 2 2" xfId="23354"/>
    <cellStyle name="Table  - Opmaakprofiel6 2 36 2 3" xfId="35406"/>
    <cellStyle name="Table  - Opmaakprofiel6 2 36 2 4" xfId="30547"/>
    <cellStyle name="Table  - Opmaakprofiel6 2 36 2 5" xfId="56021"/>
    <cellStyle name="Table  - Opmaakprofiel6 2 36 3" xfId="17274"/>
    <cellStyle name="Table  - Opmaakprofiel6 2 36 4" xfId="29326"/>
    <cellStyle name="Table  - Opmaakprofiel6 2 36 5" xfId="38368"/>
    <cellStyle name="Table  - Opmaakprofiel6 2 36 6" xfId="50254"/>
    <cellStyle name="Table  - Opmaakprofiel6 2 37" xfId="1485"/>
    <cellStyle name="Table  - Opmaakprofiel6 2 37 2" xfId="11057"/>
    <cellStyle name="Table  - Opmaakprofiel6 2 37 2 2" xfId="23355"/>
    <cellStyle name="Table  - Opmaakprofiel6 2 37 2 3" xfId="35407"/>
    <cellStyle name="Table  - Opmaakprofiel6 2 37 2 4" xfId="42017"/>
    <cellStyle name="Table  - Opmaakprofiel6 2 37 2 5" xfId="56022"/>
    <cellStyle name="Table  - Opmaakprofiel6 2 37 3" xfId="17275"/>
    <cellStyle name="Table  - Opmaakprofiel6 2 37 4" xfId="29327"/>
    <cellStyle name="Table  - Opmaakprofiel6 2 37 5" xfId="44539"/>
    <cellStyle name="Table  - Opmaakprofiel6 2 37 6" xfId="50255"/>
    <cellStyle name="Table  - Opmaakprofiel6 2 38" xfId="2804"/>
    <cellStyle name="Table  - Opmaakprofiel6 2 38 2" xfId="11058"/>
    <cellStyle name="Table  - Opmaakprofiel6 2 38 2 2" xfId="23356"/>
    <cellStyle name="Table  - Opmaakprofiel6 2 38 2 3" xfId="35408"/>
    <cellStyle name="Table  - Opmaakprofiel6 2 38 2 4" xfId="34275"/>
    <cellStyle name="Table  - Opmaakprofiel6 2 38 2 5" xfId="56023"/>
    <cellStyle name="Table  - Opmaakprofiel6 2 38 3" xfId="17276"/>
    <cellStyle name="Table  - Opmaakprofiel6 2 38 4" xfId="29328"/>
    <cellStyle name="Table  - Opmaakprofiel6 2 38 5" xfId="38367"/>
    <cellStyle name="Table  - Opmaakprofiel6 2 38 6" xfId="50256"/>
    <cellStyle name="Table  - Opmaakprofiel6 2 39" xfId="6132"/>
    <cellStyle name="Table  - Opmaakprofiel6 2 39 2" xfId="11059"/>
    <cellStyle name="Table  - Opmaakprofiel6 2 39 2 2" xfId="23357"/>
    <cellStyle name="Table  - Opmaakprofiel6 2 39 2 3" xfId="35409"/>
    <cellStyle name="Table  - Opmaakprofiel6 2 39 2 4" xfId="42016"/>
    <cellStyle name="Table  - Opmaakprofiel6 2 39 2 5" xfId="56024"/>
    <cellStyle name="Table  - Opmaakprofiel6 2 39 3" xfId="17277"/>
    <cellStyle name="Table  - Opmaakprofiel6 2 39 4" xfId="29329"/>
    <cellStyle name="Table  - Opmaakprofiel6 2 39 5" xfId="44538"/>
    <cellStyle name="Table  - Opmaakprofiel6 2 39 6" xfId="50257"/>
    <cellStyle name="Table  - Opmaakprofiel6 2 4" xfId="747"/>
    <cellStyle name="Table  - Opmaakprofiel6 2 4 10" xfId="6133"/>
    <cellStyle name="Table  - Opmaakprofiel6 2 4 10 2" xfId="11060"/>
    <cellStyle name="Table  - Opmaakprofiel6 2 4 10 2 2" xfId="23358"/>
    <cellStyle name="Table  - Opmaakprofiel6 2 4 10 2 3" xfId="35410"/>
    <cellStyle name="Table  - Opmaakprofiel6 2 4 10 2 4" xfId="30554"/>
    <cellStyle name="Table  - Opmaakprofiel6 2 4 10 2 5" xfId="56025"/>
    <cellStyle name="Table  - Opmaakprofiel6 2 4 10 3" xfId="17279"/>
    <cellStyle name="Table  - Opmaakprofiel6 2 4 10 4" xfId="29331"/>
    <cellStyle name="Table  - Opmaakprofiel6 2 4 10 5" xfId="44537"/>
    <cellStyle name="Table  - Opmaakprofiel6 2 4 10 6" xfId="50258"/>
    <cellStyle name="Table  - Opmaakprofiel6 2 4 11" xfId="6134"/>
    <cellStyle name="Table  - Opmaakprofiel6 2 4 11 2" xfId="11061"/>
    <cellStyle name="Table  - Opmaakprofiel6 2 4 11 2 2" xfId="23359"/>
    <cellStyle name="Table  - Opmaakprofiel6 2 4 11 2 3" xfId="35411"/>
    <cellStyle name="Table  - Opmaakprofiel6 2 4 11 2 4" xfId="42015"/>
    <cellStyle name="Table  - Opmaakprofiel6 2 4 11 2 5" xfId="56026"/>
    <cellStyle name="Table  - Opmaakprofiel6 2 4 11 3" xfId="17280"/>
    <cellStyle name="Table  - Opmaakprofiel6 2 4 11 4" xfId="29332"/>
    <cellStyle name="Table  - Opmaakprofiel6 2 4 11 5" xfId="38365"/>
    <cellStyle name="Table  - Opmaakprofiel6 2 4 11 6" xfId="50259"/>
    <cellStyle name="Table  - Opmaakprofiel6 2 4 12" xfId="6135"/>
    <cellStyle name="Table  - Opmaakprofiel6 2 4 12 2" xfId="17281"/>
    <cellStyle name="Table  - Opmaakprofiel6 2 4 12 3" xfId="29333"/>
    <cellStyle name="Table  - Opmaakprofiel6 2 4 12 4" xfId="44536"/>
    <cellStyle name="Table  - Opmaakprofiel6 2 4 12 5" xfId="50260"/>
    <cellStyle name="Table  - Opmaakprofiel6 2 4 13" xfId="7483"/>
    <cellStyle name="Table  - Opmaakprofiel6 2 4 13 2" xfId="19781"/>
    <cellStyle name="Table  - Opmaakprofiel6 2 4 13 3" xfId="41584"/>
    <cellStyle name="Table  - Opmaakprofiel6 2 4 13 4" xfId="34343"/>
    <cellStyle name="Table  - Opmaakprofiel6 2 4 13 5" xfId="52453"/>
    <cellStyle name="Table  - Opmaakprofiel6 2 4 14" xfId="17278"/>
    <cellStyle name="Table  - Opmaakprofiel6 2 4 2" xfId="917"/>
    <cellStyle name="Table  - Opmaakprofiel6 2 4 2 2" xfId="1736"/>
    <cellStyle name="Table  - Opmaakprofiel6 2 4 2 2 2" xfId="11062"/>
    <cellStyle name="Table  - Opmaakprofiel6 2 4 2 2 2 2" xfId="23360"/>
    <cellStyle name="Table  - Opmaakprofiel6 2 4 2 2 2 3" xfId="35412"/>
    <cellStyle name="Table  - Opmaakprofiel6 2 4 2 2 2 4" xfId="32047"/>
    <cellStyle name="Table  - Opmaakprofiel6 2 4 2 2 2 5" xfId="56027"/>
    <cellStyle name="Table  - Opmaakprofiel6 2 4 2 2 3" xfId="17283"/>
    <cellStyle name="Table  - Opmaakprofiel6 2 4 2 2 4" xfId="29335"/>
    <cellStyle name="Table  - Opmaakprofiel6 2 4 2 2 5" xfId="38363"/>
    <cellStyle name="Table  - Opmaakprofiel6 2 4 2 2 6" xfId="50261"/>
    <cellStyle name="Table  - Opmaakprofiel6 2 4 2 3" xfId="2928"/>
    <cellStyle name="Table  - Opmaakprofiel6 2 4 2 3 2" xfId="11063"/>
    <cellStyle name="Table  - Opmaakprofiel6 2 4 2 3 2 2" xfId="23361"/>
    <cellStyle name="Table  - Opmaakprofiel6 2 4 2 3 2 3" xfId="35413"/>
    <cellStyle name="Table  - Opmaakprofiel6 2 4 2 3 2 4" xfId="30564"/>
    <cellStyle name="Table  - Opmaakprofiel6 2 4 2 3 2 5" xfId="56028"/>
    <cellStyle name="Table  - Opmaakprofiel6 2 4 2 3 3" xfId="17284"/>
    <cellStyle name="Table  - Opmaakprofiel6 2 4 2 3 4" xfId="29336"/>
    <cellStyle name="Table  - Opmaakprofiel6 2 4 2 3 5" xfId="38362"/>
    <cellStyle name="Table  - Opmaakprofiel6 2 4 2 3 6" xfId="50262"/>
    <cellStyle name="Table  - Opmaakprofiel6 2 4 2 4" xfId="3780"/>
    <cellStyle name="Table  - Opmaakprofiel6 2 4 2 4 2" xfId="11064"/>
    <cellStyle name="Table  - Opmaakprofiel6 2 4 2 4 2 2" xfId="23362"/>
    <cellStyle name="Table  - Opmaakprofiel6 2 4 2 4 2 3" xfId="35414"/>
    <cellStyle name="Table  - Opmaakprofiel6 2 4 2 4 2 4" xfId="42014"/>
    <cellStyle name="Table  - Opmaakprofiel6 2 4 2 4 2 5" xfId="56029"/>
    <cellStyle name="Table  - Opmaakprofiel6 2 4 2 4 3" xfId="17285"/>
    <cellStyle name="Table  - Opmaakprofiel6 2 4 2 4 4" xfId="29337"/>
    <cellStyle name="Table  - Opmaakprofiel6 2 4 2 4 5" xfId="44535"/>
    <cellStyle name="Table  - Opmaakprofiel6 2 4 2 4 6" xfId="50263"/>
    <cellStyle name="Table  - Opmaakprofiel6 2 4 2 5" xfId="6136"/>
    <cellStyle name="Table  - Opmaakprofiel6 2 4 2 5 2" xfId="11065"/>
    <cellStyle name="Table  - Opmaakprofiel6 2 4 2 5 2 2" xfId="23363"/>
    <cellStyle name="Table  - Opmaakprofiel6 2 4 2 5 2 3" xfId="35415"/>
    <cellStyle name="Table  - Opmaakprofiel6 2 4 2 5 2 4" xfId="31867"/>
    <cellStyle name="Table  - Opmaakprofiel6 2 4 2 5 2 5" xfId="56030"/>
    <cellStyle name="Table  - Opmaakprofiel6 2 4 2 5 3" xfId="17286"/>
    <cellStyle name="Table  - Opmaakprofiel6 2 4 2 5 4" xfId="29338"/>
    <cellStyle name="Table  - Opmaakprofiel6 2 4 2 5 5" xfId="38361"/>
    <cellStyle name="Table  - Opmaakprofiel6 2 4 2 5 6" xfId="50264"/>
    <cellStyle name="Table  - Opmaakprofiel6 2 4 2 6" xfId="6137"/>
    <cellStyle name="Table  - Opmaakprofiel6 2 4 2 6 2" xfId="11066"/>
    <cellStyle name="Table  - Opmaakprofiel6 2 4 2 6 2 2" xfId="23364"/>
    <cellStyle name="Table  - Opmaakprofiel6 2 4 2 6 2 3" xfId="35416"/>
    <cellStyle name="Table  - Opmaakprofiel6 2 4 2 6 2 4" xfId="42013"/>
    <cellStyle name="Table  - Opmaakprofiel6 2 4 2 6 2 5" xfId="56031"/>
    <cellStyle name="Table  - Opmaakprofiel6 2 4 2 6 3" xfId="17287"/>
    <cellStyle name="Table  - Opmaakprofiel6 2 4 2 6 4" xfId="29339"/>
    <cellStyle name="Table  - Opmaakprofiel6 2 4 2 6 5" xfId="44534"/>
    <cellStyle name="Table  - Opmaakprofiel6 2 4 2 6 6" xfId="50265"/>
    <cellStyle name="Table  - Opmaakprofiel6 2 4 2 7" xfId="6138"/>
    <cellStyle name="Table  - Opmaakprofiel6 2 4 2 7 2" xfId="17288"/>
    <cellStyle name="Table  - Opmaakprofiel6 2 4 2 7 3" xfId="29340"/>
    <cellStyle name="Table  - Opmaakprofiel6 2 4 2 7 4" xfId="38360"/>
    <cellStyle name="Table  - Opmaakprofiel6 2 4 2 7 5" xfId="50266"/>
    <cellStyle name="Table  - Opmaakprofiel6 2 4 2 8" xfId="7368"/>
    <cellStyle name="Table  - Opmaakprofiel6 2 4 2 8 2" xfId="19666"/>
    <cellStyle name="Table  - Opmaakprofiel6 2 4 2 8 3" xfId="41469"/>
    <cellStyle name="Table  - Opmaakprofiel6 2 4 2 8 4" xfId="43538"/>
    <cellStyle name="Table  - Opmaakprofiel6 2 4 2 8 5" xfId="52338"/>
    <cellStyle name="Table  - Opmaakprofiel6 2 4 2 9" xfId="17282"/>
    <cellStyle name="Table  - Opmaakprofiel6 2 4 3" xfId="1014"/>
    <cellStyle name="Table  - Opmaakprofiel6 2 4 3 2" xfId="1828"/>
    <cellStyle name="Table  - Opmaakprofiel6 2 4 3 2 2" xfId="11067"/>
    <cellStyle name="Table  - Opmaakprofiel6 2 4 3 2 2 2" xfId="23365"/>
    <cellStyle name="Table  - Opmaakprofiel6 2 4 3 2 2 3" xfId="35417"/>
    <cellStyle name="Table  - Opmaakprofiel6 2 4 3 2 2 4" xfId="30568"/>
    <cellStyle name="Table  - Opmaakprofiel6 2 4 3 2 2 5" xfId="56032"/>
    <cellStyle name="Table  - Opmaakprofiel6 2 4 3 2 3" xfId="17290"/>
    <cellStyle name="Table  - Opmaakprofiel6 2 4 3 2 4" xfId="29342"/>
    <cellStyle name="Table  - Opmaakprofiel6 2 4 3 2 5" xfId="38359"/>
    <cellStyle name="Table  - Opmaakprofiel6 2 4 3 2 6" xfId="50267"/>
    <cellStyle name="Table  - Opmaakprofiel6 2 4 3 3" xfId="3025"/>
    <cellStyle name="Table  - Opmaakprofiel6 2 4 3 3 2" xfId="11068"/>
    <cellStyle name="Table  - Opmaakprofiel6 2 4 3 3 2 2" xfId="23366"/>
    <cellStyle name="Table  - Opmaakprofiel6 2 4 3 3 2 3" xfId="35418"/>
    <cellStyle name="Table  - Opmaakprofiel6 2 4 3 3 2 4" xfId="42012"/>
    <cellStyle name="Table  - Opmaakprofiel6 2 4 3 3 2 5" xfId="56033"/>
    <cellStyle name="Table  - Opmaakprofiel6 2 4 3 3 3" xfId="17291"/>
    <cellStyle name="Table  - Opmaakprofiel6 2 4 3 3 4" xfId="29343"/>
    <cellStyle name="Table  - Opmaakprofiel6 2 4 3 3 5" xfId="44532"/>
    <cellStyle name="Table  - Opmaakprofiel6 2 4 3 3 6" xfId="50268"/>
    <cellStyle name="Table  - Opmaakprofiel6 2 4 3 4" xfId="3870"/>
    <cellStyle name="Table  - Opmaakprofiel6 2 4 3 4 2" xfId="11069"/>
    <cellStyle name="Table  - Opmaakprofiel6 2 4 3 4 2 2" xfId="23367"/>
    <cellStyle name="Table  - Opmaakprofiel6 2 4 3 4 2 3" xfId="35419"/>
    <cellStyle name="Table  - Opmaakprofiel6 2 4 3 4 2 4" xfId="34438"/>
    <cellStyle name="Table  - Opmaakprofiel6 2 4 3 4 2 5" xfId="56034"/>
    <cellStyle name="Table  - Opmaakprofiel6 2 4 3 4 3" xfId="17292"/>
    <cellStyle name="Table  - Opmaakprofiel6 2 4 3 4 4" xfId="29344"/>
    <cellStyle name="Table  - Opmaakprofiel6 2 4 3 4 5" xfId="38358"/>
    <cellStyle name="Table  - Opmaakprofiel6 2 4 3 4 6" xfId="50269"/>
    <cellStyle name="Table  - Opmaakprofiel6 2 4 3 5" xfId="6139"/>
    <cellStyle name="Table  - Opmaakprofiel6 2 4 3 5 2" xfId="11070"/>
    <cellStyle name="Table  - Opmaakprofiel6 2 4 3 5 2 2" xfId="23368"/>
    <cellStyle name="Table  - Opmaakprofiel6 2 4 3 5 2 3" xfId="35420"/>
    <cellStyle name="Table  - Opmaakprofiel6 2 4 3 5 2 4" xfId="42011"/>
    <cellStyle name="Table  - Opmaakprofiel6 2 4 3 5 2 5" xfId="56035"/>
    <cellStyle name="Table  - Opmaakprofiel6 2 4 3 5 3" xfId="17293"/>
    <cellStyle name="Table  - Opmaakprofiel6 2 4 3 5 4" xfId="29345"/>
    <cellStyle name="Table  - Opmaakprofiel6 2 4 3 5 5" xfId="44531"/>
    <cellStyle name="Table  - Opmaakprofiel6 2 4 3 5 6" xfId="50270"/>
    <cellStyle name="Table  - Opmaakprofiel6 2 4 3 6" xfId="6140"/>
    <cellStyle name="Table  - Opmaakprofiel6 2 4 3 6 2" xfId="11071"/>
    <cellStyle name="Table  - Opmaakprofiel6 2 4 3 6 2 2" xfId="23369"/>
    <cellStyle name="Table  - Opmaakprofiel6 2 4 3 6 2 3" xfId="35421"/>
    <cellStyle name="Table  - Opmaakprofiel6 2 4 3 6 2 4" xfId="30575"/>
    <cellStyle name="Table  - Opmaakprofiel6 2 4 3 6 2 5" xfId="56036"/>
    <cellStyle name="Table  - Opmaakprofiel6 2 4 3 6 3" xfId="17294"/>
    <cellStyle name="Table  - Opmaakprofiel6 2 4 3 6 4" xfId="29346"/>
    <cellStyle name="Table  - Opmaakprofiel6 2 4 3 6 5" xfId="38357"/>
    <cellStyle name="Table  - Opmaakprofiel6 2 4 3 6 6" xfId="50271"/>
    <cellStyle name="Table  - Opmaakprofiel6 2 4 3 7" xfId="6141"/>
    <cellStyle name="Table  - Opmaakprofiel6 2 4 3 7 2" xfId="17295"/>
    <cellStyle name="Table  - Opmaakprofiel6 2 4 3 7 3" xfId="29347"/>
    <cellStyle name="Table  - Opmaakprofiel6 2 4 3 7 4" xfId="38356"/>
    <cellStyle name="Table  - Opmaakprofiel6 2 4 3 7 5" xfId="50272"/>
    <cellStyle name="Table  - Opmaakprofiel6 2 4 3 8" xfId="9976"/>
    <cellStyle name="Table  - Opmaakprofiel6 2 4 3 8 2" xfId="22274"/>
    <cellStyle name="Table  - Opmaakprofiel6 2 4 3 8 3" xfId="44039"/>
    <cellStyle name="Table  - Opmaakprofiel6 2 4 3 8 4" xfId="32085"/>
    <cellStyle name="Table  - Opmaakprofiel6 2 4 3 8 5" xfId="54941"/>
    <cellStyle name="Table  - Opmaakprofiel6 2 4 3 9" xfId="17289"/>
    <cellStyle name="Table  - Opmaakprofiel6 2 4 4" xfId="1103"/>
    <cellStyle name="Table  - Opmaakprofiel6 2 4 4 2" xfId="1546"/>
    <cellStyle name="Table  - Opmaakprofiel6 2 4 4 2 2" xfId="11072"/>
    <cellStyle name="Table  - Opmaakprofiel6 2 4 4 2 2 2" xfId="23370"/>
    <cellStyle name="Table  - Opmaakprofiel6 2 4 4 2 2 3" xfId="35422"/>
    <cellStyle name="Table  - Opmaakprofiel6 2 4 4 2 2 4" xfId="42010"/>
    <cellStyle name="Table  - Opmaakprofiel6 2 4 4 2 2 5" xfId="56037"/>
    <cellStyle name="Table  - Opmaakprofiel6 2 4 4 2 3" xfId="17297"/>
    <cellStyle name="Table  - Opmaakprofiel6 2 4 4 2 4" xfId="29349"/>
    <cellStyle name="Table  - Opmaakprofiel6 2 4 4 2 5" xfId="44530"/>
    <cellStyle name="Table  - Opmaakprofiel6 2 4 4 2 6" xfId="50273"/>
    <cellStyle name="Table  - Opmaakprofiel6 2 4 4 3" xfId="3114"/>
    <cellStyle name="Table  - Opmaakprofiel6 2 4 4 3 2" xfId="11073"/>
    <cellStyle name="Table  - Opmaakprofiel6 2 4 4 3 2 2" xfId="23371"/>
    <cellStyle name="Table  - Opmaakprofiel6 2 4 4 3 2 3" xfId="35423"/>
    <cellStyle name="Table  - Opmaakprofiel6 2 4 4 3 2 4" xfId="34616"/>
    <cellStyle name="Table  - Opmaakprofiel6 2 4 4 3 2 5" xfId="56038"/>
    <cellStyle name="Table  - Opmaakprofiel6 2 4 4 3 3" xfId="17298"/>
    <cellStyle name="Table  - Opmaakprofiel6 2 4 4 3 4" xfId="29350"/>
    <cellStyle name="Table  - Opmaakprofiel6 2 4 4 3 5" xfId="38355"/>
    <cellStyle name="Table  - Opmaakprofiel6 2 4 4 3 6" xfId="50274"/>
    <cellStyle name="Table  - Opmaakprofiel6 2 4 4 4" xfId="3949"/>
    <cellStyle name="Table  - Opmaakprofiel6 2 4 4 4 2" xfId="11074"/>
    <cellStyle name="Table  - Opmaakprofiel6 2 4 4 4 2 2" xfId="23372"/>
    <cellStyle name="Table  - Opmaakprofiel6 2 4 4 4 2 3" xfId="35424"/>
    <cellStyle name="Table  - Opmaakprofiel6 2 4 4 4 2 4" xfId="30582"/>
    <cellStyle name="Table  - Opmaakprofiel6 2 4 4 4 2 5" xfId="56039"/>
    <cellStyle name="Table  - Opmaakprofiel6 2 4 4 4 3" xfId="17299"/>
    <cellStyle name="Table  - Opmaakprofiel6 2 4 4 4 4" xfId="29351"/>
    <cellStyle name="Table  - Opmaakprofiel6 2 4 4 4 5" xfId="44529"/>
    <cellStyle name="Table  - Opmaakprofiel6 2 4 4 4 6" xfId="50275"/>
    <cellStyle name="Table  - Opmaakprofiel6 2 4 4 5" xfId="6142"/>
    <cellStyle name="Table  - Opmaakprofiel6 2 4 4 5 2" xfId="11075"/>
    <cellStyle name="Table  - Opmaakprofiel6 2 4 4 5 2 2" xfId="23373"/>
    <cellStyle name="Table  - Opmaakprofiel6 2 4 4 5 2 3" xfId="35425"/>
    <cellStyle name="Table  - Opmaakprofiel6 2 4 4 5 2 4" xfId="31937"/>
    <cellStyle name="Table  - Opmaakprofiel6 2 4 4 5 2 5" xfId="56040"/>
    <cellStyle name="Table  - Opmaakprofiel6 2 4 4 5 3" xfId="17300"/>
    <cellStyle name="Table  - Opmaakprofiel6 2 4 4 5 4" xfId="29352"/>
    <cellStyle name="Table  - Opmaakprofiel6 2 4 4 5 5" xfId="38354"/>
    <cellStyle name="Table  - Opmaakprofiel6 2 4 4 5 6" xfId="50276"/>
    <cellStyle name="Table  - Opmaakprofiel6 2 4 4 6" xfId="6143"/>
    <cellStyle name="Table  - Opmaakprofiel6 2 4 4 6 2" xfId="11076"/>
    <cellStyle name="Table  - Opmaakprofiel6 2 4 4 6 2 2" xfId="23374"/>
    <cellStyle name="Table  - Opmaakprofiel6 2 4 4 6 2 3" xfId="35426"/>
    <cellStyle name="Table  - Opmaakprofiel6 2 4 4 6 2 4" xfId="42009"/>
    <cellStyle name="Table  - Opmaakprofiel6 2 4 4 6 2 5" xfId="56041"/>
    <cellStyle name="Table  - Opmaakprofiel6 2 4 4 6 3" xfId="17301"/>
    <cellStyle name="Table  - Opmaakprofiel6 2 4 4 6 4" xfId="29353"/>
    <cellStyle name="Table  - Opmaakprofiel6 2 4 4 6 5" xfId="38353"/>
    <cellStyle name="Table  - Opmaakprofiel6 2 4 4 6 6" xfId="50277"/>
    <cellStyle name="Table  - Opmaakprofiel6 2 4 4 7" xfId="6144"/>
    <cellStyle name="Table  - Opmaakprofiel6 2 4 4 7 2" xfId="17302"/>
    <cellStyle name="Table  - Opmaakprofiel6 2 4 4 7 3" xfId="29354"/>
    <cellStyle name="Table  - Opmaakprofiel6 2 4 4 7 4" xfId="44528"/>
    <cellStyle name="Table  - Opmaakprofiel6 2 4 4 7 5" xfId="50278"/>
    <cellStyle name="Table  - Opmaakprofiel6 2 4 4 8" xfId="7240"/>
    <cellStyle name="Table  - Opmaakprofiel6 2 4 4 8 2" xfId="19538"/>
    <cellStyle name="Table  - Opmaakprofiel6 2 4 4 8 3" xfId="41341"/>
    <cellStyle name="Table  - Opmaakprofiel6 2 4 4 8 4" xfId="36894"/>
    <cellStyle name="Table  - Opmaakprofiel6 2 4 4 8 5" xfId="52210"/>
    <cellStyle name="Table  - Opmaakprofiel6 2 4 4 9" xfId="17296"/>
    <cellStyle name="Table  - Opmaakprofiel6 2 4 5" xfId="1185"/>
    <cellStyle name="Table  - Opmaakprofiel6 2 4 5 2" xfId="1850"/>
    <cellStyle name="Table  - Opmaakprofiel6 2 4 5 2 2" xfId="11077"/>
    <cellStyle name="Table  - Opmaakprofiel6 2 4 5 2 2 2" xfId="23375"/>
    <cellStyle name="Table  - Opmaakprofiel6 2 4 5 2 2 3" xfId="35427"/>
    <cellStyle name="Table  - Opmaakprofiel6 2 4 5 2 2 4" xfId="30589"/>
    <cellStyle name="Table  - Opmaakprofiel6 2 4 5 2 2 5" xfId="56042"/>
    <cellStyle name="Table  - Opmaakprofiel6 2 4 5 2 3" xfId="17304"/>
    <cellStyle name="Table  - Opmaakprofiel6 2 4 5 2 4" xfId="29356"/>
    <cellStyle name="Table  - Opmaakprofiel6 2 4 5 2 5" xfId="44527"/>
    <cellStyle name="Table  - Opmaakprofiel6 2 4 5 2 6" xfId="50279"/>
    <cellStyle name="Table  - Opmaakprofiel6 2 4 5 3" xfId="3196"/>
    <cellStyle name="Table  - Opmaakprofiel6 2 4 5 3 2" xfId="11078"/>
    <cellStyle name="Table  - Opmaakprofiel6 2 4 5 3 2 2" xfId="23376"/>
    <cellStyle name="Table  - Opmaakprofiel6 2 4 5 3 2 3" xfId="35428"/>
    <cellStyle name="Table  - Opmaakprofiel6 2 4 5 3 2 4" xfId="42008"/>
    <cellStyle name="Table  - Opmaakprofiel6 2 4 5 3 2 5" xfId="56043"/>
    <cellStyle name="Table  - Opmaakprofiel6 2 4 5 3 3" xfId="17305"/>
    <cellStyle name="Table  - Opmaakprofiel6 2 4 5 3 4" xfId="29357"/>
    <cellStyle name="Table  - Opmaakprofiel6 2 4 5 3 5" xfId="38351"/>
    <cellStyle name="Table  - Opmaakprofiel6 2 4 5 3 6" xfId="50280"/>
    <cellStyle name="Table  - Opmaakprofiel6 2 4 5 4" xfId="4015"/>
    <cellStyle name="Table  - Opmaakprofiel6 2 4 5 4 2" xfId="11079"/>
    <cellStyle name="Table  - Opmaakprofiel6 2 4 5 4 2 2" xfId="23377"/>
    <cellStyle name="Table  - Opmaakprofiel6 2 4 5 4 2 3" xfId="35429"/>
    <cellStyle name="Table  - Opmaakprofiel6 2 4 5 4 2 4" xfId="31759"/>
    <cellStyle name="Table  - Opmaakprofiel6 2 4 5 4 2 5" xfId="56044"/>
    <cellStyle name="Table  - Opmaakprofiel6 2 4 5 4 3" xfId="17306"/>
    <cellStyle name="Table  - Opmaakprofiel6 2 4 5 4 4" xfId="29358"/>
    <cellStyle name="Table  - Opmaakprofiel6 2 4 5 4 5" xfId="44526"/>
    <cellStyle name="Table  - Opmaakprofiel6 2 4 5 4 6" xfId="50281"/>
    <cellStyle name="Table  - Opmaakprofiel6 2 4 5 5" xfId="6145"/>
    <cellStyle name="Table  - Opmaakprofiel6 2 4 5 5 2" xfId="11080"/>
    <cellStyle name="Table  - Opmaakprofiel6 2 4 5 5 2 2" xfId="23378"/>
    <cellStyle name="Table  - Opmaakprofiel6 2 4 5 5 2 3" xfId="35430"/>
    <cellStyle name="Table  - Opmaakprofiel6 2 4 5 5 2 4" xfId="42007"/>
    <cellStyle name="Table  - Opmaakprofiel6 2 4 5 5 2 5" xfId="56045"/>
    <cellStyle name="Table  - Opmaakprofiel6 2 4 5 5 3" xfId="17307"/>
    <cellStyle name="Table  - Opmaakprofiel6 2 4 5 5 4" xfId="29359"/>
    <cellStyle name="Table  - Opmaakprofiel6 2 4 5 5 5" xfId="38350"/>
    <cellStyle name="Table  - Opmaakprofiel6 2 4 5 5 6" xfId="50282"/>
    <cellStyle name="Table  - Opmaakprofiel6 2 4 5 6" xfId="6146"/>
    <cellStyle name="Table  - Opmaakprofiel6 2 4 5 6 2" xfId="11081"/>
    <cellStyle name="Table  - Opmaakprofiel6 2 4 5 6 2 2" xfId="23379"/>
    <cellStyle name="Table  - Opmaakprofiel6 2 4 5 6 2 3" xfId="35431"/>
    <cellStyle name="Table  - Opmaakprofiel6 2 4 5 6 2 4" xfId="30596"/>
    <cellStyle name="Table  - Opmaakprofiel6 2 4 5 6 2 5" xfId="56046"/>
    <cellStyle name="Table  - Opmaakprofiel6 2 4 5 6 3" xfId="17308"/>
    <cellStyle name="Table  - Opmaakprofiel6 2 4 5 6 4" xfId="29360"/>
    <cellStyle name="Table  - Opmaakprofiel6 2 4 5 6 5" xfId="38349"/>
    <cellStyle name="Table  - Opmaakprofiel6 2 4 5 6 6" xfId="50283"/>
    <cellStyle name="Table  - Opmaakprofiel6 2 4 5 7" xfId="6147"/>
    <cellStyle name="Table  - Opmaakprofiel6 2 4 5 7 2" xfId="17309"/>
    <cellStyle name="Table  - Opmaakprofiel6 2 4 5 7 3" xfId="29361"/>
    <cellStyle name="Table  - Opmaakprofiel6 2 4 5 7 4" xfId="44525"/>
    <cellStyle name="Table  - Opmaakprofiel6 2 4 5 7 5" xfId="50284"/>
    <cellStyle name="Table  - Opmaakprofiel6 2 4 5 8" xfId="9874"/>
    <cellStyle name="Table  - Opmaakprofiel6 2 4 5 8 2" xfId="22172"/>
    <cellStyle name="Table  - Opmaakprofiel6 2 4 5 8 3" xfId="43939"/>
    <cellStyle name="Table  - Opmaakprofiel6 2 4 5 8 4" xfId="42510"/>
    <cellStyle name="Table  - Opmaakprofiel6 2 4 5 8 5" xfId="54839"/>
    <cellStyle name="Table  - Opmaakprofiel6 2 4 5 9" xfId="17303"/>
    <cellStyle name="Table  - Opmaakprofiel6 2 4 6" xfId="494"/>
    <cellStyle name="Table  - Opmaakprofiel6 2 4 6 2" xfId="2177"/>
    <cellStyle name="Table  - Opmaakprofiel6 2 4 6 2 2" xfId="11082"/>
    <cellStyle name="Table  - Opmaakprofiel6 2 4 6 2 2 2" xfId="23380"/>
    <cellStyle name="Table  - Opmaakprofiel6 2 4 6 2 2 3" xfId="35432"/>
    <cellStyle name="Table  - Opmaakprofiel6 2 4 6 2 2 4" xfId="42006"/>
    <cellStyle name="Table  - Opmaakprofiel6 2 4 6 2 2 5" xfId="56047"/>
    <cellStyle name="Table  - Opmaakprofiel6 2 4 6 2 3" xfId="17311"/>
    <cellStyle name="Table  - Opmaakprofiel6 2 4 6 2 4" xfId="29363"/>
    <cellStyle name="Table  - Opmaakprofiel6 2 4 6 2 5" xfId="44524"/>
    <cellStyle name="Table  - Opmaakprofiel6 2 4 6 2 6" xfId="50285"/>
    <cellStyle name="Table  - Opmaakprofiel6 2 4 6 3" xfId="2565"/>
    <cellStyle name="Table  - Opmaakprofiel6 2 4 6 3 2" xfId="11083"/>
    <cellStyle name="Table  - Opmaakprofiel6 2 4 6 3 2 2" xfId="23381"/>
    <cellStyle name="Table  - Opmaakprofiel6 2 4 6 3 2 3" xfId="35433"/>
    <cellStyle name="Table  - Opmaakprofiel6 2 4 6 3 2 4" xfId="31465"/>
    <cellStyle name="Table  - Opmaakprofiel6 2 4 6 3 2 5" xfId="56048"/>
    <cellStyle name="Table  - Opmaakprofiel6 2 4 6 3 3" xfId="17312"/>
    <cellStyle name="Table  - Opmaakprofiel6 2 4 6 3 4" xfId="29364"/>
    <cellStyle name="Table  - Opmaakprofiel6 2 4 6 3 5" xfId="38347"/>
    <cellStyle name="Table  - Opmaakprofiel6 2 4 6 3 6" xfId="50286"/>
    <cellStyle name="Table  - Opmaakprofiel6 2 4 6 4" xfId="3449"/>
    <cellStyle name="Table  - Opmaakprofiel6 2 4 6 4 2" xfId="11084"/>
    <cellStyle name="Table  - Opmaakprofiel6 2 4 6 4 2 2" xfId="23382"/>
    <cellStyle name="Table  - Opmaakprofiel6 2 4 6 4 2 3" xfId="35434"/>
    <cellStyle name="Table  - Opmaakprofiel6 2 4 6 4 2 4" xfId="42005"/>
    <cellStyle name="Table  - Opmaakprofiel6 2 4 6 4 2 5" xfId="56049"/>
    <cellStyle name="Table  - Opmaakprofiel6 2 4 6 4 3" xfId="17313"/>
    <cellStyle name="Table  - Opmaakprofiel6 2 4 6 4 4" xfId="29365"/>
    <cellStyle name="Table  - Opmaakprofiel6 2 4 6 4 5" xfId="44523"/>
    <cellStyle name="Table  - Opmaakprofiel6 2 4 6 4 6" xfId="50287"/>
    <cellStyle name="Table  - Opmaakprofiel6 2 4 6 5" xfId="6148"/>
    <cellStyle name="Table  - Opmaakprofiel6 2 4 6 5 2" xfId="11085"/>
    <cellStyle name="Table  - Opmaakprofiel6 2 4 6 5 2 2" xfId="23383"/>
    <cellStyle name="Table  - Opmaakprofiel6 2 4 6 5 2 3" xfId="35435"/>
    <cellStyle name="Table  - Opmaakprofiel6 2 4 6 5 2 4" xfId="30606"/>
    <cellStyle name="Table  - Opmaakprofiel6 2 4 6 5 2 5" xfId="56050"/>
    <cellStyle name="Table  - Opmaakprofiel6 2 4 6 5 3" xfId="17314"/>
    <cellStyle name="Table  - Opmaakprofiel6 2 4 6 5 4" xfId="29366"/>
    <cellStyle name="Table  - Opmaakprofiel6 2 4 6 5 5" xfId="38346"/>
    <cellStyle name="Table  - Opmaakprofiel6 2 4 6 5 6" xfId="50288"/>
    <cellStyle name="Table  - Opmaakprofiel6 2 4 6 6" xfId="6149"/>
    <cellStyle name="Table  - Opmaakprofiel6 2 4 6 6 2" xfId="11086"/>
    <cellStyle name="Table  - Opmaakprofiel6 2 4 6 6 2 2" xfId="23384"/>
    <cellStyle name="Table  - Opmaakprofiel6 2 4 6 6 2 3" xfId="35436"/>
    <cellStyle name="Table  - Opmaakprofiel6 2 4 6 6 2 4" xfId="31811"/>
    <cellStyle name="Table  - Opmaakprofiel6 2 4 6 6 2 5" xfId="56051"/>
    <cellStyle name="Table  - Opmaakprofiel6 2 4 6 6 3" xfId="17315"/>
    <cellStyle name="Table  - Opmaakprofiel6 2 4 6 6 4" xfId="29367"/>
    <cellStyle name="Table  - Opmaakprofiel6 2 4 6 6 5" xfId="44522"/>
    <cellStyle name="Table  - Opmaakprofiel6 2 4 6 6 6" xfId="50289"/>
    <cellStyle name="Table  - Opmaakprofiel6 2 4 6 7" xfId="6150"/>
    <cellStyle name="Table  - Opmaakprofiel6 2 4 6 7 2" xfId="17316"/>
    <cellStyle name="Table  - Opmaakprofiel6 2 4 6 7 3" xfId="29368"/>
    <cellStyle name="Table  - Opmaakprofiel6 2 4 6 7 4" xfId="38345"/>
    <cellStyle name="Table  - Opmaakprofiel6 2 4 6 7 5" xfId="50290"/>
    <cellStyle name="Table  - Opmaakprofiel6 2 4 6 8" xfId="10344"/>
    <cellStyle name="Table  - Opmaakprofiel6 2 4 6 8 2" xfId="22642"/>
    <cellStyle name="Table  - Opmaakprofiel6 2 4 6 8 3" xfId="44402"/>
    <cellStyle name="Table  - Opmaakprofiel6 2 4 6 8 4" xfId="42314"/>
    <cellStyle name="Table  - Opmaakprofiel6 2 4 6 8 5" xfId="55309"/>
    <cellStyle name="Table  - Opmaakprofiel6 2 4 6 9" xfId="17310"/>
    <cellStyle name="Table  - Opmaakprofiel6 2 4 7" xfId="2214"/>
    <cellStyle name="Table  - Opmaakprofiel6 2 4 7 2" xfId="11087"/>
    <cellStyle name="Table  - Opmaakprofiel6 2 4 7 2 2" xfId="23385"/>
    <cellStyle name="Table  - Opmaakprofiel6 2 4 7 2 3" xfId="35437"/>
    <cellStyle name="Table  - Opmaakprofiel6 2 4 7 2 4" xfId="30610"/>
    <cellStyle name="Table  - Opmaakprofiel6 2 4 7 2 5" xfId="56052"/>
    <cellStyle name="Table  - Opmaakprofiel6 2 4 7 3" xfId="17317"/>
    <cellStyle name="Table  - Opmaakprofiel6 2 4 7 4" xfId="29369"/>
    <cellStyle name="Table  - Opmaakprofiel6 2 4 7 5" xfId="44521"/>
    <cellStyle name="Table  - Opmaakprofiel6 2 4 7 6" xfId="50291"/>
    <cellStyle name="Table  - Opmaakprofiel6 2 4 8" xfId="2793"/>
    <cellStyle name="Table  - Opmaakprofiel6 2 4 8 2" xfId="11088"/>
    <cellStyle name="Table  - Opmaakprofiel6 2 4 8 2 2" xfId="23386"/>
    <cellStyle name="Table  - Opmaakprofiel6 2 4 8 2 3" xfId="35438"/>
    <cellStyle name="Table  - Opmaakprofiel6 2 4 8 2 4" xfId="42004"/>
    <cellStyle name="Table  - Opmaakprofiel6 2 4 8 2 5" xfId="56053"/>
    <cellStyle name="Table  - Opmaakprofiel6 2 4 8 3" xfId="17318"/>
    <cellStyle name="Table  - Opmaakprofiel6 2 4 8 4" xfId="29370"/>
    <cellStyle name="Table  - Opmaakprofiel6 2 4 8 5" xfId="38344"/>
    <cellStyle name="Table  - Opmaakprofiel6 2 4 8 6" xfId="50292"/>
    <cellStyle name="Table  - Opmaakprofiel6 2 4 9" xfId="3655"/>
    <cellStyle name="Table  - Opmaakprofiel6 2 4 9 2" xfId="11089"/>
    <cellStyle name="Table  - Opmaakprofiel6 2 4 9 2 2" xfId="23387"/>
    <cellStyle name="Table  - Opmaakprofiel6 2 4 9 2 3" xfId="35439"/>
    <cellStyle name="Table  - Opmaakprofiel6 2 4 9 2 4" xfId="34391"/>
    <cellStyle name="Table  - Opmaakprofiel6 2 4 9 2 5" xfId="56054"/>
    <cellStyle name="Table  - Opmaakprofiel6 2 4 9 3" xfId="17319"/>
    <cellStyle name="Table  - Opmaakprofiel6 2 4 9 4" xfId="29371"/>
    <cellStyle name="Table  - Opmaakprofiel6 2 4 9 5" xfId="38343"/>
    <cellStyle name="Table  - Opmaakprofiel6 2 4 9 6" xfId="50293"/>
    <cellStyle name="Table  - Opmaakprofiel6 2 40" xfId="6151"/>
    <cellStyle name="Table  - Opmaakprofiel6 2 40 2" xfId="11090"/>
    <cellStyle name="Table  - Opmaakprofiel6 2 40 2 2" xfId="23388"/>
    <cellStyle name="Table  - Opmaakprofiel6 2 40 2 3" xfId="35440"/>
    <cellStyle name="Table  - Opmaakprofiel6 2 40 2 4" xfId="42003"/>
    <cellStyle name="Table  - Opmaakprofiel6 2 40 2 5" xfId="56055"/>
    <cellStyle name="Table  - Opmaakprofiel6 2 40 3" xfId="17320"/>
    <cellStyle name="Table  - Opmaakprofiel6 2 40 4" xfId="29372"/>
    <cellStyle name="Table  - Opmaakprofiel6 2 40 5" xfId="38342"/>
    <cellStyle name="Table  - Opmaakprofiel6 2 40 6" xfId="50294"/>
    <cellStyle name="Table  - Opmaakprofiel6 2 41" xfId="6152"/>
    <cellStyle name="Table  - Opmaakprofiel6 2 41 2" xfId="11091"/>
    <cellStyle name="Table  - Opmaakprofiel6 2 41 2 2" xfId="23389"/>
    <cellStyle name="Table  - Opmaakprofiel6 2 41 2 3" xfId="35441"/>
    <cellStyle name="Table  - Opmaakprofiel6 2 41 2 4" xfId="30617"/>
    <cellStyle name="Table  - Opmaakprofiel6 2 41 2 5" xfId="56056"/>
    <cellStyle name="Table  - Opmaakprofiel6 2 41 3" xfId="17321"/>
    <cellStyle name="Table  - Opmaakprofiel6 2 41 4" xfId="29373"/>
    <cellStyle name="Table  - Opmaakprofiel6 2 41 5" xfId="44520"/>
    <cellStyle name="Table  - Opmaakprofiel6 2 41 6" xfId="50295"/>
    <cellStyle name="Table  - Opmaakprofiel6 2 42" xfId="6153"/>
    <cellStyle name="Table  - Opmaakprofiel6 2 42 2" xfId="17322"/>
    <cellStyle name="Table  - Opmaakprofiel6 2 42 3" xfId="29374"/>
    <cellStyle name="Table  - Opmaakprofiel6 2 42 4" xfId="38341"/>
    <cellStyle name="Table  - Opmaakprofiel6 2 42 5" xfId="50296"/>
    <cellStyle name="Table  - Opmaakprofiel6 2 43" xfId="7782"/>
    <cellStyle name="Table  - Opmaakprofiel6 2 43 2" xfId="20080"/>
    <cellStyle name="Table  - Opmaakprofiel6 2 43 3" xfId="41883"/>
    <cellStyle name="Table  - Opmaakprofiel6 2 43 4" xfId="43366"/>
    <cellStyle name="Table  - Opmaakprofiel6 2 43 5" xfId="52752"/>
    <cellStyle name="Table  - Opmaakprofiel6 2 44" xfId="16377"/>
    <cellStyle name="Table  - Opmaakprofiel6 2 5" xfId="687"/>
    <cellStyle name="Table  - Opmaakprofiel6 2 5 10" xfId="6154"/>
    <cellStyle name="Table  - Opmaakprofiel6 2 5 10 2" xfId="11092"/>
    <cellStyle name="Table  - Opmaakprofiel6 2 5 10 2 2" xfId="23390"/>
    <cellStyle name="Table  - Opmaakprofiel6 2 5 10 2 3" xfId="35442"/>
    <cellStyle name="Table  - Opmaakprofiel6 2 5 10 2 4" xfId="42002"/>
    <cellStyle name="Table  - Opmaakprofiel6 2 5 10 2 5" xfId="56057"/>
    <cellStyle name="Table  - Opmaakprofiel6 2 5 10 3" xfId="17324"/>
    <cellStyle name="Table  - Opmaakprofiel6 2 5 10 4" xfId="29376"/>
    <cellStyle name="Table  - Opmaakprofiel6 2 5 10 5" xfId="38340"/>
    <cellStyle name="Table  - Opmaakprofiel6 2 5 10 6" xfId="50297"/>
    <cellStyle name="Table  - Opmaakprofiel6 2 5 11" xfId="6155"/>
    <cellStyle name="Table  - Opmaakprofiel6 2 5 11 2" xfId="11093"/>
    <cellStyle name="Table  - Opmaakprofiel6 2 5 11 2 2" xfId="23391"/>
    <cellStyle name="Table  - Opmaakprofiel6 2 5 11 2 3" xfId="35443"/>
    <cellStyle name="Table  - Opmaakprofiel6 2 5 11 2 4" xfId="31633"/>
    <cellStyle name="Table  - Opmaakprofiel6 2 5 11 2 5" xfId="56058"/>
    <cellStyle name="Table  - Opmaakprofiel6 2 5 11 3" xfId="17325"/>
    <cellStyle name="Table  - Opmaakprofiel6 2 5 11 4" xfId="29377"/>
    <cellStyle name="Table  - Opmaakprofiel6 2 5 11 5" xfId="44518"/>
    <cellStyle name="Table  - Opmaakprofiel6 2 5 11 6" xfId="50298"/>
    <cellStyle name="Table  - Opmaakprofiel6 2 5 12" xfId="6156"/>
    <cellStyle name="Table  - Opmaakprofiel6 2 5 12 2" xfId="17326"/>
    <cellStyle name="Table  - Opmaakprofiel6 2 5 12 3" xfId="29378"/>
    <cellStyle name="Table  - Opmaakprofiel6 2 5 12 4" xfId="38339"/>
    <cellStyle name="Table  - Opmaakprofiel6 2 5 12 5" xfId="50299"/>
    <cellStyle name="Table  - Opmaakprofiel6 2 5 13" xfId="10212"/>
    <cellStyle name="Table  - Opmaakprofiel6 2 5 13 2" xfId="22510"/>
    <cellStyle name="Table  - Opmaakprofiel6 2 5 13 3" xfId="44272"/>
    <cellStyle name="Table  - Opmaakprofiel6 2 5 13 4" xfId="42369"/>
    <cellStyle name="Table  - Opmaakprofiel6 2 5 13 5" xfId="55177"/>
    <cellStyle name="Table  - Opmaakprofiel6 2 5 14" xfId="17323"/>
    <cellStyle name="Table  - Opmaakprofiel6 2 5 2" xfId="860"/>
    <cellStyle name="Table  - Opmaakprofiel6 2 5 2 2" xfId="1439"/>
    <cellStyle name="Table  - Opmaakprofiel6 2 5 2 2 2" xfId="11094"/>
    <cellStyle name="Table  - Opmaakprofiel6 2 5 2 2 2 2" xfId="23392"/>
    <cellStyle name="Table  - Opmaakprofiel6 2 5 2 2 2 3" xfId="35444"/>
    <cellStyle name="Table  - Opmaakprofiel6 2 5 2 2 2 4" xfId="42001"/>
    <cellStyle name="Table  - Opmaakprofiel6 2 5 2 2 2 5" xfId="56059"/>
    <cellStyle name="Table  - Opmaakprofiel6 2 5 2 2 3" xfId="17328"/>
    <cellStyle name="Table  - Opmaakprofiel6 2 5 2 2 4" xfId="29380"/>
    <cellStyle name="Table  - Opmaakprofiel6 2 5 2 2 5" xfId="38338"/>
    <cellStyle name="Table  - Opmaakprofiel6 2 5 2 2 6" xfId="50300"/>
    <cellStyle name="Table  - Opmaakprofiel6 2 5 2 3" xfId="2871"/>
    <cellStyle name="Table  - Opmaakprofiel6 2 5 2 3 2" xfId="11095"/>
    <cellStyle name="Table  - Opmaakprofiel6 2 5 2 3 2 2" xfId="23393"/>
    <cellStyle name="Table  - Opmaakprofiel6 2 5 2 3 2 3" xfId="35445"/>
    <cellStyle name="Table  - Opmaakprofiel6 2 5 2 3 2 4" xfId="30624"/>
    <cellStyle name="Table  - Opmaakprofiel6 2 5 2 3 2 5" xfId="56060"/>
    <cellStyle name="Table  - Opmaakprofiel6 2 5 2 3 3" xfId="17329"/>
    <cellStyle name="Table  - Opmaakprofiel6 2 5 2 3 4" xfId="29381"/>
    <cellStyle name="Table  - Opmaakprofiel6 2 5 2 3 5" xfId="44516"/>
    <cellStyle name="Table  - Opmaakprofiel6 2 5 2 3 6" xfId="50301"/>
    <cellStyle name="Table  - Opmaakprofiel6 2 5 2 4" xfId="3724"/>
    <cellStyle name="Table  - Opmaakprofiel6 2 5 2 4 2" xfId="11096"/>
    <cellStyle name="Table  - Opmaakprofiel6 2 5 2 4 2 2" xfId="23394"/>
    <cellStyle name="Table  - Opmaakprofiel6 2 5 2 4 2 3" xfId="35446"/>
    <cellStyle name="Table  - Opmaakprofiel6 2 5 2 4 2 4" xfId="42000"/>
    <cellStyle name="Table  - Opmaakprofiel6 2 5 2 4 2 5" xfId="56061"/>
    <cellStyle name="Table  - Opmaakprofiel6 2 5 2 4 3" xfId="17330"/>
    <cellStyle name="Table  - Opmaakprofiel6 2 5 2 4 4" xfId="29382"/>
    <cellStyle name="Table  - Opmaakprofiel6 2 5 2 4 5" xfId="38337"/>
    <cellStyle name="Table  - Opmaakprofiel6 2 5 2 4 6" xfId="50302"/>
    <cellStyle name="Table  - Opmaakprofiel6 2 5 2 5" xfId="6157"/>
    <cellStyle name="Table  - Opmaakprofiel6 2 5 2 5 2" xfId="11097"/>
    <cellStyle name="Table  - Opmaakprofiel6 2 5 2 5 2 2" xfId="23395"/>
    <cellStyle name="Table  - Opmaakprofiel6 2 5 2 5 2 3" xfId="35447"/>
    <cellStyle name="Table  - Opmaakprofiel6 2 5 2 5 2 4" xfId="34596"/>
    <cellStyle name="Table  - Opmaakprofiel6 2 5 2 5 2 5" xfId="56062"/>
    <cellStyle name="Table  - Opmaakprofiel6 2 5 2 5 3" xfId="17331"/>
    <cellStyle name="Table  - Opmaakprofiel6 2 5 2 5 4" xfId="29383"/>
    <cellStyle name="Table  - Opmaakprofiel6 2 5 2 5 5" xfId="38336"/>
    <cellStyle name="Table  - Opmaakprofiel6 2 5 2 5 6" xfId="50303"/>
    <cellStyle name="Table  - Opmaakprofiel6 2 5 2 6" xfId="6158"/>
    <cellStyle name="Table  - Opmaakprofiel6 2 5 2 6 2" xfId="11098"/>
    <cellStyle name="Table  - Opmaakprofiel6 2 5 2 6 2 2" xfId="23396"/>
    <cellStyle name="Table  - Opmaakprofiel6 2 5 2 6 2 3" xfId="35448"/>
    <cellStyle name="Table  - Opmaakprofiel6 2 5 2 6 2 4" xfId="30631"/>
    <cellStyle name="Table  - Opmaakprofiel6 2 5 2 6 2 5" xfId="56063"/>
    <cellStyle name="Table  - Opmaakprofiel6 2 5 2 6 3" xfId="17332"/>
    <cellStyle name="Table  - Opmaakprofiel6 2 5 2 6 4" xfId="29384"/>
    <cellStyle name="Table  - Opmaakprofiel6 2 5 2 6 5" xfId="38335"/>
    <cellStyle name="Table  - Opmaakprofiel6 2 5 2 6 6" xfId="50304"/>
    <cellStyle name="Table  - Opmaakprofiel6 2 5 2 7" xfId="6159"/>
    <cellStyle name="Table  - Opmaakprofiel6 2 5 2 7 2" xfId="17333"/>
    <cellStyle name="Table  - Opmaakprofiel6 2 5 2 7 3" xfId="29385"/>
    <cellStyle name="Table  - Opmaakprofiel6 2 5 2 7 4" xfId="44515"/>
    <cellStyle name="Table  - Opmaakprofiel6 2 5 2 7 5" xfId="50305"/>
    <cellStyle name="Table  - Opmaakprofiel6 2 5 2 8" xfId="7405"/>
    <cellStyle name="Table  - Opmaakprofiel6 2 5 2 8 2" xfId="19703"/>
    <cellStyle name="Table  - Opmaakprofiel6 2 5 2 8 3" xfId="41506"/>
    <cellStyle name="Table  - Opmaakprofiel6 2 5 2 8 4" xfId="15575"/>
    <cellStyle name="Table  - Opmaakprofiel6 2 5 2 8 5" xfId="52375"/>
    <cellStyle name="Table  - Opmaakprofiel6 2 5 2 9" xfId="17327"/>
    <cellStyle name="Table  - Opmaakprofiel6 2 5 3" xfId="498"/>
    <cellStyle name="Table  - Opmaakprofiel6 2 5 3 2" xfId="2284"/>
    <cellStyle name="Table  - Opmaakprofiel6 2 5 3 2 2" xfId="11099"/>
    <cellStyle name="Table  - Opmaakprofiel6 2 5 3 2 2 2" xfId="23397"/>
    <cellStyle name="Table  - Opmaakprofiel6 2 5 3 2 2 3" xfId="35449"/>
    <cellStyle name="Table  - Opmaakprofiel6 2 5 3 2 2 4" xfId="31513"/>
    <cellStyle name="Table  - Opmaakprofiel6 2 5 3 2 2 5" xfId="56064"/>
    <cellStyle name="Table  - Opmaakprofiel6 2 5 3 2 3" xfId="17335"/>
    <cellStyle name="Table  - Opmaakprofiel6 2 5 3 2 4" xfId="29387"/>
    <cellStyle name="Table  - Opmaakprofiel6 2 5 3 2 5" xfId="44514"/>
    <cellStyle name="Table  - Opmaakprofiel6 2 5 3 2 6" xfId="50306"/>
    <cellStyle name="Table  - Opmaakprofiel6 2 5 3 3" xfId="2569"/>
    <cellStyle name="Table  - Opmaakprofiel6 2 5 3 3 2" xfId="11100"/>
    <cellStyle name="Table  - Opmaakprofiel6 2 5 3 3 2 2" xfId="23398"/>
    <cellStyle name="Table  - Opmaakprofiel6 2 5 3 3 2 3" xfId="35450"/>
    <cellStyle name="Table  - Opmaakprofiel6 2 5 3 3 2 4" xfId="41999"/>
    <cellStyle name="Table  - Opmaakprofiel6 2 5 3 3 2 5" xfId="56065"/>
    <cellStyle name="Table  - Opmaakprofiel6 2 5 3 3 3" xfId="17336"/>
    <cellStyle name="Table  - Opmaakprofiel6 2 5 3 3 4" xfId="29388"/>
    <cellStyle name="Table  - Opmaakprofiel6 2 5 3 3 5" xfId="38333"/>
    <cellStyle name="Table  - Opmaakprofiel6 2 5 3 3 6" xfId="50307"/>
    <cellStyle name="Table  - Opmaakprofiel6 2 5 3 4" xfId="3453"/>
    <cellStyle name="Table  - Opmaakprofiel6 2 5 3 4 2" xfId="11101"/>
    <cellStyle name="Table  - Opmaakprofiel6 2 5 3 4 2 2" xfId="23399"/>
    <cellStyle name="Table  - Opmaakprofiel6 2 5 3 4 2 3" xfId="35451"/>
    <cellStyle name="Table  - Opmaakprofiel6 2 5 3 4 2 4" xfId="30638"/>
    <cellStyle name="Table  - Opmaakprofiel6 2 5 3 4 2 5" xfId="56066"/>
    <cellStyle name="Table  - Opmaakprofiel6 2 5 3 4 3" xfId="17337"/>
    <cellStyle name="Table  - Opmaakprofiel6 2 5 3 4 4" xfId="29389"/>
    <cellStyle name="Table  - Opmaakprofiel6 2 5 3 4 5" xfId="44513"/>
    <cellStyle name="Table  - Opmaakprofiel6 2 5 3 4 6" xfId="50308"/>
    <cellStyle name="Table  - Opmaakprofiel6 2 5 3 5" xfId="6160"/>
    <cellStyle name="Table  - Opmaakprofiel6 2 5 3 5 2" xfId="11102"/>
    <cellStyle name="Table  - Opmaakprofiel6 2 5 3 5 2 2" xfId="23400"/>
    <cellStyle name="Table  - Opmaakprofiel6 2 5 3 5 2 3" xfId="35452"/>
    <cellStyle name="Table  - Opmaakprofiel6 2 5 3 5 2 4" xfId="41998"/>
    <cellStyle name="Table  - Opmaakprofiel6 2 5 3 5 2 5" xfId="56067"/>
    <cellStyle name="Table  - Opmaakprofiel6 2 5 3 5 3" xfId="17338"/>
    <cellStyle name="Table  - Opmaakprofiel6 2 5 3 5 4" xfId="29390"/>
    <cellStyle name="Table  - Opmaakprofiel6 2 5 3 5 5" xfId="38332"/>
    <cellStyle name="Table  - Opmaakprofiel6 2 5 3 5 6" xfId="50309"/>
    <cellStyle name="Table  - Opmaakprofiel6 2 5 3 6" xfId="6161"/>
    <cellStyle name="Table  - Opmaakprofiel6 2 5 3 6 2" xfId="11103"/>
    <cellStyle name="Table  - Opmaakprofiel6 2 5 3 6 2 2" xfId="23401"/>
    <cellStyle name="Table  - Opmaakprofiel6 2 5 3 6 2 3" xfId="35453"/>
    <cellStyle name="Table  - Opmaakprofiel6 2 5 3 6 2 4" xfId="31532"/>
    <cellStyle name="Table  - Opmaakprofiel6 2 5 3 6 2 5" xfId="56068"/>
    <cellStyle name="Table  - Opmaakprofiel6 2 5 3 6 3" xfId="17339"/>
    <cellStyle name="Table  - Opmaakprofiel6 2 5 3 6 4" xfId="29391"/>
    <cellStyle name="Table  - Opmaakprofiel6 2 5 3 6 5" xfId="44512"/>
    <cellStyle name="Table  - Opmaakprofiel6 2 5 3 6 6" xfId="50310"/>
    <cellStyle name="Table  - Opmaakprofiel6 2 5 3 7" xfId="6162"/>
    <cellStyle name="Table  - Opmaakprofiel6 2 5 3 7 2" xfId="17340"/>
    <cellStyle name="Table  - Opmaakprofiel6 2 5 3 7 3" xfId="29392"/>
    <cellStyle name="Table  - Opmaakprofiel6 2 5 3 7 4" xfId="38331"/>
    <cellStyle name="Table  - Opmaakprofiel6 2 5 3 7 5" xfId="50311"/>
    <cellStyle name="Table  - Opmaakprofiel6 2 5 3 8" xfId="7651"/>
    <cellStyle name="Table  - Opmaakprofiel6 2 5 3 8 2" xfId="19949"/>
    <cellStyle name="Table  - Opmaakprofiel6 2 5 3 8 3" xfId="41752"/>
    <cellStyle name="Table  - Opmaakprofiel6 2 5 3 8 4" xfId="34314"/>
    <cellStyle name="Table  - Opmaakprofiel6 2 5 3 8 5" xfId="52621"/>
    <cellStyle name="Table  - Opmaakprofiel6 2 5 3 9" xfId="17334"/>
    <cellStyle name="Table  - Opmaakprofiel6 2 5 4" xfId="511"/>
    <cellStyle name="Table  - Opmaakprofiel6 2 5 4 2" xfId="1477"/>
    <cellStyle name="Table  - Opmaakprofiel6 2 5 4 2 2" xfId="11104"/>
    <cellStyle name="Table  - Opmaakprofiel6 2 5 4 2 2 2" xfId="23402"/>
    <cellStyle name="Table  - Opmaakprofiel6 2 5 4 2 2 3" xfId="35454"/>
    <cellStyle name="Table  - Opmaakprofiel6 2 5 4 2 2 4" xfId="41997"/>
    <cellStyle name="Table  - Opmaakprofiel6 2 5 4 2 2 5" xfId="56069"/>
    <cellStyle name="Table  - Opmaakprofiel6 2 5 4 2 3" xfId="17342"/>
    <cellStyle name="Table  - Opmaakprofiel6 2 5 4 2 4" xfId="29394"/>
    <cellStyle name="Table  - Opmaakprofiel6 2 5 4 2 5" xfId="38330"/>
    <cellStyle name="Table  - Opmaakprofiel6 2 5 4 2 6" xfId="50312"/>
    <cellStyle name="Table  - Opmaakprofiel6 2 5 4 3" xfId="2582"/>
    <cellStyle name="Table  - Opmaakprofiel6 2 5 4 3 2" xfId="11105"/>
    <cellStyle name="Table  - Opmaakprofiel6 2 5 4 3 2 2" xfId="23403"/>
    <cellStyle name="Table  - Opmaakprofiel6 2 5 4 3 2 3" xfId="35455"/>
    <cellStyle name="Table  - Opmaakprofiel6 2 5 4 3 2 4" xfId="30648"/>
    <cellStyle name="Table  - Opmaakprofiel6 2 5 4 3 2 5" xfId="56070"/>
    <cellStyle name="Table  - Opmaakprofiel6 2 5 4 3 3" xfId="17343"/>
    <cellStyle name="Table  - Opmaakprofiel6 2 5 4 3 4" xfId="29395"/>
    <cellStyle name="Table  - Opmaakprofiel6 2 5 4 3 5" xfId="38329"/>
    <cellStyle name="Table  - Opmaakprofiel6 2 5 4 3 6" xfId="50313"/>
    <cellStyle name="Table  - Opmaakprofiel6 2 5 4 4" xfId="3465"/>
    <cellStyle name="Table  - Opmaakprofiel6 2 5 4 4 2" xfId="11106"/>
    <cellStyle name="Table  - Opmaakprofiel6 2 5 4 4 2 2" xfId="23404"/>
    <cellStyle name="Table  - Opmaakprofiel6 2 5 4 4 2 3" xfId="35456"/>
    <cellStyle name="Table  - Opmaakprofiel6 2 5 4 4 2 4" xfId="41996"/>
    <cellStyle name="Table  - Opmaakprofiel6 2 5 4 4 2 5" xfId="56071"/>
    <cellStyle name="Table  - Opmaakprofiel6 2 5 4 4 3" xfId="17344"/>
    <cellStyle name="Table  - Opmaakprofiel6 2 5 4 4 4" xfId="29396"/>
    <cellStyle name="Table  - Opmaakprofiel6 2 5 4 4 5" xfId="38328"/>
    <cellStyle name="Table  - Opmaakprofiel6 2 5 4 4 6" xfId="50314"/>
    <cellStyle name="Table  - Opmaakprofiel6 2 5 4 5" xfId="6163"/>
    <cellStyle name="Table  - Opmaakprofiel6 2 5 4 5 2" xfId="11107"/>
    <cellStyle name="Table  - Opmaakprofiel6 2 5 4 5 2 2" xfId="23405"/>
    <cellStyle name="Table  - Opmaakprofiel6 2 5 4 5 2 3" xfId="35457"/>
    <cellStyle name="Table  - Opmaakprofiel6 2 5 4 5 2 4" xfId="34473"/>
    <cellStyle name="Table  - Opmaakprofiel6 2 5 4 5 2 5" xfId="56072"/>
    <cellStyle name="Table  - Opmaakprofiel6 2 5 4 5 3" xfId="17345"/>
    <cellStyle name="Table  - Opmaakprofiel6 2 5 4 5 4" xfId="29397"/>
    <cellStyle name="Table  - Opmaakprofiel6 2 5 4 5 5" xfId="44509"/>
    <cellStyle name="Table  - Opmaakprofiel6 2 5 4 5 6" xfId="50315"/>
    <cellStyle name="Table  - Opmaakprofiel6 2 5 4 6" xfId="6164"/>
    <cellStyle name="Table  - Opmaakprofiel6 2 5 4 6 2" xfId="11108"/>
    <cellStyle name="Table  - Opmaakprofiel6 2 5 4 6 2 2" xfId="23406"/>
    <cellStyle name="Table  - Opmaakprofiel6 2 5 4 6 2 3" xfId="35458"/>
    <cellStyle name="Table  - Opmaakprofiel6 2 5 4 6 2 4" xfId="41995"/>
    <cellStyle name="Table  - Opmaakprofiel6 2 5 4 6 2 5" xfId="56073"/>
    <cellStyle name="Table  - Opmaakprofiel6 2 5 4 6 3" xfId="17346"/>
    <cellStyle name="Table  - Opmaakprofiel6 2 5 4 6 4" xfId="29398"/>
    <cellStyle name="Table  - Opmaakprofiel6 2 5 4 6 5" xfId="38327"/>
    <cellStyle name="Table  - Opmaakprofiel6 2 5 4 6 6" xfId="50316"/>
    <cellStyle name="Table  - Opmaakprofiel6 2 5 4 7" xfId="6165"/>
    <cellStyle name="Table  - Opmaakprofiel6 2 5 4 7 2" xfId="17347"/>
    <cellStyle name="Table  - Opmaakprofiel6 2 5 4 7 3" xfId="29399"/>
    <cellStyle name="Table  - Opmaakprofiel6 2 5 4 7 4" xfId="44508"/>
    <cellStyle name="Table  - Opmaakprofiel6 2 5 4 7 5" xfId="50317"/>
    <cellStyle name="Table  - Opmaakprofiel6 2 5 4 8" xfId="7642"/>
    <cellStyle name="Table  - Opmaakprofiel6 2 5 4 8 2" xfId="19940"/>
    <cellStyle name="Table  - Opmaakprofiel6 2 5 4 8 3" xfId="41743"/>
    <cellStyle name="Table  - Opmaakprofiel6 2 5 4 8 4" xfId="24975"/>
    <cellStyle name="Table  - Opmaakprofiel6 2 5 4 8 5" xfId="52612"/>
    <cellStyle name="Table  - Opmaakprofiel6 2 5 4 9" xfId="17341"/>
    <cellStyle name="Table  - Opmaakprofiel6 2 5 5" xfId="610"/>
    <cellStyle name="Table  - Opmaakprofiel6 2 5 5 2" xfId="1848"/>
    <cellStyle name="Table  - Opmaakprofiel6 2 5 5 2 2" xfId="11109"/>
    <cellStyle name="Table  - Opmaakprofiel6 2 5 5 2 2 2" xfId="23407"/>
    <cellStyle name="Table  - Opmaakprofiel6 2 5 5 2 2 3" xfId="35459"/>
    <cellStyle name="Table  - Opmaakprofiel6 2 5 5 2 2 4" xfId="30652"/>
    <cellStyle name="Table  - Opmaakprofiel6 2 5 5 2 2 5" xfId="56074"/>
    <cellStyle name="Table  - Opmaakprofiel6 2 5 5 2 3" xfId="17349"/>
    <cellStyle name="Table  - Opmaakprofiel6 2 5 5 2 4" xfId="29401"/>
    <cellStyle name="Table  - Opmaakprofiel6 2 5 5 2 5" xfId="44507"/>
    <cellStyle name="Table  - Opmaakprofiel6 2 5 5 2 6" xfId="50318"/>
    <cellStyle name="Table  - Opmaakprofiel6 2 5 5 3" xfId="2681"/>
    <cellStyle name="Table  - Opmaakprofiel6 2 5 5 3 2" xfId="11110"/>
    <cellStyle name="Table  - Opmaakprofiel6 2 5 5 3 2 2" xfId="23408"/>
    <cellStyle name="Table  - Opmaakprofiel6 2 5 5 3 2 3" xfId="35460"/>
    <cellStyle name="Table  - Opmaakprofiel6 2 5 5 3 2 4" xfId="31676"/>
    <cellStyle name="Table  - Opmaakprofiel6 2 5 5 3 2 5" xfId="56075"/>
    <cellStyle name="Table  - Opmaakprofiel6 2 5 5 3 3" xfId="17350"/>
    <cellStyle name="Table  - Opmaakprofiel6 2 5 5 3 4" xfId="29402"/>
    <cellStyle name="Table  - Opmaakprofiel6 2 5 5 3 5" xfId="38326"/>
    <cellStyle name="Table  - Opmaakprofiel6 2 5 5 3 6" xfId="50319"/>
    <cellStyle name="Table  - Opmaakprofiel6 2 5 5 4" xfId="3553"/>
    <cellStyle name="Table  - Opmaakprofiel6 2 5 5 4 2" xfId="11111"/>
    <cellStyle name="Table  - Opmaakprofiel6 2 5 5 4 2 2" xfId="23409"/>
    <cellStyle name="Table  - Opmaakprofiel6 2 5 5 4 2 3" xfId="35461"/>
    <cellStyle name="Table  - Opmaakprofiel6 2 5 5 4 2 4" xfId="30659"/>
    <cellStyle name="Table  - Opmaakprofiel6 2 5 5 4 2 5" xfId="56076"/>
    <cellStyle name="Table  - Opmaakprofiel6 2 5 5 4 3" xfId="17351"/>
    <cellStyle name="Table  - Opmaakprofiel6 2 5 5 4 4" xfId="29403"/>
    <cellStyle name="Table  - Opmaakprofiel6 2 5 5 4 5" xfId="44506"/>
    <cellStyle name="Table  - Opmaakprofiel6 2 5 5 4 6" xfId="50320"/>
    <cellStyle name="Table  - Opmaakprofiel6 2 5 5 5" xfId="6166"/>
    <cellStyle name="Table  - Opmaakprofiel6 2 5 5 5 2" xfId="11112"/>
    <cellStyle name="Table  - Opmaakprofiel6 2 5 5 5 2 2" xfId="23410"/>
    <cellStyle name="Table  - Opmaakprofiel6 2 5 5 5 2 3" xfId="35462"/>
    <cellStyle name="Table  - Opmaakprofiel6 2 5 5 5 2 4" xfId="41994"/>
    <cellStyle name="Table  - Opmaakprofiel6 2 5 5 5 2 5" xfId="56077"/>
    <cellStyle name="Table  - Opmaakprofiel6 2 5 5 5 3" xfId="17352"/>
    <cellStyle name="Table  - Opmaakprofiel6 2 5 5 5 4" xfId="29404"/>
    <cellStyle name="Table  - Opmaakprofiel6 2 5 5 5 5" xfId="38325"/>
    <cellStyle name="Table  - Opmaakprofiel6 2 5 5 5 6" xfId="50321"/>
    <cellStyle name="Table  - Opmaakprofiel6 2 5 5 6" xfId="6167"/>
    <cellStyle name="Table  - Opmaakprofiel6 2 5 5 6 2" xfId="11113"/>
    <cellStyle name="Table  - Opmaakprofiel6 2 5 5 6 2 2" xfId="23411"/>
    <cellStyle name="Table  - Opmaakprofiel6 2 5 5 6 2 3" xfId="35463"/>
    <cellStyle name="Table  - Opmaakprofiel6 2 5 5 6 2 4" xfId="31609"/>
    <cellStyle name="Table  - Opmaakprofiel6 2 5 5 6 2 5" xfId="56078"/>
    <cellStyle name="Table  - Opmaakprofiel6 2 5 5 6 3" xfId="17353"/>
    <cellStyle name="Table  - Opmaakprofiel6 2 5 5 6 4" xfId="29405"/>
    <cellStyle name="Table  - Opmaakprofiel6 2 5 5 6 5" xfId="44505"/>
    <cellStyle name="Table  - Opmaakprofiel6 2 5 5 6 6" xfId="50322"/>
    <cellStyle name="Table  - Opmaakprofiel6 2 5 5 7" xfId="6168"/>
    <cellStyle name="Table  - Opmaakprofiel6 2 5 5 7 2" xfId="17354"/>
    <cellStyle name="Table  - Opmaakprofiel6 2 5 5 7 3" xfId="29406"/>
    <cellStyle name="Table  - Opmaakprofiel6 2 5 5 7 4" xfId="38324"/>
    <cellStyle name="Table  - Opmaakprofiel6 2 5 5 7 5" xfId="50323"/>
    <cellStyle name="Table  - Opmaakprofiel6 2 5 5 8" xfId="7575"/>
    <cellStyle name="Table  - Opmaakprofiel6 2 5 5 8 2" xfId="19873"/>
    <cellStyle name="Table  - Opmaakprofiel6 2 5 5 8 3" xfId="41676"/>
    <cellStyle name="Table  - Opmaakprofiel6 2 5 5 8 4" xfId="34582"/>
    <cellStyle name="Table  - Opmaakprofiel6 2 5 5 8 5" xfId="52545"/>
    <cellStyle name="Table  - Opmaakprofiel6 2 5 5 9" xfId="17348"/>
    <cellStyle name="Table  - Opmaakprofiel6 2 5 6" xfId="1118"/>
    <cellStyle name="Table  - Opmaakprofiel6 2 5 6 2" xfId="2224"/>
    <cellStyle name="Table  - Opmaakprofiel6 2 5 6 2 2" xfId="11114"/>
    <cellStyle name="Table  - Opmaakprofiel6 2 5 6 2 2 2" xfId="23412"/>
    <cellStyle name="Table  - Opmaakprofiel6 2 5 6 2 2 3" xfId="35464"/>
    <cellStyle name="Table  - Opmaakprofiel6 2 5 6 2 2 4" xfId="41993"/>
    <cellStyle name="Table  - Opmaakprofiel6 2 5 6 2 2 5" xfId="56079"/>
    <cellStyle name="Table  - Opmaakprofiel6 2 5 6 2 3" xfId="17356"/>
    <cellStyle name="Table  - Opmaakprofiel6 2 5 6 2 4" xfId="29408"/>
    <cellStyle name="Table  - Opmaakprofiel6 2 5 6 2 5" xfId="38322"/>
    <cellStyle name="Table  - Opmaakprofiel6 2 5 6 2 6" xfId="50324"/>
    <cellStyle name="Table  - Opmaakprofiel6 2 5 6 3" xfId="3129"/>
    <cellStyle name="Table  - Opmaakprofiel6 2 5 6 3 2" xfId="11115"/>
    <cellStyle name="Table  - Opmaakprofiel6 2 5 6 3 2 2" xfId="23413"/>
    <cellStyle name="Table  - Opmaakprofiel6 2 5 6 3 2 3" xfId="35465"/>
    <cellStyle name="Table  - Opmaakprofiel6 2 5 6 3 2 4" xfId="30666"/>
    <cellStyle name="Table  - Opmaakprofiel6 2 5 6 3 2 5" xfId="56080"/>
    <cellStyle name="Table  - Opmaakprofiel6 2 5 6 3 3" xfId="17357"/>
    <cellStyle name="Table  - Opmaakprofiel6 2 5 6 3 4" xfId="29409"/>
    <cellStyle name="Table  - Opmaakprofiel6 2 5 6 3 5" xfId="44503"/>
    <cellStyle name="Table  - Opmaakprofiel6 2 5 6 3 6" xfId="50325"/>
    <cellStyle name="Table  - Opmaakprofiel6 2 5 6 4" xfId="3963"/>
    <cellStyle name="Table  - Opmaakprofiel6 2 5 6 4 2" xfId="11116"/>
    <cellStyle name="Table  - Opmaakprofiel6 2 5 6 4 2 2" xfId="23414"/>
    <cellStyle name="Table  - Opmaakprofiel6 2 5 6 4 2 3" xfId="35466"/>
    <cellStyle name="Table  - Opmaakprofiel6 2 5 6 4 2 4" xfId="41992"/>
    <cellStyle name="Table  - Opmaakprofiel6 2 5 6 4 2 5" xfId="56081"/>
    <cellStyle name="Table  - Opmaakprofiel6 2 5 6 4 3" xfId="17358"/>
    <cellStyle name="Table  - Opmaakprofiel6 2 5 6 4 4" xfId="29410"/>
    <cellStyle name="Table  - Opmaakprofiel6 2 5 6 4 5" xfId="38321"/>
    <cellStyle name="Table  - Opmaakprofiel6 2 5 6 4 6" xfId="50326"/>
    <cellStyle name="Table  - Opmaakprofiel6 2 5 6 5" xfId="6169"/>
    <cellStyle name="Table  - Opmaakprofiel6 2 5 6 5 2" xfId="11117"/>
    <cellStyle name="Table  - Opmaakprofiel6 2 5 6 5 2 2" xfId="23415"/>
    <cellStyle name="Table  - Opmaakprofiel6 2 5 6 5 2 3" xfId="35467"/>
    <cellStyle name="Table  - Opmaakprofiel6 2 5 6 5 2 4" xfId="34747"/>
    <cellStyle name="Table  - Opmaakprofiel6 2 5 6 5 2 5" xfId="56082"/>
    <cellStyle name="Table  - Opmaakprofiel6 2 5 6 5 3" xfId="17359"/>
    <cellStyle name="Table  - Opmaakprofiel6 2 5 6 5 4" xfId="29411"/>
    <cellStyle name="Table  - Opmaakprofiel6 2 5 6 5 5" xfId="44502"/>
    <cellStyle name="Table  - Opmaakprofiel6 2 5 6 5 6" xfId="50327"/>
    <cellStyle name="Table  - Opmaakprofiel6 2 5 6 6" xfId="6170"/>
    <cellStyle name="Table  - Opmaakprofiel6 2 5 6 6 2" xfId="11118"/>
    <cellStyle name="Table  - Opmaakprofiel6 2 5 6 6 2 2" xfId="23416"/>
    <cellStyle name="Table  - Opmaakprofiel6 2 5 6 6 2 3" xfId="35468"/>
    <cellStyle name="Table  - Opmaakprofiel6 2 5 6 6 2 4" xfId="41991"/>
    <cellStyle name="Table  - Opmaakprofiel6 2 5 6 6 2 5" xfId="56083"/>
    <cellStyle name="Table  - Opmaakprofiel6 2 5 6 6 3" xfId="17360"/>
    <cellStyle name="Table  - Opmaakprofiel6 2 5 6 6 4" xfId="29412"/>
    <cellStyle name="Table  - Opmaakprofiel6 2 5 6 6 5" xfId="38320"/>
    <cellStyle name="Table  - Opmaakprofiel6 2 5 6 6 6" xfId="50328"/>
    <cellStyle name="Table  - Opmaakprofiel6 2 5 6 7" xfId="6171"/>
    <cellStyle name="Table  - Opmaakprofiel6 2 5 6 7 2" xfId="17361"/>
    <cellStyle name="Table  - Opmaakprofiel6 2 5 6 7 3" xfId="29413"/>
    <cellStyle name="Table  - Opmaakprofiel6 2 5 6 7 4" xfId="44501"/>
    <cellStyle name="Table  - Opmaakprofiel6 2 5 6 7 5" xfId="50329"/>
    <cellStyle name="Table  - Opmaakprofiel6 2 5 6 8" xfId="9921"/>
    <cellStyle name="Table  - Opmaakprofiel6 2 5 6 8 2" xfId="22219"/>
    <cellStyle name="Table  - Opmaakprofiel6 2 5 6 8 3" xfId="43985"/>
    <cellStyle name="Table  - Opmaakprofiel6 2 5 6 8 4" xfId="28354"/>
    <cellStyle name="Table  - Opmaakprofiel6 2 5 6 8 5" xfId="54886"/>
    <cellStyle name="Table  - Opmaakprofiel6 2 5 6 9" xfId="17355"/>
    <cellStyle name="Table  - Opmaakprofiel6 2 5 7" xfId="1679"/>
    <cellStyle name="Table  - Opmaakprofiel6 2 5 7 2" xfId="11119"/>
    <cellStyle name="Table  - Opmaakprofiel6 2 5 7 2 2" xfId="23417"/>
    <cellStyle name="Table  - Opmaakprofiel6 2 5 7 2 3" xfId="35469"/>
    <cellStyle name="Table  - Opmaakprofiel6 2 5 7 2 4" xfId="30673"/>
    <cellStyle name="Table  - Opmaakprofiel6 2 5 7 2 5" xfId="56084"/>
    <cellStyle name="Table  - Opmaakprofiel6 2 5 7 3" xfId="17362"/>
    <cellStyle name="Table  - Opmaakprofiel6 2 5 7 4" xfId="29414"/>
    <cellStyle name="Table  - Opmaakprofiel6 2 5 7 5" xfId="38319"/>
    <cellStyle name="Table  - Opmaakprofiel6 2 5 7 6" xfId="50330"/>
    <cellStyle name="Table  - Opmaakprofiel6 2 5 8" xfId="2752"/>
    <cellStyle name="Table  - Opmaakprofiel6 2 5 8 2" xfId="11120"/>
    <cellStyle name="Table  - Opmaakprofiel6 2 5 8 2 2" xfId="23418"/>
    <cellStyle name="Table  - Opmaakprofiel6 2 5 8 2 3" xfId="35470"/>
    <cellStyle name="Table  - Opmaakprofiel6 2 5 8 2 4" xfId="41990"/>
    <cellStyle name="Table  - Opmaakprofiel6 2 5 8 2 5" xfId="56085"/>
    <cellStyle name="Table  - Opmaakprofiel6 2 5 8 3" xfId="17363"/>
    <cellStyle name="Table  - Opmaakprofiel6 2 5 8 4" xfId="29415"/>
    <cellStyle name="Table  - Opmaakprofiel6 2 5 8 5" xfId="44500"/>
    <cellStyle name="Table  - Opmaakprofiel6 2 5 8 6" xfId="50331"/>
    <cellStyle name="Table  - Opmaakprofiel6 2 5 9" xfId="3614"/>
    <cellStyle name="Table  - Opmaakprofiel6 2 5 9 2" xfId="11121"/>
    <cellStyle name="Table  - Opmaakprofiel6 2 5 9 2 2" xfId="23419"/>
    <cellStyle name="Table  - Opmaakprofiel6 2 5 9 2 3" xfId="35471"/>
    <cellStyle name="Table  - Opmaakprofiel6 2 5 9 2 4" xfId="31480"/>
    <cellStyle name="Table  - Opmaakprofiel6 2 5 9 2 5" xfId="56086"/>
    <cellStyle name="Table  - Opmaakprofiel6 2 5 9 3" xfId="17364"/>
    <cellStyle name="Table  - Opmaakprofiel6 2 5 9 4" xfId="29416"/>
    <cellStyle name="Table  - Opmaakprofiel6 2 5 9 5" xfId="38318"/>
    <cellStyle name="Table  - Opmaakprofiel6 2 5 9 6" xfId="50332"/>
    <cellStyle name="Table  - Opmaakprofiel6 2 6" xfId="732"/>
    <cellStyle name="Table  - Opmaakprofiel6 2 6 10" xfId="6172"/>
    <cellStyle name="Table  - Opmaakprofiel6 2 6 10 2" xfId="11122"/>
    <cellStyle name="Table  - Opmaakprofiel6 2 6 10 2 2" xfId="23420"/>
    <cellStyle name="Table  - Opmaakprofiel6 2 6 10 2 3" xfId="35472"/>
    <cellStyle name="Table  - Opmaakprofiel6 2 6 10 2 4" xfId="30680"/>
    <cellStyle name="Table  - Opmaakprofiel6 2 6 10 2 5" xfId="56087"/>
    <cellStyle name="Table  - Opmaakprofiel6 2 6 10 3" xfId="17366"/>
    <cellStyle name="Table  - Opmaakprofiel6 2 6 10 4" xfId="29418"/>
    <cellStyle name="Table  - Opmaakprofiel6 2 6 10 5" xfId="38317"/>
    <cellStyle name="Table  - Opmaakprofiel6 2 6 10 6" xfId="50333"/>
    <cellStyle name="Table  - Opmaakprofiel6 2 6 11" xfId="6173"/>
    <cellStyle name="Table  - Opmaakprofiel6 2 6 11 2" xfId="11123"/>
    <cellStyle name="Table  - Opmaakprofiel6 2 6 11 2 2" xfId="23421"/>
    <cellStyle name="Table  - Opmaakprofiel6 2 6 11 2 3" xfId="35473"/>
    <cellStyle name="Table  - Opmaakprofiel6 2 6 11 2 4" xfId="31437"/>
    <cellStyle name="Table  - Opmaakprofiel6 2 6 11 2 5" xfId="56088"/>
    <cellStyle name="Table  - Opmaakprofiel6 2 6 11 3" xfId="17367"/>
    <cellStyle name="Table  - Opmaakprofiel6 2 6 11 4" xfId="29419"/>
    <cellStyle name="Table  - Opmaakprofiel6 2 6 11 5" xfId="38316"/>
    <cellStyle name="Table  - Opmaakprofiel6 2 6 11 6" xfId="50334"/>
    <cellStyle name="Table  - Opmaakprofiel6 2 6 12" xfId="6174"/>
    <cellStyle name="Table  - Opmaakprofiel6 2 6 12 2" xfId="17368"/>
    <cellStyle name="Table  - Opmaakprofiel6 2 6 12 3" xfId="29420"/>
    <cellStyle name="Table  - Opmaakprofiel6 2 6 12 4" xfId="38315"/>
    <cellStyle name="Table  - Opmaakprofiel6 2 6 12 5" xfId="50335"/>
    <cellStyle name="Table  - Opmaakprofiel6 2 6 13" xfId="7492"/>
    <cellStyle name="Table  - Opmaakprofiel6 2 6 13 2" xfId="19790"/>
    <cellStyle name="Table  - Opmaakprofiel6 2 6 13 3" xfId="41593"/>
    <cellStyle name="Table  - Opmaakprofiel6 2 6 13 4" xfId="43486"/>
    <cellStyle name="Table  - Opmaakprofiel6 2 6 13 5" xfId="52462"/>
    <cellStyle name="Table  - Opmaakprofiel6 2 6 14" xfId="17365"/>
    <cellStyle name="Table  - Opmaakprofiel6 2 6 2" xfId="902"/>
    <cellStyle name="Table  - Opmaakprofiel6 2 6 2 2" xfId="1798"/>
    <cellStyle name="Table  - Opmaakprofiel6 2 6 2 2 2" xfId="11124"/>
    <cellStyle name="Table  - Opmaakprofiel6 2 6 2 2 2 2" xfId="23422"/>
    <cellStyle name="Table  - Opmaakprofiel6 2 6 2 2 2 3" xfId="35474"/>
    <cellStyle name="Table  - Opmaakprofiel6 2 6 2 2 2 4" xfId="41989"/>
    <cellStyle name="Table  - Opmaakprofiel6 2 6 2 2 2 5" xfId="56089"/>
    <cellStyle name="Table  - Opmaakprofiel6 2 6 2 2 3" xfId="17370"/>
    <cellStyle name="Table  - Opmaakprofiel6 2 6 2 2 4" xfId="29422"/>
    <cellStyle name="Table  - Opmaakprofiel6 2 6 2 2 5" xfId="38314"/>
    <cellStyle name="Table  - Opmaakprofiel6 2 6 2 2 6" xfId="50336"/>
    <cellStyle name="Table  - Opmaakprofiel6 2 6 2 3" xfId="2913"/>
    <cellStyle name="Table  - Opmaakprofiel6 2 6 2 3 2" xfId="11125"/>
    <cellStyle name="Table  - Opmaakprofiel6 2 6 2 3 2 2" xfId="23423"/>
    <cellStyle name="Table  - Opmaakprofiel6 2 6 2 3 2 3" xfId="35475"/>
    <cellStyle name="Table  - Opmaakprofiel6 2 6 2 3 2 4" xfId="30690"/>
    <cellStyle name="Table  - Opmaakprofiel6 2 6 2 3 2 5" xfId="56090"/>
    <cellStyle name="Table  - Opmaakprofiel6 2 6 2 3 3" xfId="17371"/>
    <cellStyle name="Table  - Opmaakprofiel6 2 6 2 3 4" xfId="29423"/>
    <cellStyle name="Table  - Opmaakprofiel6 2 6 2 3 5" xfId="44496"/>
    <cellStyle name="Table  - Opmaakprofiel6 2 6 2 3 6" xfId="50337"/>
    <cellStyle name="Table  - Opmaakprofiel6 2 6 2 4" xfId="3766"/>
    <cellStyle name="Table  - Opmaakprofiel6 2 6 2 4 2" xfId="11126"/>
    <cellStyle name="Table  - Opmaakprofiel6 2 6 2 4 2 2" xfId="23424"/>
    <cellStyle name="Table  - Opmaakprofiel6 2 6 2 4 2 3" xfId="35476"/>
    <cellStyle name="Table  - Opmaakprofiel6 2 6 2 4 2 4" xfId="41988"/>
    <cellStyle name="Table  - Opmaakprofiel6 2 6 2 4 2 5" xfId="56091"/>
    <cellStyle name="Table  - Opmaakprofiel6 2 6 2 4 3" xfId="17372"/>
    <cellStyle name="Table  - Opmaakprofiel6 2 6 2 4 4" xfId="29424"/>
    <cellStyle name="Table  - Opmaakprofiel6 2 6 2 4 5" xfId="38313"/>
    <cellStyle name="Table  - Opmaakprofiel6 2 6 2 4 6" xfId="50338"/>
    <cellStyle name="Table  - Opmaakprofiel6 2 6 2 5" xfId="6175"/>
    <cellStyle name="Table  - Opmaakprofiel6 2 6 2 5 2" xfId="11127"/>
    <cellStyle name="Table  - Opmaakprofiel6 2 6 2 5 2 2" xfId="23425"/>
    <cellStyle name="Table  - Opmaakprofiel6 2 6 2 5 2 3" xfId="35477"/>
    <cellStyle name="Table  - Opmaakprofiel6 2 6 2 5 2 4" xfId="31799"/>
    <cellStyle name="Table  - Opmaakprofiel6 2 6 2 5 2 5" xfId="56092"/>
    <cellStyle name="Table  - Opmaakprofiel6 2 6 2 5 3" xfId="17373"/>
    <cellStyle name="Table  - Opmaakprofiel6 2 6 2 5 4" xfId="29425"/>
    <cellStyle name="Table  - Opmaakprofiel6 2 6 2 5 5" xfId="38312"/>
    <cellStyle name="Table  - Opmaakprofiel6 2 6 2 5 6" xfId="50339"/>
    <cellStyle name="Table  - Opmaakprofiel6 2 6 2 6" xfId="6176"/>
    <cellStyle name="Table  - Opmaakprofiel6 2 6 2 6 2" xfId="11128"/>
    <cellStyle name="Table  - Opmaakprofiel6 2 6 2 6 2 2" xfId="23426"/>
    <cellStyle name="Table  - Opmaakprofiel6 2 6 2 6 2 3" xfId="35478"/>
    <cellStyle name="Table  - Opmaakprofiel6 2 6 2 6 2 4" xfId="30694"/>
    <cellStyle name="Table  - Opmaakprofiel6 2 6 2 6 2 5" xfId="56093"/>
    <cellStyle name="Table  - Opmaakprofiel6 2 6 2 6 3" xfId="17374"/>
    <cellStyle name="Table  - Opmaakprofiel6 2 6 2 6 4" xfId="29426"/>
    <cellStyle name="Table  - Opmaakprofiel6 2 6 2 6 5" xfId="44494"/>
    <cellStyle name="Table  - Opmaakprofiel6 2 6 2 6 6" xfId="50340"/>
    <cellStyle name="Table  - Opmaakprofiel6 2 6 2 7" xfId="6177"/>
    <cellStyle name="Table  - Opmaakprofiel6 2 6 2 7 2" xfId="17375"/>
    <cellStyle name="Table  - Opmaakprofiel6 2 6 2 7 3" xfId="29427"/>
    <cellStyle name="Table  - Opmaakprofiel6 2 6 2 7 4" xfId="38311"/>
    <cellStyle name="Table  - Opmaakprofiel6 2 6 2 7 5" xfId="50341"/>
    <cellStyle name="Table  - Opmaakprofiel6 2 6 2 8" xfId="7378"/>
    <cellStyle name="Table  - Opmaakprofiel6 2 6 2 8 2" xfId="19676"/>
    <cellStyle name="Table  - Opmaakprofiel6 2 6 2 8 3" xfId="41479"/>
    <cellStyle name="Table  - Opmaakprofiel6 2 6 2 8 4" xfId="16374"/>
    <cellStyle name="Table  - Opmaakprofiel6 2 6 2 8 5" xfId="52348"/>
    <cellStyle name="Table  - Opmaakprofiel6 2 6 2 9" xfId="17369"/>
    <cellStyle name="Table  - Opmaakprofiel6 2 6 3" xfId="1001"/>
    <cellStyle name="Table  - Opmaakprofiel6 2 6 3 2" xfId="2359"/>
    <cellStyle name="Table  - Opmaakprofiel6 2 6 3 2 2" xfId="11129"/>
    <cellStyle name="Table  - Opmaakprofiel6 2 6 3 2 2 2" xfId="23427"/>
    <cellStyle name="Table  - Opmaakprofiel6 2 6 3 2 2 3" xfId="35479"/>
    <cellStyle name="Table  - Opmaakprofiel6 2 6 3 2 2 4" xfId="41987"/>
    <cellStyle name="Table  - Opmaakprofiel6 2 6 3 2 2 5" xfId="56094"/>
    <cellStyle name="Table  - Opmaakprofiel6 2 6 3 2 3" xfId="17377"/>
    <cellStyle name="Table  - Opmaakprofiel6 2 6 3 2 4" xfId="29429"/>
    <cellStyle name="Table  - Opmaakprofiel6 2 6 3 2 5" xfId="38310"/>
    <cellStyle name="Table  - Opmaakprofiel6 2 6 3 2 6" xfId="50342"/>
    <cellStyle name="Table  - Opmaakprofiel6 2 6 3 3" xfId="3012"/>
    <cellStyle name="Table  - Opmaakprofiel6 2 6 3 3 2" xfId="11130"/>
    <cellStyle name="Table  - Opmaakprofiel6 2 6 3 3 2 2" xfId="23428"/>
    <cellStyle name="Table  - Opmaakprofiel6 2 6 3 3 2 3" xfId="35480"/>
    <cellStyle name="Table  - Opmaakprofiel6 2 6 3 3 2 4" xfId="31689"/>
    <cellStyle name="Table  - Opmaakprofiel6 2 6 3 3 2 5" xfId="56095"/>
    <cellStyle name="Table  - Opmaakprofiel6 2 6 3 3 3" xfId="17378"/>
    <cellStyle name="Table  - Opmaakprofiel6 2 6 3 3 4" xfId="29430"/>
    <cellStyle name="Table  - Opmaakprofiel6 2 6 3 3 5" xfId="44492"/>
    <cellStyle name="Table  - Opmaakprofiel6 2 6 3 3 6" xfId="50343"/>
    <cellStyle name="Table  - Opmaakprofiel6 2 6 3 4" xfId="3858"/>
    <cellStyle name="Table  - Opmaakprofiel6 2 6 3 4 2" xfId="11131"/>
    <cellStyle name="Table  - Opmaakprofiel6 2 6 3 4 2 2" xfId="23429"/>
    <cellStyle name="Table  - Opmaakprofiel6 2 6 3 4 2 3" xfId="35481"/>
    <cellStyle name="Table  - Opmaakprofiel6 2 6 3 4 2 4" xfId="41986"/>
    <cellStyle name="Table  - Opmaakprofiel6 2 6 3 4 2 5" xfId="56096"/>
    <cellStyle name="Table  - Opmaakprofiel6 2 6 3 4 3" xfId="17379"/>
    <cellStyle name="Table  - Opmaakprofiel6 2 6 3 4 4" xfId="29431"/>
    <cellStyle name="Table  - Opmaakprofiel6 2 6 3 4 5" xfId="38309"/>
    <cellStyle name="Table  - Opmaakprofiel6 2 6 3 4 6" xfId="50344"/>
    <cellStyle name="Table  - Opmaakprofiel6 2 6 3 5" xfId="6178"/>
    <cellStyle name="Table  - Opmaakprofiel6 2 6 3 5 2" xfId="11132"/>
    <cellStyle name="Table  - Opmaakprofiel6 2 6 3 5 2 2" xfId="23430"/>
    <cellStyle name="Table  - Opmaakprofiel6 2 6 3 5 2 3" xfId="35482"/>
    <cellStyle name="Table  - Opmaakprofiel6 2 6 3 5 2 4" xfId="30701"/>
    <cellStyle name="Table  - Opmaakprofiel6 2 6 3 5 2 5" xfId="56097"/>
    <cellStyle name="Table  - Opmaakprofiel6 2 6 3 5 3" xfId="17380"/>
    <cellStyle name="Table  - Opmaakprofiel6 2 6 3 5 4" xfId="29432"/>
    <cellStyle name="Table  - Opmaakprofiel6 2 6 3 5 5" xfId="38308"/>
    <cellStyle name="Table  - Opmaakprofiel6 2 6 3 5 6" xfId="50345"/>
    <cellStyle name="Table  - Opmaakprofiel6 2 6 3 6" xfId="6179"/>
    <cellStyle name="Table  - Opmaakprofiel6 2 6 3 6 2" xfId="11133"/>
    <cellStyle name="Table  - Opmaakprofiel6 2 6 3 6 2 2" xfId="23431"/>
    <cellStyle name="Table  - Opmaakprofiel6 2 6 3 6 2 3" xfId="35483"/>
    <cellStyle name="Table  - Opmaakprofiel6 2 6 3 6 2 4" xfId="41985"/>
    <cellStyle name="Table  - Opmaakprofiel6 2 6 3 6 2 5" xfId="56098"/>
    <cellStyle name="Table  - Opmaakprofiel6 2 6 3 6 3" xfId="17381"/>
    <cellStyle name="Table  - Opmaakprofiel6 2 6 3 6 4" xfId="29433"/>
    <cellStyle name="Table  - Opmaakprofiel6 2 6 3 6 5" xfId="44491"/>
    <cellStyle name="Table  - Opmaakprofiel6 2 6 3 6 6" xfId="50346"/>
    <cellStyle name="Table  - Opmaakprofiel6 2 6 3 7" xfId="6180"/>
    <cellStyle name="Table  - Opmaakprofiel6 2 6 3 7 2" xfId="17382"/>
    <cellStyle name="Table  - Opmaakprofiel6 2 6 3 7 3" xfId="29434"/>
    <cellStyle name="Table  - Opmaakprofiel6 2 6 3 7 4" xfId="38307"/>
    <cellStyle name="Table  - Opmaakprofiel6 2 6 3 7 5" xfId="50347"/>
    <cellStyle name="Table  - Opmaakprofiel6 2 6 3 8" xfId="7311"/>
    <cellStyle name="Table  - Opmaakprofiel6 2 6 3 8 2" xfId="19609"/>
    <cellStyle name="Table  - Opmaakprofiel6 2 6 3 8 3" xfId="41412"/>
    <cellStyle name="Table  - Opmaakprofiel6 2 6 3 8 4" xfId="36853"/>
    <cellStyle name="Table  - Opmaakprofiel6 2 6 3 8 5" xfId="52281"/>
    <cellStyle name="Table  - Opmaakprofiel6 2 6 3 9" xfId="17376"/>
    <cellStyle name="Table  - Opmaakprofiel6 2 6 4" xfId="1126"/>
    <cellStyle name="Table  - Opmaakprofiel6 2 6 4 2" xfId="2071"/>
    <cellStyle name="Table  - Opmaakprofiel6 2 6 4 2 2" xfId="11134"/>
    <cellStyle name="Table  - Opmaakprofiel6 2 6 4 2 2 2" xfId="23432"/>
    <cellStyle name="Table  - Opmaakprofiel6 2 6 4 2 2 3" xfId="35484"/>
    <cellStyle name="Table  - Opmaakprofiel6 2 6 4 2 2 4" xfId="31623"/>
    <cellStyle name="Table  - Opmaakprofiel6 2 6 4 2 2 5" xfId="56099"/>
    <cellStyle name="Table  - Opmaakprofiel6 2 6 4 2 3" xfId="17384"/>
    <cellStyle name="Table  - Opmaakprofiel6 2 6 4 2 4" xfId="29436"/>
    <cellStyle name="Table  - Opmaakprofiel6 2 6 4 2 5" xfId="38306"/>
    <cellStyle name="Table  - Opmaakprofiel6 2 6 4 2 6" xfId="50348"/>
    <cellStyle name="Table  - Opmaakprofiel6 2 6 4 3" xfId="3137"/>
    <cellStyle name="Table  - Opmaakprofiel6 2 6 4 3 2" xfId="11135"/>
    <cellStyle name="Table  - Opmaakprofiel6 2 6 4 3 2 2" xfId="23433"/>
    <cellStyle name="Table  - Opmaakprofiel6 2 6 4 3 2 3" xfId="35485"/>
    <cellStyle name="Table  - Opmaakprofiel6 2 6 4 3 2 4" xfId="30708"/>
    <cellStyle name="Table  - Opmaakprofiel6 2 6 4 3 2 5" xfId="56100"/>
    <cellStyle name="Table  - Opmaakprofiel6 2 6 4 3 3" xfId="17385"/>
    <cellStyle name="Table  - Opmaakprofiel6 2 6 4 3 4" xfId="29437"/>
    <cellStyle name="Table  - Opmaakprofiel6 2 6 4 3 5" xfId="44489"/>
    <cellStyle name="Table  - Opmaakprofiel6 2 6 4 3 6" xfId="50349"/>
    <cellStyle name="Table  - Opmaakprofiel6 2 6 4 4" xfId="3969"/>
    <cellStyle name="Table  - Opmaakprofiel6 2 6 4 4 2" xfId="11136"/>
    <cellStyle name="Table  - Opmaakprofiel6 2 6 4 4 2 2" xfId="23434"/>
    <cellStyle name="Table  - Opmaakprofiel6 2 6 4 4 2 3" xfId="35486"/>
    <cellStyle name="Table  - Opmaakprofiel6 2 6 4 4 2 4" xfId="41984"/>
    <cellStyle name="Table  - Opmaakprofiel6 2 6 4 4 2 5" xfId="56101"/>
    <cellStyle name="Table  - Opmaakprofiel6 2 6 4 4 3" xfId="17386"/>
    <cellStyle name="Table  - Opmaakprofiel6 2 6 4 4 4" xfId="29438"/>
    <cellStyle name="Table  - Opmaakprofiel6 2 6 4 4 5" xfId="38305"/>
    <cellStyle name="Table  - Opmaakprofiel6 2 6 4 4 6" xfId="50350"/>
    <cellStyle name="Table  - Opmaakprofiel6 2 6 4 5" xfId="6181"/>
    <cellStyle name="Table  - Opmaakprofiel6 2 6 4 5 2" xfId="11137"/>
    <cellStyle name="Table  - Opmaakprofiel6 2 6 4 5 2 2" xfId="23435"/>
    <cellStyle name="Table  - Opmaakprofiel6 2 6 4 5 2 3" xfId="35487"/>
    <cellStyle name="Table  - Opmaakprofiel6 2 6 4 5 2 4" xfId="31576"/>
    <cellStyle name="Table  - Opmaakprofiel6 2 6 4 5 2 5" xfId="56102"/>
    <cellStyle name="Table  - Opmaakprofiel6 2 6 4 5 3" xfId="17387"/>
    <cellStyle name="Table  - Opmaakprofiel6 2 6 4 5 4" xfId="29439"/>
    <cellStyle name="Table  - Opmaakprofiel6 2 6 4 5 5" xfId="44488"/>
    <cellStyle name="Table  - Opmaakprofiel6 2 6 4 5 6" xfId="50351"/>
    <cellStyle name="Table  - Opmaakprofiel6 2 6 4 6" xfId="6182"/>
    <cellStyle name="Table  - Opmaakprofiel6 2 6 4 6 2" xfId="11138"/>
    <cellStyle name="Table  - Opmaakprofiel6 2 6 4 6 2 2" xfId="23436"/>
    <cellStyle name="Table  - Opmaakprofiel6 2 6 4 6 2 3" xfId="35488"/>
    <cellStyle name="Table  - Opmaakprofiel6 2 6 4 6 2 4" xfId="41983"/>
    <cellStyle name="Table  - Opmaakprofiel6 2 6 4 6 2 5" xfId="56103"/>
    <cellStyle name="Table  - Opmaakprofiel6 2 6 4 6 3" xfId="17388"/>
    <cellStyle name="Table  - Opmaakprofiel6 2 6 4 6 4" xfId="29440"/>
    <cellStyle name="Table  - Opmaakprofiel6 2 6 4 6 5" xfId="38304"/>
    <cellStyle name="Table  - Opmaakprofiel6 2 6 4 6 6" xfId="50352"/>
    <cellStyle name="Table  - Opmaakprofiel6 2 6 4 7" xfId="6183"/>
    <cellStyle name="Table  - Opmaakprofiel6 2 6 4 7 2" xfId="17389"/>
    <cellStyle name="Table  - Opmaakprofiel6 2 6 4 7 3" xfId="29441"/>
    <cellStyle name="Table  - Opmaakprofiel6 2 6 4 7 4" xfId="44487"/>
    <cellStyle name="Table  - Opmaakprofiel6 2 6 4 7 5" xfId="50353"/>
    <cellStyle name="Table  - Opmaakprofiel6 2 6 4 8" xfId="7225"/>
    <cellStyle name="Table  - Opmaakprofiel6 2 6 4 8 2" xfId="19523"/>
    <cellStyle name="Table  - Opmaakprofiel6 2 6 4 8 3" xfId="41326"/>
    <cellStyle name="Table  - Opmaakprofiel6 2 6 4 8 4" xfId="36903"/>
    <cellStyle name="Table  - Opmaakprofiel6 2 6 4 8 5" xfId="52195"/>
    <cellStyle name="Table  - Opmaakprofiel6 2 6 4 9" xfId="17383"/>
    <cellStyle name="Table  - Opmaakprofiel6 2 6 5" xfId="1174"/>
    <cellStyle name="Table  - Opmaakprofiel6 2 6 5 2" xfId="2041"/>
    <cellStyle name="Table  - Opmaakprofiel6 2 6 5 2 2" xfId="11139"/>
    <cellStyle name="Table  - Opmaakprofiel6 2 6 5 2 2 2" xfId="23437"/>
    <cellStyle name="Table  - Opmaakprofiel6 2 6 5 2 2 3" xfId="35489"/>
    <cellStyle name="Table  - Opmaakprofiel6 2 6 5 2 2 4" xfId="30715"/>
    <cellStyle name="Table  - Opmaakprofiel6 2 6 5 2 2 5" xfId="56104"/>
    <cellStyle name="Table  - Opmaakprofiel6 2 6 5 2 3" xfId="17391"/>
    <cellStyle name="Table  - Opmaakprofiel6 2 6 5 2 4" xfId="29443"/>
    <cellStyle name="Table  - Opmaakprofiel6 2 6 5 2 5" xfId="38302"/>
    <cellStyle name="Table  - Opmaakprofiel6 2 6 5 2 6" xfId="50354"/>
    <cellStyle name="Table  - Opmaakprofiel6 2 6 5 3" xfId="3185"/>
    <cellStyle name="Table  - Opmaakprofiel6 2 6 5 3 2" xfId="11140"/>
    <cellStyle name="Table  - Opmaakprofiel6 2 6 5 3 2 2" xfId="23438"/>
    <cellStyle name="Table  - Opmaakprofiel6 2 6 5 3 2 3" xfId="35490"/>
    <cellStyle name="Table  - Opmaakprofiel6 2 6 5 3 2 4" xfId="41982"/>
    <cellStyle name="Table  - Opmaakprofiel6 2 6 5 3 2 5" xfId="56105"/>
    <cellStyle name="Table  - Opmaakprofiel6 2 6 5 3 3" xfId="17392"/>
    <cellStyle name="Table  - Opmaakprofiel6 2 6 5 3 4" xfId="29444"/>
    <cellStyle name="Table  - Opmaakprofiel6 2 6 5 3 5" xfId="38301"/>
    <cellStyle name="Table  - Opmaakprofiel6 2 6 5 3 6" xfId="50355"/>
    <cellStyle name="Table  - Opmaakprofiel6 2 6 5 4" xfId="4004"/>
    <cellStyle name="Table  - Opmaakprofiel6 2 6 5 4 2" xfId="11141"/>
    <cellStyle name="Table  - Opmaakprofiel6 2 6 5 4 2 2" xfId="23439"/>
    <cellStyle name="Table  - Opmaakprofiel6 2 6 5 4 2 3" xfId="35491"/>
    <cellStyle name="Table  - Opmaakprofiel6 2 6 5 4 2 4" xfId="31500"/>
    <cellStyle name="Table  - Opmaakprofiel6 2 6 5 4 2 5" xfId="56106"/>
    <cellStyle name="Table  - Opmaakprofiel6 2 6 5 4 3" xfId="17393"/>
    <cellStyle name="Table  - Opmaakprofiel6 2 6 5 4 4" xfId="29445"/>
    <cellStyle name="Table  - Opmaakprofiel6 2 6 5 4 5" xfId="44485"/>
    <cellStyle name="Table  - Opmaakprofiel6 2 6 5 4 6" xfId="50356"/>
    <cellStyle name="Table  - Opmaakprofiel6 2 6 5 5" xfId="6184"/>
    <cellStyle name="Table  - Opmaakprofiel6 2 6 5 5 2" xfId="11142"/>
    <cellStyle name="Table  - Opmaakprofiel6 2 6 5 5 2 2" xfId="23440"/>
    <cellStyle name="Table  - Opmaakprofiel6 2 6 5 5 2 3" xfId="35492"/>
    <cellStyle name="Table  - Opmaakprofiel6 2 6 5 5 2 4" xfId="41981"/>
    <cellStyle name="Table  - Opmaakprofiel6 2 6 5 5 2 5" xfId="56107"/>
    <cellStyle name="Table  - Opmaakprofiel6 2 6 5 5 3" xfId="17394"/>
    <cellStyle name="Table  - Opmaakprofiel6 2 6 5 5 4" xfId="29446"/>
    <cellStyle name="Table  - Opmaakprofiel6 2 6 5 5 5" xfId="38300"/>
    <cellStyle name="Table  - Opmaakprofiel6 2 6 5 5 6" xfId="50357"/>
    <cellStyle name="Table  - Opmaakprofiel6 2 6 5 6" xfId="6185"/>
    <cellStyle name="Table  - Opmaakprofiel6 2 6 5 6 2" xfId="11143"/>
    <cellStyle name="Table  - Opmaakprofiel6 2 6 5 6 2 2" xfId="23441"/>
    <cellStyle name="Table  - Opmaakprofiel6 2 6 5 6 2 3" xfId="35493"/>
    <cellStyle name="Table  - Opmaakprofiel6 2 6 5 6 2 4" xfId="30722"/>
    <cellStyle name="Table  - Opmaakprofiel6 2 6 5 6 2 5" xfId="56108"/>
    <cellStyle name="Table  - Opmaakprofiel6 2 6 5 6 3" xfId="17395"/>
    <cellStyle name="Table  - Opmaakprofiel6 2 6 5 6 4" xfId="29447"/>
    <cellStyle name="Table  - Opmaakprofiel6 2 6 5 6 5" xfId="44484"/>
    <cellStyle name="Table  - Opmaakprofiel6 2 6 5 6 6" xfId="50358"/>
    <cellStyle name="Table  - Opmaakprofiel6 2 6 5 7" xfId="6186"/>
    <cellStyle name="Table  - Opmaakprofiel6 2 6 5 7 2" xfId="17396"/>
    <cellStyle name="Table  - Opmaakprofiel6 2 6 5 7 3" xfId="29448"/>
    <cellStyle name="Table  - Opmaakprofiel6 2 6 5 7 4" xfId="38299"/>
    <cellStyle name="Table  - Opmaakprofiel6 2 6 5 7 5" xfId="50359"/>
    <cellStyle name="Table  - Opmaakprofiel6 2 6 5 8" xfId="7193"/>
    <cellStyle name="Table  - Opmaakprofiel6 2 6 5 8 2" xfId="19491"/>
    <cellStyle name="Table  - Opmaakprofiel6 2 6 5 8 3" xfId="41294"/>
    <cellStyle name="Table  - Opmaakprofiel6 2 6 5 8 4" xfId="36921"/>
    <cellStyle name="Table  - Opmaakprofiel6 2 6 5 8 5" xfId="52163"/>
    <cellStyle name="Table  - Opmaakprofiel6 2 6 5 9" xfId="17390"/>
    <cellStyle name="Table  - Opmaakprofiel6 2 6 6" xfId="1207"/>
    <cellStyle name="Table  - Opmaakprofiel6 2 6 6 2" xfId="2448"/>
    <cellStyle name="Table  - Opmaakprofiel6 2 6 6 2 2" xfId="11144"/>
    <cellStyle name="Table  - Opmaakprofiel6 2 6 6 2 2 2" xfId="23442"/>
    <cellStyle name="Table  - Opmaakprofiel6 2 6 6 2 2 3" xfId="35494"/>
    <cellStyle name="Table  - Opmaakprofiel6 2 6 6 2 2 4" xfId="41980"/>
    <cellStyle name="Table  - Opmaakprofiel6 2 6 6 2 2 5" xfId="56109"/>
    <cellStyle name="Table  - Opmaakprofiel6 2 6 6 2 3" xfId="17398"/>
    <cellStyle name="Table  - Opmaakprofiel6 2 6 6 2 4" xfId="29450"/>
    <cellStyle name="Table  - Opmaakprofiel6 2 6 6 2 5" xfId="38298"/>
    <cellStyle name="Table  - Opmaakprofiel6 2 6 6 2 6" xfId="50360"/>
    <cellStyle name="Table  - Opmaakprofiel6 2 6 6 3" xfId="3218"/>
    <cellStyle name="Table  - Opmaakprofiel6 2 6 6 3 2" xfId="11145"/>
    <cellStyle name="Table  - Opmaakprofiel6 2 6 6 3 2 2" xfId="23443"/>
    <cellStyle name="Table  - Opmaakprofiel6 2 6 6 3 2 3" xfId="35495"/>
    <cellStyle name="Table  - Opmaakprofiel6 2 6 6 3 2 4" xfId="32014"/>
    <cellStyle name="Table  - Opmaakprofiel6 2 6 6 3 2 5" xfId="56110"/>
    <cellStyle name="Table  - Opmaakprofiel6 2 6 6 3 3" xfId="17399"/>
    <cellStyle name="Table  - Opmaakprofiel6 2 6 6 3 4" xfId="29451"/>
    <cellStyle name="Table  - Opmaakprofiel6 2 6 6 3 5" xfId="44483"/>
    <cellStyle name="Table  - Opmaakprofiel6 2 6 6 3 6" xfId="50361"/>
    <cellStyle name="Table  - Opmaakprofiel6 2 6 6 4" xfId="4033"/>
    <cellStyle name="Table  - Opmaakprofiel6 2 6 6 4 2" xfId="11146"/>
    <cellStyle name="Table  - Opmaakprofiel6 2 6 6 4 2 2" xfId="23444"/>
    <cellStyle name="Table  - Opmaakprofiel6 2 6 6 4 2 3" xfId="35496"/>
    <cellStyle name="Table  - Opmaakprofiel6 2 6 6 4 2 4" xfId="30732"/>
    <cellStyle name="Table  - Opmaakprofiel6 2 6 6 4 2 5" xfId="56111"/>
    <cellStyle name="Table  - Opmaakprofiel6 2 6 6 4 3" xfId="17400"/>
    <cellStyle name="Table  - Opmaakprofiel6 2 6 6 4 4" xfId="29452"/>
    <cellStyle name="Table  - Opmaakprofiel6 2 6 6 4 5" xfId="38297"/>
    <cellStyle name="Table  - Opmaakprofiel6 2 6 6 4 6" xfId="50362"/>
    <cellStyle name="Table  - Opmaakprofiel6 2 6 6 5" xfId="6187"/>
    <cellStyle name="Table  - Opmaakprofiel6 2 6 6 5 2" xfId="11147"/>
    <cellStyle name="Table  - Opmaakprofiel6 2 6 6 5 2 2" xfId="23445"/>
    <cellStyle name="Table  - Opmaakprofiel6 2 6 6 5 2 3" xfId="35497"/>
    <cellStyle name="Table  - Opmaakprofiel6 2 6 6 5 2 4" xfId="34678"/>
    <cellStyle name="Table  - Opmaakprofiel6 2 6 6 5 2 5" xfId="56112"/>
    <cellStyle name="Table  - Opmaakprofiel6 2 6 6 5 3" xfId="17401"/>
    <cellStyle name="Table  - Opmaakprofiel6 2 6 6 5 4" xfId="29453"/>
    <cellStyle name="Table  - Opmaakprofiel6 2 6 6 5 5" xfId="44482"/>
    <cellStyle name="Table  - Opmaakprofiel6 2 6 6 5 6" xfId="50363"/>
    <cellStyle name="Table  - Opmaakprofiel6 2 6 6 6" xfId="6188"/>
    <cellStyle name="Table  - Opmaakprofiel6 2 6 6 6 2" xfId="11148"/>
    <cellStyle name="Table  - Opmaakprofiel6 2 6 6 6 2 2" xfId="23446"/>
    <cellStyle name="Table  - Opmaakprofiel6 2 6 6 6 2 3" xfId="35498"/>
    <cellStyle name="Table  - Opmaakprofiel6 2 6 6 6 2 4" xfId="41979"/>
    <cellStyle name="Table  - Opmaakprofiel6 2 6 6 6 2 5" xfId="56113"/>
    <cellStyle name="Table  - Opmaakprofiel6 2 6 6 6 3" xfId="17402"/>
    <cellStyle name="Table  - Opmaakprofiel6 2 6 6 6 4" xfId="29454"/>
    <cellStyle name="Table  - Opmaakprofiel6 2 6 6 6 5" xfId="38296"/>
    <cellStyle name="Table  - Opmaakprofiel6 2 6 6 6 6" xfId="50364"/>
    <cellStyle name="Table  - Opmaakprofiel6 2 6 6 7" xfId="6189"/>
    <cellStyle name="Table  - Opmaakprofiel6 2 6 6 7 2" xfId="17403"/>
    <cellStyle name="Table  - Opmaakprofiel6 2 6 6 7 3" xfId="29455"/>
    <cellStyle name="Table  - Opmaakprofiel6 2 6 6 7 4" xfId="38295"/>
    <cellStyle name="Table  - Opmaakprofiel6 2 6 6 7 5" xfId="50365"/>
    <cellStyle name="Table  - Opmaakprofiel6 2 6 6 8" xfId="7167"/>
    <cellStyle name="Table  - Opmaakprofiel6 2 6 6 8 2" xfId="19465"/>
    <cellStyle name="Table  - Opmaakprofiel6 2 6 6 8 3" xfId="41268"/>
    <cellStyle name="Table  - Opmaakprofiel6 2 6 6 8 4" xfId="36937"/>
    <cellStyle name="Table  - Opmaakprofiel6 2 6 6 8 5" xfId="52137"/>
    <cellStyle name="Table  - Opmaakprofiel6 2 6 6 9" xfId="17397"/>
    <cellStyle name="Table  - Opmaakprofiel6 2 6 7" xfId="1666"/>
    <cellStyle name="Table  - Opmaakprofiel6 2 6 7 2" xfId="11149"/>
    <cellStyle name="Table  - Opmaakprofiel6 2 6 7 2 2" xfId="23447"/>
    <cellStyle name="Table  - Opmaakprofiel6 2 6 7 2 3" xfId="35499"/>
    <cellStyle name="Table  - Opmaakprofiel6 2 6 7 2 4" xfId="30739"/>
    <cellStyle name="Table  - Opmaakprofiel6 2 6 7 2 5" xfId="56114"/>
    <cellStyle name="Table  - Opmaakprofiel6 2 6 7 3" xfId="17404"/>
    <cellStyle name="Table  - Opmaakprofiel6 2 6 7 4" xfId="29456"/>
    <cellStyle name="Table  - Opmaakprofiel6 2 6 7 5" xfId="38294"/>
    <cellStyle name="Table  - Opmaakprofiel6 2 6 7 6" xfId="50366"/>
    <cellStyle name="Table  - Opmaakprofiel6 2 6 8" xfId="2783"/>
    <cellStyle name="Table  - Opmaakprofiel6 2 6 8 2" xfId="11150"/>
    <cellStyle name="Table  - Opmaakprofiel6 2 6 8 2 2" xfId="23448"/>
    <cellStyle name="Table  - Opmaakprofiel6 2 6 8 2 3" xfId="35500"/>
    <cellStyle name="Table  - Opmaakprofiel6 2 6 8 2 4" xfId="41978"/>
    <cellStyle name="Table  - Opmaakprofiel6 2 6 8 2 5" xfId="56115"/>
    <cellStyle name="Table  - Opmaakprofiel6 2 6 8 3" xfId="17405"/>
    <cellStyle name="Table  - Opmaakprofiel6 2 6 8 4" xfId="29457"/>
    <cellStyle name="Table  - Opmaakprofiel6 2 6 8 5" xfId="44480"/>
    <cellStyle name="Table  - Opmaakprofiel6 2 6 8 6" xfId="50367"/>
    <cellStyle name="Table  - Opmaakprofiel6 2 6 9" xfId="3645"/>
    <cellStyle name="Table  - Opmaakprofiel6 2 6 9 2" xfId="11151"/>
    <cellStyle name="Table  - Opmaakprofiel6 2 6 9 2 2" xfId="23449"/>
    <cellStyle name="Table  - Opmaakprofiel6 2 6 9 2 3" xfId="35501"/>
    <cellStyle name="Table  - Opmaakprofiel6 2 6 9 2 4" xfId="31940"/>
    <cellStyle name="Table  - Opmaakprofiel6 2 6 9 2 5" xfId="56116"/>
    <cellStyle name="Table  - Opmaakprofiel6 2 6 9 3" xfId="17406"/>
    <cellStyle name="Table  - Opmaakprofiel6 2 6 9 4" xfId="29458"/>
    <cellStyle name="Table  - Opmaakprofiel6 2 6 9 5" xfId="38293"/>
    <cellStyle name="Table  - Opmaakprofiel6 2 6 9 6" xfId="50368"/>
    <cellStyle name="Table  - Opmaakprofiel6 2 7" xfId="752"/>
    <cellStyle name="Table  - Opmaakprofiel6 2 7 10" xfId="6190"/>
    <cellStyle name="Table  - Opmaakprofiel6 2 7 10 2" xfId="11152"/>
    <cellStyle name="Table  - Opmaakprofiel6 2 7 10 2 2" xfId="23450"/>
    <cellStyle name="Table  - Opmaakprofiel6 2 7 10 2 3" xfId="35502"/>
    <cellStyle name="Table  - Opmaakprofiel6 2 7 10 2 4" xfId="41977"/>
    <cellStyle name="Table  - Opmaakprofiel6 2 7 10 2 5" xfId="56117"/>
    <cellStyle name="Table  - Opmaakprofiel6 2 7 10 3" xfId="17408"/>
    <cellStyle name="Table  - Opmaakprofiel6 2 7 10 4" xfId="29460"/>
    <cellStyle name="Table  - Opmaakprofiel6 2 7 10 5" xfId="38292"/>
    <cellStyle name="Table  - Opmaakprofiel6 2 7 10 6" xfId="50369"/>
    <cellStyle name="Table  - Opmaakprofiel6 2 7 11" xfId="6191"/>
    <cellStyle name="Table  - Opmaakprofiel6 2 7 11 2" xfId="11153"/>
    <cellStyle name="Table  - Opmaakprofiel6 2 7 11 2 2" xfId="23451"/>
    <cellStyle name="Table  - Opmaakprofiel6 2 7 11 2 3" xfId="35503"/>
    <cellStyle name="Table  - Opmaakprofiel6 2 7 11 2 4" xfId="30746"/>
    <cellStyle name="Table  - Opmaakprofiel6 2 7 11 2 5" xfId="56118"/>
    <cellStyle name="Table  - Opmaakprofiel6 2 7 11 3" xfId="17409"/>
    <cellStyle name="Table  - Opmaakprofiel6 2 7 11 4" xfId="29461"/>
    <cellStyle name="Table  - Opmaakprofiel6 2 7 11 5" xfId="44478"/>
    <cellStyle name="Table  - Opmaakprofiel6 2 7 11 6" xfId="50370"/>
    <cellStyle name="Table  - Opmaakprofiel6 2 7 12" xfId="6192"/>
    <cellStyle name="Table  - Opmaakprofiel6 2 7 12 2" xfId="17410"/>
    <cellStyle name="Table  - Opmaakprofiel6 2 7 12 3" xfId="29462"/>
    <cellStyle name="Table  - Opmaakprofiel6 2 7 12 4" xfId="38291"/>
    <cellStyle name="Table  - Opmaakprofiel6 2 7 12 5" xfId="50371"/>
    <cellStyle name="Table  - Opmaakprofiel6 2 7 13" xfId="7479"/>
    <cellStyle name="Table  - Opmaakprofiel6 2 7 13 2" xfId="19777"/>
    <cellStyle name="Table  - Opmaakprofiel6 2 7 13 3" xfId="41580"/>
    <cellStyle name="Table  - Opmaakprofiel6 2 7 13 4" xfId="34408"/>
    <cellStyle name="Table  - Opmaakprofiel6 2 7 13 5" xfId="52449"/>
    <cellStyle name="Table  - Opmaakprofiel6 2 7 14" xfId="17407"/>
    <cellStyle name="Table  - Opmaakprofiel6 2 7 2" xfId="920"/>
    <cellStyle name="Table  - Opmaakprofiel6 2 7 2 2" xfId="2248"/>
    <cellStyle name="Table  - Opmaakprofiel6 2 7 2 2 2" xfId="11154"/>
    <cellStyle name="Table  - Opmaakprofiel6 2 7 2 2 2 2" xfId="23452"/>
    <cellStyle name="Table  - Opmaakprofiel6 2 7 2 2 2 3" xfId="35504"/>
    <cellStyle name="Table  - Opmaakprofiel6 2 7 2 2 2 4" xfId="41976"/>
    <cellStyle name="Table  - Opmaakprofiel6 2 7 2 2 2 5" xfId="56119"/>
    <cellStyle name="Table  - Opmaakprofiel6 2 7 2 2 3" xfId="17412"/>
    <cellStyle name="Table  - Opmaakprofiel6 2 7 2 2 4" xfId="29464"/>
    <cellStyle name="Table  - Opmaakprofiel6 2 7 2 2 5" xfId="38290"/>
    <cellStyle name="Table  - Opmaakprofiel6 2 7 2 2 6" xfId="50372"/>
    <cellStyle name="Table  - Opmaakprofiel6 2 7 2 3" xfId="2931"/>
    <cellStyle name="Table  - Opmaakprofiel6 2 7 2 3 2" xfId="11155"/>
    <cellStyle name="Table  - Opmaakprofiel6 2 7 2 3 2 2" xfId="23453"/>
    <cellStyle name="Table  - Opmaakprofiel6 2 7 2 3 2 3" xfId="35505"/>
    <cellStyle name="Table  - Opmaakprofiel6 2 7 2 3 2 4" xfId="31762"/>
    <cellStyle name="Table  - Opmaakprofiel6 2 7 2 3 2 5" xfId="56120"/>
    <cellStyle name="Table  - Opmaakprofiel6 2 7 2 3 3" xfId="17413"/>
    <cellStyle name="Table  - Opmaakprofiel6 2 7 2 3 4" xfId="29465"/>
    <cellStyle name="Table  - Opmaakprofiel6 2 7 2 3 5" xfId="44476"/>
    <cellStyle name="Table  - Opmaakprofiel6 2 7 2 3 6" xfId="50373"/>
    <cellStyle name="Table  - Opmaakprofiel6 2 7 2 4" xfId="3783"/>
    <cellStyle name="Table  - Opmaakprofiel6 2 7 2 4 2" xfId="11156"/>
    <cellStyle name="Table  - Opmaakprofiel6 2 7 2 4 2 2" xfId="23454"/>
    <cellStyle name="Table  - Opmaakprofiel6 2 7 2 4 2 3" xfId="35506"/>
    <cellStyle name="Table  - Opmaakprofiel6 2 7 2 4 2 4" xfId="41975"/>
    <cellStyle name="Table  - Opmaakprofiel6 2 7 2 4 2 5" xfId="56121"/>
    <cellStyle name="Table  - Opmaakprofiel6 2 7 2 4 3" xfId="17414"/>
    <cellStyle name="Table  - Opmaakprofiel6 2 7 2 4 4" xfId="29466"/>
    <cellStyle name="Table  - Opmaakprofiel6 2 7 2 4 5" xfId="38289"/>
    <cellStyle name="Table  - Opmaakprofiel6 2 7 2 4 6" xfId="50374"/>
    <cellStyle name="Table  - Opmaakprofiel6 2 7 2 5" xfId="6193"/>
    <cellStyle name="Table  - Opmaakprofiel6 2 7 2 5 2" xfId="11157"/>
    <cellStyle name="Table  - Opmaakprofiel6 2 7 2 5 2 2" xfId="23455"/>
    <cellStyle name="Table  - Opmaakprofiel6 2 7 2 5 2 3" xfId="35507"/>
    <cellStyle name="Table  - Opmaakprofiel6 2 7 2 5 2 4" xfId="30753"/>
    <cellStyle name="Table  - Opmaakprofiel6 2 7 2 5 2 5" xfId="56122"/>
    <cellStyle name="Table  - Opmaakprofiel6 2 7 2 5 3" xfId="17415"/>
    <cellStyle name="Table  - Opmaakprofiel6 2 7 2 5 4" xfId="29467"/>
    <cellStyle name="Table  - Opmaakprofiel6 2 7 2 5 5" xfId="38288"/>
    <cellStyle name="Table  - Opmaakprofiel6 2 7 2 5 6" xfId="50375"/>
    <cellStyle name="Table  - Opmaakprofiel6 2 7 2 6" xfId="6194"/>
    <cellStyle name="Table  - Opmaakprofiel6 2 7 2 6 2" xfId="11158"/>
    <cellStyle name="Table  - Opmaakprofiel6 2 7 2 6 2 2" xfId="23456"/>
    <cellStyle name="Table  - Opmaakprofiel6 2 7 2 6 2 3" xfId="35508"/>
    <cellStyle name="Table  - Opmaakprofiel6 2 7 2 6 2 4" xfId="31880"/>
    <cellStyle name="Table  - Opmaakprofiel6 2 7 2 6 2 5" xfId="56123"/>
    <cellStyle name="Table  - Opmaakprofiel6 2 7 2 6 3" xfId="17416"/>
    <cellStyle name="Table  - Opmaakprofiel6 2 7 2 6 4" xfId="29468"/>
    <cellStyle name="Table  - Opmaakprofiel6 2 7 2 6 5" xfId="38287"/>
    <cellStyle name="Table  - Opmaakprofiel6 2 7 2 6 6" xfId="50376"/>
    <cellStyle name="Table  - Opmaakprofiel6 2 7 2 7" xfId="6195"/>
    <cellStyle name="Table  - Opmaakprofiel6 2 7 2 7 2" xfId="17417"/>
    <cellStyle name="Table  - Opmaakprofiel6 2 7 2 7 3" xfId="29469"/>
    <cellStyle name="Table  - Opmaakprofiel6 2 7 2 7 4" xfId="44474"/>
    <cellStyle name="Table  - Opmaakprofiel6 2 7 2 7 5" xfId="50377"/>
    <cellStyle name="Table  - Opmaakprofiel6 2 7 2 8" xfId="7365"/>
    <cellStyle name="Table  - Opmaakprofiel6 2 7 2 8 2" xfId="19663"/>
    <cellStyle name="Table  - Opmaakprofiel6 2 7 2 8 3" xfId="41466"/>
    <cellStyle name="Table  - Opmaakprofiel6 2 7 2 8 4" xfId="4167"/>
    <cellStyle name="Table  - Opmaakprofiel6 2 7 2 8 5" xfId="52335"/>
    <cellStyle name="Table  - Opmaakprofiel6 2 7 2 9" xfId="17411"/>
    <cellStyle name="Table  - Opmaakprofiel6 2 7 3" xfId="1019"/>
    <cellStyle name="Table  - Opmaakprofiel6 2 7 3 2" xfId="2342"/>
    <cellStyle name="Table  - Opmaakprofiel6 2 7 3 2 2" xfId="11159"/>
    <cellStyle name="Table  - Opmaakprofiel6 2 7 3 2 2 2" xfId="23457"/>
    <cellStyle name="Table  - Opmaakprofiel6 2 7 3 2 2 3" xfId="35509"/>
    <cellStyle name="Table  - Opmaakprofiel6 2 7 3 2 2 4" xfId="30760"/>
    <cellStyle name="Table  - Opmaakprofiel6 2 7 3 2 2 5" xfId="56124"/>
    <cellStyle name="Table  - Opmaakprofiel6 2 7 3 2 3" xfId="17419"/>
    <cellStyle name="Table  - Opmaakprofiel6 2 7 3 2 4" xfId="29471"/>
    <cellStyle name="Table  - Opmaakprofiel6 2 7 3 2 5" xfId="44473"/>
    <cellStyle name="Table  - Opmaakprofiel6 2 7 3 2 6" xfId="50378"/>
    <cellStyle name="Table  - Opmaakprofiel6 2 7 3 3" xfId="3030"/>
    <cellStyle name="Table  - Opmaakprofiel6 2 7 3 3 2" xfId="11160"/>
    <cellStyle name="Table  - Opmaakprofiel6 2 7 3 3 2 2" xfId="23458"/>
    <cellStyle name="Table  - Opmaakprofiel6 2 7 3 3 2 3" xfId="35510"/>
    <cellStyle name="Table  - Opmaakprofiel6 2 7 3 3 2 4" xfId="41974"/>
    <cellStyle name="Table  - Opmaakprofiel6 2 7 3 3 2 5" xfId="56125"/>
    <cellStyle name="Table  - Opmaakprofiel6 2 7 3 3 3" xfId="17420"/>
    <cellStyle name="Table  - Opmaakprofiel6 2 7 3 3 4" xfId="29472"/>
    <cellStyle name="Table  - Opmaakprofiel6 2 7 3 3 5" xfId="38285"/>
    <cellStyle name="Table  - Opmaakprofiel6 2 7 3 3 6" xfId="50379"/>
    <cellStyle name="Table  - Opmaakprofiel6 2 7 3 4" xfId="3874"/>
    <cellStyle name="Table  - Opmaakprofiel6 2 7 3 4 2" xfId="11161"/>
    <cellStyle name="Table  - Opmaakprofiel6 2 7 3 4 2 2" xfId="23459"/>
    <cellStyle name="Table  - Opmaakprofiel6 2 7 3 4 2 3" xfId="35511"/>
    <cellStyle name="Table  - Opmaakprofiel6 2 7 3 4 2 4" xfId="32003"/>
    <cellStyle name="Table  - Opmaakprofiel6 2 7 3 4 2 5" xfId="56126"/>
    <cellStyle name="Table  - Opmaakprofiel6 2 7 3 4 3" xfId="17421"/>
    <cellStyle name="Table  - Opmaakprofiel6 2 7 3 4 4" xfId="29473"/>
    <cellStyle name="Table  - Opmaakprofiel6 2 7 3 4 5" xfId="44472"/>
    <cellStyle name="Table  - Opmaakprofiel6 2 7 3 4 6" xfId="50380"/>
    <cellStyle name="Table  - Opmaakprofiel6 2 7 3 5" xfId="6196"/>
    <cellStyle name="Table  - Opmaakprofiel6 2 7 3 5 2" xfId="11162"/>
    <cellStyle name="Table  - Opmaakprofiel6 2 7 3 5 2 2" xfId="23460"/>
    <cellStyle name="Table  - Opmaakprofiel6 2 7 3 5 2 3" xfId="35512"/>
    <cellStyle name="Table  - Opmaakprofiel6 2 7 3 5 2 4" xfId="41973"/>
    <cellStyle name="Table  - Opmaakprofiel6 2 7 3 5 2 5" xfId="56127"/>
    <cellStyle name="Table  - Opmaakprofiel6 2 7 3 5 3" xfId="17422"/>
    <cellStyle name="Table  - Opmaakprofiel6 2 7 3 5 4" xfId="29474"/>
    <cellStyle name="Table  - Opmaakprofiel6 2 7 3 5 5" xfId="38284"/>
    <cellStyle name="Table  - Opmaakprofiel6 2 7 3 5 6" xfId="50381"/>
    <cellStyle name="Table  - Opmaakprofiel6 2 7 3 6" xfId="6197"/>
    <cellStyle name="Table  - Opmaakprofiel6 2 7 3 6 2" xfId="11163"/>
    <cellStyle name="Table  - Opmaakprofiel6 2 7 3 6 2 2" xfId="23461"/>
    <cellStyle name="Table  - Opmaakprofiel6 2 7 3 6 2 3" xfId="35513"/>
    <cellStyle name="Table  - Opmaakprofiel6 2 7 3 6 2 4" xfId="30767"/>
    <cellStyle name="Table  - Opmaakprofiel6 2 7 3 6 2 5" xfId="56128"/>
    <cellStyle name="Table  - Opmaakprofiel6 2 7 3 6 3" xfId="17423"/>
    <cellStyle name="Table  - Opmaakprofiel6 2 7 3 6 4" xfId="29475"/>
    <cellStyle name="Table  - Opmaakprofiel6 2 7 3 6 5" xfId="44471"/>
    <cellStyle name="Table  - Opmaakprofiel6 2 7 3 6 6" xfId="50382"/>
    <cellStyle name="Table  - Opmaakprofiel6 2 7 3 7" xfId="6198"/>
    <cellStyle name="Table  - Opmaakprofiel6 2 7 3 7 2" xfId="17424"/>
    <cellStyle name="Table  - Opmaakprofiel6 2 7 3 7 3" xfId="29476"/>
    <cellStyle name="Table  - Opmaakprofiel6 2 7 3 7 4" xfId="38283"/>
    <cellStyle name="Table  - Opmaakprofiel6 2 7 3 7 5" xfId="50383"/>
    <cellStyle name="Table  - Opmaakprofiel6 2 7 3 8" xfId="9985"/>
    <cellStyle name="Table  - Opmaakprofiel6 2 7 3 8 2" xfId="22283"/>
    <cellStyle name="Table  - Opmaakprofiel6 2 7 3 8 3" xfId="44048"/>
    <cellStyle name="Table  - Opmaakprofiel6 2 7 3 8 4" xfId="28409"/>
    <cellStyle name="Table  - Opmaakprofiel6 2 7 3 8 5" xfId="54950"/>
    <cellStyle name="Table  - Opmaakprofiel6 2 7 3 9" xfId="17418"/>
    <cellStyle name="Table  - Opmaakprofiel6 2 7 4" xfId="1081"/>
    <cellStyle name="Table  - Opmaakprofiel6 2 7 4 2" xfId="1561"/>
    <cellStyle name="Table  - Opmaakprofiel6 2 7 4 2 2" xfId="11164"/>
    <cellStyle name="Table  - Opmaakprofiel6 2 7 4 2 2 2" xfId="23462"/>
    <cellStyle name="Table  - Opmaakprofiel6 2 7 4 2 2 3" xfId="35514"/>
    <cellStyle name="Table  - Opmaakprofiel6 2 7 4 2 2 4" xfId="41972"/>
    <cellStyle name="Table  - Opmaakprofiel6 2 7 4 2 2 5" xfId="56129"/>
    <cellStyle name="Table  - Opmaakprofiel6 2 7 4 2 3" xfId="17426"/>
    <cellStyle name="Table  - Opmaakprofiel6 2 7 4 2 4" xfId="29478"/>
    <cellStyle name="Table  - Opmaakprofiel6 2 7 4 2 5" xfId="38282"/>
    <cellStyle name="Table  - Opmaakprofiel6 2 7 4 2 6" xfId="50384"/>
    <cellStyle name="Table  - Opmaakprofiel6 2 7 4 3" xfId="3092"/>
    <cellStyle name="Table  - Opmaakprofiel6 2 7 4 3 2" xfId="11165"/>
    <cellStyle name="Table  - Opmaakprofiel6 2 7 4 3 2 2" xfId="23463"/>
    <cellStyle name="Table  - Opmaakprofiel6 2 7 4 3 2 3" xfId="35515"/>
    <cellStyle name="Table  - Opmaakprofiel6 2 7 4 3 2 4" xfId="32106"/>
    <cellStyle name="Table  - Opmaakprofiel6 2 7 4 3 2 5" xfId="56130"/>
    <cellStyle name="Table  - Opmaakprofiel6 2 7 4 3 3" xfId="17427"/>
    <cellStyle name="Table  - Opmaakprofiel6 2 7 4 3 4" xfId="29479"/>
    <cellStyle name="Table  - Opmaakprofiel6 2 7 4 3 5" xfId="38281"/>
    <cellStyle name="Table  - Opmaakprofiel6 2 7 4 3 6" xfId="50385"/>
    <cellStyle name="Table  - Opmaakprofiel6 2 7 4 4" xfId="3930"/>
    <cellStyle name="Table  - Opmaakprofiel6 2 7 4 4 2" xfId="11166"/>
    <cellStyle name="Table  - Opmaakprofiel6 2 7 4 4 2 2" xfId="23464"/>
    <cellStyle name="Table  - Opmaakprofiel6 2 7 4 4 2 3" xfId="35516"/>
    <cellStyle name="Table  - Opmaakprofiel6 2 7 4 4 2 4" xfId="41971"/>
    <cellStyle name="Table  - Opmaakprofiel6 2 7 4 4 2 5" xfId="56131"/>
    <cellStyle name="Table  - Opmaakprofiel6 2 7 4 4 3" xfId="17428"/>
    <cellStyle name="Table  - Opmaakprofiel6 2 7 4 4 4" xfId="29480"/>
    <cellStyle name="Table  - Opmaakprofiel6 2 7 4 4 5" xfId="38280"/>
    <cellStyle name="Table  - Opmaakprofiel6 2 7 4 4 6" xfId="50386"/>
    <cellStyle name="Table  - Opmaakprofiel6 2 7 4 5" xfId="6199"/>
    <cellStyle name="Table  - Opmaakprofiel6 2 7 4 5 2" xfId="11167"/>
    <cellStyle name="Table  - Opmaakprofiel6 2 7 4 5 2 2" xfId="23465"/>
    <cellStyle name="Table  - Opmaakprofiel6 2 7 4 5 2 3" xfId="35517"/>
    <cellStyle name="Table  - Opmaakprofiel6 2 7 4 5 2 4" xfId="30774"/>
    <cellStyle name="Table  - Opmaakprofiel6 2 7 4 5 2 5" xfId="56132"/>
    <cellStyle name="Table  - Opmaakprofiel6 2 7 4 5 3" xfId="17429"/>
    <cellStyle name="Table  - Opmaakprofiel6 2 7 4 5 4" xfId="29481"/>
    <cellStyle name="Table  - Opmaakprofiel6 2 7 4 5 5" xfId="44469"/>
    <cellStyle name="Table  - Opmaakprofiel6 2 7 4 5 6" xfId="50387"/>
    <cellStyle name="Table  - Opmaakprofiel6 2 7 4 6" xfId="6200"/>
    <cellStyle name="Table  - Opmaakprofiel6 2 7 4 6 2" xfId="11168"/>
    <cellStyle name="Table  - Opmaakprofiel6 2 7 4 6 2 2" xfId="23466"/>
    <cellStyle name="Table  - Opmaakprofiel6 2 7 4 6 2 3" xfId="35518"/>
    <cellStyle name="Table  - Opmaakprofiel6 2 7 4 6 2 4" xfId="41970"/>
    <cellStyle name="Table  - Opmaakprofiel6 2 7 4 6 2 5" xfId="56133"/>
    <cellStyle name="Table  - Opmaakprofiel6 2 7 4 6 3" xfId="17430"/>
    <cellStyle name="Table  - Opmaakprofiel6 2 7 4 6 4" xfId="29482"/>
    <cellStyle name="Table  - Opmaakprofiel6 2 7 4 6 5" xfId="38279"/>
    <cellStyle name="Table  - Opmaakprofiel6 2 7 4 6 6" xfId="50388"/>
    <cellStyle name="Table  - Opmaakprofiel6 2 7 4 7" xfId="6201"/>
    <cellStyle name="Table  - Opmaakprofiel6 2 7 4 7 2" xfId="17431"/>
    <cellStyle name="Table  - Opmaakprofiel6 2 7 4 7 3" xfId="29483"/>
    <cellStyle name="Table  - Opmaakprofiel6 2 7 4 7 4" xfId="44468"/>
    <cellStyle name="Table  - Opmaakprofiel6 2 7 4 7 5" xfId="50389"/>
    <cellStyle name="Table  - Opmaakprofiel6 2 7 4 8" xfId="9942"/>
    <cellStyle name="Table  - Opmaakprofiel6 2 7 4 8 2" xfId="22240"/>
    <cellStyle name="Table  - Opmaakprofiel6 2 7 4 8 3" xfId="44005"/>
    <cellStyle name="Table  - Opmaakprofiel6 2 7 4 8 4" xfId="42482"/>
    <cellStyle name="Table  - Opmaakprofiel6 2 7 4 8 5" xfId="54907"/>
    <cellStyle name="Table  - Opmaakprofiel6 2 7 4 9" xfId="17425"/>
    <cellStyle name="Table  - Opmaakprofiel6 2 7 5" xfId="1190"/>
    <cellStyle name="Table  - Opmaakprofiel6 2 7 5 2" xfId="1854"/>
    <cellStyle name="Table  - Opmaakprofiel6 2 7 5 2 2" xfId="11169"/>
    <cellStyle name="Table  - Opmaakprofiel6 2 7 5 2 2 2" xfId="23467"/>
    <cellStyle name="Table  - Opmaakprofiel6 2 7 5 2 2 3" xfId="35519"/>
    <cellStyle name="Table  - Opmaakprofiel6 2 7 5 2 2 4" xfId="31918"/>
    <cellStyle name="Table  - Opmaakprofiel6 2 7 5 2 2 5" xfId="56134"/>
    <cellStyle name="Table  - Opmaakprofiel6 2 7 5 2 3" xfId="17433"/>
    <cellStyle name="Table  - Opmaakprofiel6 2 7 5 2 4" xfId="29485"/>
    <cellStyle name="Table  - Opmaakprofiel6 2 7 5 2 5" xfId="44467"/>
    <cellStyle name="Table  - Opmaakprofiel6 2 7 5 2 6" xfId="50390"/>
    <cellStyle name="Table  - Opmaakprofiel6 2 7 5 3" xfId="3201"/>
    <cellStyle name="Table  - Opmaakprofiel6 2 7 5 3 2" xfId="11170"/>
    <cellStyle name="Table  - Opmaakprofiel6 2 7 5 3 2 2" xfId="23468"/>
    <cellStyle name="Table  - Opmaakprofiel6 2 7 5 3 2 3" xfId="35520"/>
    <cellStyle name="Table  - Opmaakprofiel6 2 7 5 3 2 4" xfId="30781"/>
    <cellStyle name="Table  - Opmaakprofiel6 2 7 5 3 2 5" xfId="56135"/>
    <cellStyle name="Table  - Opmaakprofiel6 2 7 5 3 3" xfId="17434"/>
    <cellStyle name="Table  - Opmaakprofiel6 2 7 5 3 4" xfId="29486"/>
    <cellStyle name="Table  - Opmaakprofiel6 2 7 5 3 5" xfId="38277"/>
    <cellStyle name="Table  - Opmaakprofiel6 2 7 5 3 6" xfId="50391"/>
    <cellStyle name="Table  - Opmaakprofiel6 2 7 5 4" xfId="4019"/>
    <cellStyle name="Table  - Opmaakprofiel6 2 7 5 4 2" xfId="11171"/>
    <cellStyle name="Table  - Opmaakprofiel6 2 7 5 4 2 2" xfId="23469"/>
    <cellStyle name="Table  - Opmaakprofiel6 2 7 5 4 2 3" xfId="35521"/>
    <cellStyle name="Table  - Opmaakprofiel6 2 7 5 4 2 4" xfId="32038"/>
    <cellStyle name="Table  - Opmaakprofiel6 2 7 5 4 2 5" xfId="56136"/>
    <cellStyle name="Table  - Opmaakprofiel6 2 7 5 4 3" xfId="17435"/>
    <cellStyle name="Table  - Opmaakprofiel6 2 7 5 4 4" xfId="29487"/>
    <cellStyle name="Table  - Opmaakprofiel6 2 7 5 4 5" xfId="44466"/>
    <cellStyle name="Table  - Opmaakprofiel6 2 7 5 4 6" xfId="50392"/>
    <cellStyle name="Table  - Opmaakprofiel6 2 7 5 5" xfId="6202"/>
    <cellStyle name="Table  - Opmaakprofiel6 2 7 5 5 2" xfId="11172"/>
    <cellStyle name="Table  - Opmaakprofiel6 2 7 5 5 2 2" xfId="23470"/>
    <cellStyle name="Table  - Opmaakprofiel6 2 7 5 5 2 3" xfId="35522"/>
    <cellStyle name="Table  - Opmaakprofiel6 2 7 5 5 2 4" xfId="41969"/>
    <cellStyle name="Table  - Opmaakprofiel6 2 7 5 5 2 5" xfId="56137"/>
    <cellStyle name="Table  - Opmaakprofiel6 2 7 5 5 3" xfId="17436"/>
    <cellStyle name="Table  - Opmaakprofiel6 2 7 5 5 4" xfId="29488"/>
    <cellStyle name="Table  - Opmaakprofiel6 2 7 5 5 5" xfId="38276"/>
    <cellStyle name="Table  - Opmaakprofiel6 2 7 5 5 6" xfId="50393"/>
    <cellStyle name="Table  - Opmaakprofiel6 2 7 5 6" xfId="6203"/>
    <cellStyle name="Table  - Opmaakprofiel6 2 7 5 6 2" xfId="11173"/>
    <cellStyle name="Table  - Opmaakprofiel6 2 7 5 6 2 2" xfId="23471"/>
    <cellStyle name="Table  - Opmaakprofiel6 2 7 5 6 2 3" xfId="35523"/>
    <cellStyle name="Table  - Opmaakprofiel6 2 7 5 6 2 4" xfId="30788"/>
    <cellStyle name="Table  - Opmaakprofiel6 2 7 5 6 2 5" xfId="56138"/>
    <cellStyle name="Table  - Opmaakprofiel6 2 7 5 6 3" xfId="17437"/>
    <cellStyle name="Table  - Opmaakprofiel6 2 7 5 6 4" xfId="29489"/>
    <cellStyle name="Table  - Opmaakprofiel6 2 7 5 6 5" xfId="44465"/>
    <cellStyle name="Table  - Opmaakprofiel6 2 7 5 6 6" xfId="50394"/>
    <cellStyle name="Table  - Opmaakprofiel6 2 7 5 7" xfId="6204"/>
    <cellStyle name="Table  - Opmaakprofiel6 2 7 5 7 2" xfId="17438"/>
    <cellStyle name="Table  - Opmaakprofiel6 2 7 5 7 3" xfId="29490"/>
    <cellStyle name="Table  - Opmaakprofiel6 2 7 5 7 4" xfId="38275"/>
    <cellStyle name="Table  - Opmaakprofiel6 2 7 5 7 5" xfId="50395"/>
    <cellStyle name="Table  - Opmaakprofiel6 2 7 5 8" xfId="9869"/>
    <cellStyle name="Table  - Opmaakprofiel6 2 7 5 8 2" xfId="22167"/>
    <cellStyle name="Table  - Opmaakprofiel6 2 7 5 8 3" xfId="43934"/>
    <cellStyle name="Table  - Opmaakprofiel6 2 7 5 8 4" xfId="28308"/>
    <cellStyle name="Table  - Opmaakprofiel6 2 7 5 8 5" xfId="54834"/>
    <cellStyle name="Table  - Opmaakprofiel6 2 7 5 9" xfId="17432"/>
    <cellStyle name="Table  - Opmaakprofiel6 2 7 6" xfId="907"/>
    <cellStyle name="Table  - Opmaakprofiel6 2 7 6 2" xfId="2247"/>
    <cellStyle name="Table  - Opmaakprofiel6 2 7 6 2 2" xfId="11174"/>
    <cellStyle name="Table  - Opmaakprofiel6 2 7 6 2 2 2" xfId="23472"/>
    <cellStyle name="Table  - Opmaakprofiel6 2 7 6 2 2 3" xfId="35524"/>
    <cellStyle name="Table  - Opmaakprofiel6 2 7 6 2 2 4" xfId="41968"/>
    <cellStyle name="Table  - Opmaakprofiel6 2 7 6 2 2 5" xfId="56139"/>
    <cellStyle name="Table  - Opmaakprofiel6 2 7 6 2 3" xfId="17440"/>
    <cellStyle name="Table  - Opmaakprofiel6 2 7 6 2 4" xfId="29492"/>
    <cellStyle name="Table  - Opmaakprofiel6 2 7 6 2 5" xfId="38273"/>
    <cellStyle name="Table  - Opmaakprofiel6 2 7 6 2 6" xfId="50396"/>
    <cellStyle name="Table  - Opmaakprofiel6 2 7 6 3" xfId="2918"/>
    <cellStyle name="Table  - Opmaakprofiel6 2 7 6 3 2" xfId="11175"/>
    <cellStyle name="Table  - Opmaakprofiel6 2 7 6 3 2 2" xfId="23473"/>
    <cellStyle name="Table  - Opmaakprofiel6 2 7 6 3 2 3" xfId="35525"/>
    <cellStyle name="Table  - Opmaakprofiel6 2 7 6 3 2 4" xfId="31904"/>
    <cellStyle name="Table  - Opmaakprofiel6 2 7 6 3 2 5" xfId="56140"/>
    <cellStyle name="Table  - Opmaakprofiel6 2 7 6 3 3" xfId="17441"/>
    <cellStyle name="Table  - Opmaakprofiel6 2 7 6 3 4" xfId="29493"/>
    <cellStyle name="Table  - Opmaakprofiel6 2 7 6 3 5" xfId="44464"/>
    <cellStyle name="Table  - Opmaakprofiel6 2 7 6 3 6" xfId="50397"/>
    <cellStyle name="Table  - Opmaakprofiel6 2 7 6 4" xfId="3771"/>
    <cellStyle name="Table  - Opmaakprofiel6 2 7 6 4 2" xfId="11176"/>
    <cellStyle name="Table  - Opmaakprofiel6 2 7 6 4 2 2" xfId="23474"/>
    <cellStyle name="Table  - Opmaakprofiel6 2 7 6 4 2 3" xfId="35526"/>
    <cellStyle name="Table  - Opmaakprofiel6 2 7 6 4 2 4" xfId="41967"/>
    <cellStyle name="Table  - Opmaakprofiel6 2 7 6 4 2 5" xfId="56141"/>
    <cellStyle name="Table  - Opmaakprofiel6 2 7 6 4 3" xfId="17442"/>
    <cellStyle name="Table  - Opmaakprofiel6 2 7 6 4 4" xfId="29494"/>
    <cellStyle name="Table  - Opmaakprofiel6 2 7 6 4 5" xfId="38272"/>
    <cellStyle name="Table  - Opmaakprofiel6 2 7 6 4 6" xfId="50398"/>
    <cellStyle name="Table  - Opmaakprofiel6 2 7 6 5" xfId="6205"/>
    <cellStyle name="Table  - Opmaakprofiel6 2 7 6 5 2" xfId="11177"/>
    <cellStyle name="Table  - Opmaakprofiel6 2 7 6 5 2 2" xfId="23475"/>
    <cellStyle name="Table  - Opmaakprofiel6 2 7 6 5 2 3" xfId="35527"/>
    <cellStyle name="Table  - Opmaakprofiel6 2 7 6 5 2 4" xfId="30795"/>
    <cellStyle name="Table  - Opmaakprofiel6 2 7 6 5 2 5" xfId="56142"/>
    <cellStyle name="Table  - Opmaakprofiel6 2 7 6 5 3" xfId="17443"/>
    <cellStyle name="Table  - Opmaakprofiel6 2 7 6 5 4" xfId="29495"/>
    <cellStyle name="Table  - Opmaakprofiel6 2 7 6 5 5" xfId="44463"/>
    <cellStyle name="Table  - Opmaakprofiel6 2 7 6 5 6" xfId="50399"/>
    <cellStyle name="Table  - Opmaakprofiel6 2 7 6 6" xfId="6206"/>
    <cellStyle name="Table  - Opmaakprofiel6 2 7 6 6 2" xfId="11178"/>
    <cellStyle name="Table  - Opmaakprofiel6 2 7 6 6 2 2" xfId="23476"/>
    <cellStyle name="Table  - Opmaakprofiel6 2 7 6 6 2 3" xfId="35528"/>
    <cellStyle name="Table  - Opmaakprofiel6 2 7 6 6 2 4" xfId="41966"/>
    <cellStyle name="Table  - Opmaakprofiel6 2 7 6 6 2 5" xfId="56143"/>
    <cellStyle name="Table  - Opmaakprofiel6 2 7 6 6 3" xfId="17444"/>
    <cellStyle name="Table  - Opmaakprofiel6 2 7 6 6 4" xfId="29496"/>
    <cellStyle name="Table  - Opmaakprofiel6 2 7 6 6 5" xfId="38271"/>
    <cellStyle name="Table  - Opmaakprofiel6 2 7 6 6 6" xfId="50400"/>
    <cellStyle name="Table  - Opmaakprofiel6 2 7 6 7" xfId="6207"/>
    <cellStyle name="Table  - Opmaakprofiel6 2 7 6 7 2" xfId="17445"/>
    <cellStyle name="Table  - Opmaakprofiel6 2 7 6 7 3" xfId="29497"/>
    <cellStyle name="Table  - Opmaakprofiel6 2 7 6 7 4" xfId="38270"/>
    <cellStyle name="Table  - Opmaakprofiel6 2 7 6 7 5" xfId="50401"/>
    <cellStyle name="Table  - Opmaakprofiel6 2 7 6 8" xfId="7374"/>
    <cellStyle name="Table  - Opmaakprofiel6 2 7 6 8 2" xfId="19672"/>
    <cellStyle name="Table  - Opmaakprofiel6 2 7 6 8 3" xfId="41475"/>
    <cellStyle name="Table  - Opmaakprofiel6 2 7 6 8 4" xfId="17917"/>
    <cellStyle name="Table  - Opmaakprofiel6 2 7 6 8 5" xfId="52344"/>
    <cellStyle name="Table  - Opmaakprofiel6 2 7 6 9" xfId="17439"/>
    <cellStyle name="Table  - Opmaakprofiel6 2 7 7" xfId="2304"/>
    <cellStyle name="Table  - Opmaakprofiel6 2 7 7 2" xfId="11179"/>
    <cellStyle name="Table  - Opmaakprofiel6 2 7 7 2 2" xfId="23477"/>
    <cellStyle name="Table  - Opmaakprofiel6 2 7 7 2 3" xfId="35529"/>
    <cellStyle name="Table  - Opmaakprofiel6 2 7 7 2 4" xfId="34427"/>
    <cellStyle name="Table  - Opmaakprofiel6 2 7 7 2 5" xfId="56144"/>
    <cellStyle name="Table  - Opmaakprofiel6 2 7 7 3" xfId="17446"/>
    <cellStyle name="Table  - Opmaakprofiel6 2 7 7 4" xfId="29498"/>
    <cellStyle name="Table  - Opmaakprofiel6 2 7 7 5" xfId="38269"/>
    <cellStyle name="Table  - Opmaakprofiel6 2 7 7 6" xfId="50402"/>
    <cellStyle name="Table  - Opmaakprofiel6 2 7 8" xfId="2796"/>
    <cellStyle name="Table  - Opmaakprofiel6 2 7 8 2" xfId="11180"/>
    <cellStyle name="Table  - Opmaakprofiel6 2 7 8 2 2" xfId="23478"/>
    <cellStyle name="Table  - Opmaakprofiel6 2 7 8 2 3" xfId="35530"/>
    <cellStyle name="Table  - Opmaakprofiel6 2 7 8 2 4" xfId="41965"/>
    <cellStyle name="Table  - Opmaakprofiel6 2 7 8 2 5" xfId="56145"/>
    <cellStyle name="Table  - Opmaakprofiel6 2 7 8 3" xfId="17447"/>
    <cellStyle name="Table  - Opmaakprofiel6 2 7 8 4" xfId="29499"/>
    <cellStyle name="Table  - Opmaakprofiel6 2 7 8 5" xfId="38268"/>
    <cellStyle name="Table  - Opmaakprofiel6 2 7 8 6" xfId="50403"/>
    <cellStyle name="Table  - Opmaakprofiel6 2 7 9" xfId="3658"/>
    <cellStyle name="Table  - Opmaakprofiel6 2 7 9 2" xfId="11181"/>
    <cellStyle name="Table  - Opmaakprofiel6 2 7 9 2 2" xfId="23479"/>
    <cellStyle name="Table  - Opmaakprofiel6 2 7 9 2 3" xfId="35531"/>
    <cellStyle name="Table  - Opmaakprofiel6 2 7 9 2 4" xfId="30802"/>
    <cellStyle name="Table  - Opmaakprofiel6 2 7 9 2 5" xfId="56146"/>
    <cellStyle name="Table  - Opmaakprofiel6 2 7 9 3" xfId="17448"/>
    <cellStyle name="Table  - Opmaakprofiel6 2 7 9 4" xfId="29500"/>
    <cellStyle name="Table  - Opmaakprofiel6 2 7 9 5" xfId="38267"/>
    <cellStyle name="Table  - Opmaakprofiel6 2 7 9 6" xfId="50404"/>
    <cellStyle name="Table  - Opmaakprofiel6 2 8" xfId="723"/>
    <cellStyle name="Table  - Opmaakprofiel6 2 8 10" xfId="6208"/>
    <cellStyle name="Table  - Opmaakprofiel6 2 8 10 2" xfId="11182"/>
    <cellStyle name="Table  - Opmaakprofiel6 2 8 10 2 2" xfId="23480"/>
    <cellStyle name="Table  - Opmaakprofiel6 2 8 10 2 3" xfId="35532"/>
    <cellStyle name="Table  - Opmaakprofiel6 2 8 10 2 4" xfId="31636"/>
    <cellStyle name="Table  - Opmaakprofiel6 2 8 10 2 5" xfId="56147"/>
    <cellStyle name="Table  - Opmaakprofiel6 2 8 10 3" xfId="17450"/>
    <cellStyle name="Table  - Opmaakprofiel6 2 8 10 4" xfId="29502"/>
    <cellStyle name="Table  - Opmaakprofiel6 2 8 10 5" xfId="38266"/>
    <cellStyle name="Table  - Opmaakprofiel6 2 8 10 6" xfId="50405"/>
    <cellStyle name="Table  - Opmaakprofiel6 2 8 11" xfId="6209"/>
    <cellStyle name="Table  - Opmaakprofiel6 2 8 11 2" xfId="11183"/>
    <cellStyle name="Table  - Opmaakprofiel6 2 8 11 2 2" xfId="23481"/>
    <cellStyle name="Table  - Opmaakprofiel6 2 8 11 2 3" xfId="35533"/>
    <cellStyle name="Table  - Opmaakprofiel6 2 8 11 2 4" xfId="30809"/>
    <cellStyle name="Table  - Opmaakprofiel6 2 8 11 2 5" xfId="56148"/>
    <cellStyle name="Table  - Opmaakprofiel6 2 8 11 3" xfId="17451"/>
    <cellStyle name="Table  - Opmaakprofiel6 2 8 11 4" xfId="29503"/>
    <cellStyle name="Table  - Opmaakprofiel6 2 8 11 5" xfId="38265"/>
    <cellStyle name="Table  - Opmaakprofiel6 2 8 11 6" xfId="50406"/>
    <cellStyle name="Table  - Opmaakprofiel6 2 8 12" xfId="6210"/>
    <cellStyle name="Table  - Opmaakprofiel6 2 8 12 2" xfId="17452"/>
    <cellStyle name="Table  - Opmaakprofiel6 2 8 12 3" xfId="29504"/>
    <cellStyle name="Table  - Opmaakprofiel6 2 8 12 4" xfId="44461"/>
    <cellStyle name="Table  - Opmaakprofiel6 2 8 12 5" xfId="50407"/>
    <cellStyle name="Table  - Opmaakprofiel6 2 8 13" xfId="7498"/>
    <cellStyle name="Table  - Opmaakprofiel6 2 8 13 2" xfId="19796"/>
    <cellStyle name="Table  - Opmaakprofiel6 2 8 13 3" xfId="41599"/>
    <cellStyle name="Table  - Opmaakprofiel6 2 8 13 4" xfId="15465"/>
    <cellStyle name="Table  - Opmaakprofiel6 2 8 13 5" xfId="52468"/>
    <cellStyle name="Table  - Opmaakprofiel6 2 8 14" xfId="17449"/>
    <cellStyle name="Table  - Opmaakprofiel6 2 8 2" xfId="894"/>
    <cellStyle name="Table  - Opmaakprofiel6 2 8 2 2" xfId="1840"/>
    <cellStyle name="Table  - Opmaakprofiel6 2 8 2 2 2" xfId="11184"/>
    <cellStyle name="Table  - Opmaakprofiel6 2 8 2 2 2 2" xfId="23482"/>
    <cellStyle name="Table  - Opmaakprofiel6 2 8 2 2 2 3" xfId="35534"/>
    <cellStyle name="Table  - Opmaakprofiel6 2 8 2 2 2 4" xfId="41964"/>
    <cellStyle name="Table  - Opmaakprofiel6 2 8 2 2 2 5" xfId="56149"/>
    <cellStyle name="Table  - Opmaakprofiel6 2 8 2 2 3" xfId="17454"/>
    <cellStyle name="Table  - Opmaakprofiel6 2 8 2 2 4" xfId="29506"/>
    <cellStyle name="Table  - Opmaakprofiel6 2 8 2 2 5" xfId="38263"/>
    <cellStyle name="Table  - Opmaakprofiel6 2 8 2 2 6" xfId="50408"/>
    <cellStyle name="Table  - Opmaakprofiel6 2 8 2 3" xfId="2905"/>
    <cellStyle name="Table  - Opmaakprofiel6 2 8 2 3 2" xfId="11185"/>
    <cellStyle name="Table  - Opmaakprofiel6 2 8 2 3 2 2" xfId="23483"/>
    <cellStyle name="Table  - Opmaakprofiel6 2 8 2 3 2 3" xfId="35535"/>
    <cellStyle name="Table  - Opmaakprofiel6 2 8 2 3 2 4" xfId="31948"/>
    <cellStyle name="Table  - Opmaakprofiel6 2 8 2 3 2 5" xfId="56150"/>
    <cellStyle name="Table  - Opmaakprofiel6 2 8 2 3 3" xfId="17455"/>
    <cellStyle name="Table  - Opmaakprofiel6 2 8 2 3 4" xfId="29507"/>
    <cellStyle name="Table  - Opmaakprofiel6 2 8 2 3 5" xfId="44460"/>
    <cellStyle name="Table  - Opmaakprofiel6 2 8 2 3 6" xfId="50409"/>
    <cellStyle name="Table  - Opmaakprofiel6 2 8 2 4" xfId="3758"/>
    <cellStyle name="Table  - Opmaakprofiel6 2 8 2 4 2" xfId="11186"/>
    <cellStyle name="Table  - Opmaakprofiel6 2 8 2 4 2 2" xfId="23484"/>
    <cellStyle name="Table  - Opmaakprofiel6 2 8 2 4 2 3" xfId="35536"/>
    <cellStyle name="Table  - Opmaakprofiel6 2 8 2 4 2 4" xfId="41963"/>
    <cellStyle name="Table  - Opmaakprofiel6 2 8 2 4 2 5" xfId="56151"/>
    <cellStyle name="Table  - Opmaakprofiel6 2 8 2 4 3" xfId="17456"/>
    <cellStyle name="Table  - Opmaakprofiel6 2 8 2 4 4" xfId="29508"/>
    <cellStyle name="Table  - Opmaakprofiel6 2 8 2 4 5" xfId="38262"/>
    <cellStyle name="Table  - Opmaakprofiel6 2 8 2 4 6" xfId="50410"/>
    <cellStyle name="Table  - Opmaakprofiel6 2 8 2 5" xfId="6211"/>
    <cellStyle name="Table  - Opmaakprofiel6 2 8 2 5 2" xfId="11187"/>
    <cellStyle name="Table  - Opmaakprofiel6 2 8 2 5 2 2" xfId="23485"/>
    <cellStyle name="Table  - Opmaakprofiel6 2 8 2 5 2 3" xfId="35537"/>
    <cellStyle name="Table  - Opmaakprofiel6 2 8 2 5 2 4" xfId="30816"/>
    <cellStyle name="Table  - Opmaakprofiel6 2 8 2 5 2 5" xfId="56152"/>
    <cellStyle name="Table  - Opmaakprofiel6 2 8 2 5 3" xfId="17457"/>
    <cellStyle name="Table  - Opmaakprofiel6 2 8 2 5 4" xfId="29509"/>
    <cellStyle name="Table  - Opmaakprofiel6 2 8 2 5 5" xfId="38261"/>
    <cellStyle name="Table  - Opmaakprofiel6 2 8 2 5 6" xfId="50411"/>
    <cellStyle name="Table  - Opmaakprofiel6 2 8 2 6" xfId="6212"/>
    <cellStyle name="Table  - Opmaakprofiel6 2 8 2 6 2" xfId="11188"/>
    <cellStyle name="Table  - Opmaakprofiel6 2 8 2 6 2 2" xfId="23486"/>
    <cellStyle name="Table  - Opmaakprofiel6 2 8 2 6 2 3" xfId="35538"/>
    <cellStyle name="Table  - Opmaakprofiel6 2 8 2 6 2 4" xfId="41962"/>
    <cellStyle name="Table  - Opmaakprofiel6 2 8 2 6 2 5" xfId="56153"/>
    <cellStyle name="Table  - Opmaakprofiel6 2 8 2 6 3" xfId="17458"/>
    <cellStyle name="Table  - Opmaakprofiel6 2 8 2 6 4" xfId="29510"/>
    <cellStyle name="Table  - Opmaakprofiel6 2 8 2 6 5" xfId="38260"/>
    <cellStyle name="Table  - Opmaakprofiel6 2 8 2 6 6" xfId="50412"/>
    <cellStyle name="Table  - Opmaakprofiel6 2 8 2 7" xfId="6213"/>
    <cellStyle name="Table  - Opmaakprofiel6 2 8 2 7 2" xfId="17459"/>
    <cellStyle name="Table  - Opmaakprofiel6 2 8 2 7 3" xfId="29511"/>
    <cellStyle name="Table  - Opmaakprofiel6 2 8 2 7 4" xfId="38259"/>
    <cellStyle name="Table  - Opmaakprofiel6 2 8 2 7 5" xfId="50413"/>
    <cellStyle name="Table  - Opmaakprofiel6 2 8 2 8" xfId="10073"/>
    <cellStyle name="Table  - Opmaakprofiel6 2 8 2 8 2" xfId="22371"/>
    <cellStyle name="Table  - Opmaakprofiel6 2 8 2 8 3" xfId="44135"/>
    <cellStyle name="Table  - Opmaakprofiel6 2 8 2 8 4" xfId="28556"/>
    <cellStyle name="Table  - Opmaakprofiel6 2 8 2 8 5" xfId="55038"/>
    <cellStyle name="Table  - Opmaakprofiel6 2 8 2 9" xfId="17453"/>
    <cellStyle name="Table  - Opmaakprofiel6 2 8 3" xfId="993"/>
    <cellStyle name="Table  - Opmaakprofiel6 2 8 3 2" xfId="1908"/>
    <cellStyle name="Table  - Opmaakprofiel6 2 8 3 2 2" xfId="11189"/>
    <cellStyle name="Table  - Opmaakprofiel6 2 8 3 2 2 2" xfId="23487"/>
    <cellStyle name="Table  - Opmaakprofiel6 2 8 3 2 2 3" xfId="35539"/>
    <cellStyle name="Table  - Opmaakprofiel6 2 8 3 2 2 4" xfId="33245"/>
    <cellStyle name="Table  - Opmaakprofiel6 2 8 3 2 2 5" xfId="56154"/>
    <cellStyle name="Table  - Opmaakprofiel6 2 8 3 2 3" xfId="17461"/>
    <cellStyle name="Table  - Opmaakprofiel6 2 8 3 2 4" xfId="29513"/>
    <cellStyle name="Table  - Opmaakprofiel6 2 8 3 2 5" xfId="38258"/>
    <cellStyle name="Table  - Opmaakprofiel6 2 8 3 2 6" xfId="50414"/>
    <cellStyle name="Table  - Opmaakprofiel6 2 8 3 3" xfId="3004"/>
    <cellStyle name="Table  - Opmaakprofiel6 2 8 3 3 2" xfId="11190"/>
    <cellStyle name="Table  - Opmaakprofiel6 2 8 3 3 2 2" xfId="23488"/>
    <cellStyle name="Table  - Opmaakprofiel6 2 8 3 3 2 3" xfId="35540"/>
    <cellStyle name="Table  - Opmaakprofiel6 2 8 3 3 2 4" xfId="41961"/>
    <cellStyle name="Table  - Opmaakprofiel6 2 8 3 3 2 5" xfId="56155"/>
    <cellStyle name="Table  - Opmaakprofiel6 2 8 3 3 3" xfId="17462"/>
    <cellStyle name="Table  - Opmaakprofiel6 2 8 3 3 4" xfId="29514"/>
    <cellStyle name="Table  - Opmaakprofiel6 2 8 3 3 5" xfId="38257"/>
    <cellStyle name="Table  - Opmaakprofiel6 2 8 3 3 6" xfId="50415"/>
    <cellStyle name="Table  - Opmaakprofiel6 2 8 3 4" xfId="3850"/>
    <cellStyle name="Table  - Opmaakprofiel6 2 8 3 4 2" xfId="11191"/>
    <cellStyle name="Table  - Opmaakprofiel6 2 8 3 4 2 2" xfId="23489"/>
    <cellStyle name="Table  - Opmaakprofiel6 2 8 3 4 2 3" xfId="35541"/>
    <cellStyle name="Table  - Opmaakprofiel6 2 8 3 4 2 4" xfId="30823"/>
    <cellStyle name="Table  - Opmaakprofiel6 2 8 3 4 2 5" xfId="56156"/>
    <cellStyle name="Table  - Opmaakprofiel6 2 8 3 4 3" xfId="17463"/>
    <cellStyle name="Table  - Opmaakprofiel6 2 8 3 4 4" xfId="29515"/>
    <cellStyle name="Table  - Opmaakprofiel6 2 8 3 4 5" xfId="44456"/>
    <cellStyle name="Table  - Opmaakprofiel6 2 8 3 4 6" xfId="50416"/>
    <cellStyle name="Table  - Opmaakprofiel6 2 8 3 5" xfId="6214"/>
    <cellStyle name="Table  - Opmaakprofiel6 2 8 3 5 2" xfId="11192"/>
    <cellStyle name="Table  - Opmaakprofiel6 2 8 3 5 2 2" xfId="23490"/>
    <cellStyle name="Table  - Opmaakprofiel6 2 8 3 5 2 3" xfId="35542"/>
    <cellStyle name="Table  - Opmaakprofiel6 2 8 3 5 2 4" xfId="41960"/>
    <cellStyle name="Table  - Opmaakprofiel6 2 8 3 5 2 5" xfId="56157"/>
    <cellStyle name="Table  - Opmaakprofiel6 2 8 3 5 3" xfId="17464"/>
    <cellStyle name="Table  - Opmaakprofiel6 2 8 3 5 4" xfId="29516"/>
    <cellStyle name="Table  - Opmaakprofiel6 2 8 3 5 5" xfId="38256"/>
    <cellStyle name="Table  - Opmaakprofiel6 2 8 3 5 6" xfId="50417"/>
    <cellStyle name="Table  - Opmaakprofiel6 2 8 3 6" xfId="6215"/>
    <cellStyle name="Table  - Opmaakprofiel6 2 8 3 6 2" xfId="11193"/>
    <cellStyle name="Table  - Opmaakprofiel6 2 8 3 6 2 2" xfId="23491"/>
    <cellStyle name="Table  - Opmaakprofiel6 2 8 3 6 2 3" xfId="35543"/>
    <cellStyle name="Table  - Opmaakprofiel6 2 8 3 6 2 4" xfId="31361"/>
    <cellStyle name="Table  - Opmaakprofiel6 2 8 3 6 2 5" xfId="56158"/>
    <cellStyle name="Table  - Opmaakprofiel6 2 8 3 6 3" xfId="17465"/>
    <cellStyle name="Table  - Opmaakprofiel6 2 8 3 6 4" xfId="29517"/>
    <cellStyle name="Table  - Opmaakprofiel6 2 8 3 6 5" xfId="38255"/>
    <cellStyle name="Table  - Opmaakprofiel6 2 8 3 6 6" xfId="50418"/>
    <cellStyle name="Table  - Opmaakprofiel6 2 8 3 7" xfId="6216"/>
    <cellStyle name="Table  - Opmaakprofiel6 2 8 3 7 2" xfId="17466"/>
    <cellStyle name="Table  - Opmaakprofiel6 2 8 3 7 3" xfId="29518"/>
    <cellStyle name="Table  - Opmaakprofiel6 2 8 3 7 4" xfId="38254"/>
    <cellStyle name="Table  - Opmaakprofiel6 2 8 3 7 5" xfId="50419"/>
    <cellStyle name="Table  - Opmaakprofiel6 2 8 3 8" xfId="10003"/>
    <cellStyle name="Table  - Opmaakprofiel6 2 8 3 8 2" xfId="22301"/>
    <cellStyle name="Table  - Opmaakprofiel6 2 8 3 8 3" xfId="44066"/>
    <cellStyle name="Table  - Opmaakprofiel6 2 8 3 8 4" xfId="28426"/>
    <cellStyle name="Table  - Opmaakprofiel6 2 8 3 8 5" xfId="54968"/>
    <cellStyle name="Table  - Opmaakprofiel6 2 8 3 9" xfId="17460"/>
    <cellStyle name="Table  - Opmaakprofiel6 2 8 4" xfId="842"/>
    <cellStyle name="Table  - Opmaakprofiel6 2 8 4 2" xfId="1453"/>
    <cellStyle name="Table  - Opmaakprofiel6 2 8 4 2 2" xfId="11194"/>
    <cellStyle name="Table  - Opmaakprofiel6 2 8 4 2 2 2" xfId="23492"/>
    <cellStyle name="Table  - Opmaakprofiel6 2 8 4 2 2 3" xfId="35544"/>
    <cellStyle name="Table  - Opmaakprofiel6 2 8 4 2 2 4" xfId="30830"/>
    <cellStyle name="Table  - Opmaakprofiel6 2 8 4 2 2 5" xfId="56159"/>
    <cellStyle name="Table  - Opmaakprofiel6 2 8 4 2 3" xfId="17468"/>
    <cellStyle name="Table  - Opmaakprofiel6 2 8 4 2 4" xfId="29520"/>
    <cellStyle name="Table  - Opmaakprofiel6 2 8 4 2 5" xfId="44453"/>
    <cellStyle name="Table  - Opmaakprofiel6 2 8 4 2 6" xfId="50420"/>
    <cellStyle name="Table  - Opmaakprofiel6 2 8 4 3" xfId="2853"/>
    <cellStyle name="Table  - Opmaakprofiel6 2 8 4 3 2" xfId="11195"/>
    <cellStyle name="Table  - Opmaakprofiel6 2 8 4 3 2 2" xfId="23493"/>
    <cellStyle name="Table  - Opmaakprofiel6 2 8 4 3 2 3" xfId="35545"/>
    <cellStyle name="Table  - Opmaakprofiel6 2 8 4 3 2 4" xfId="34641"/>
    <cellStyle name="Table  - Opmaakprofiel6 2 8 4 3 2 5" xfId="56160"/>
    <cellStyle name="Table  - Opmaakprofiel6 2 8 4 3 3" xfId="17469"/>
    <cellStyle name="Table  - Opmaakprofiel6 2 8 4 3 4" xfId="29521"/>
    <cellStyle name="Table  - Opmaakprofiel6 2 8 4 3 5" xfId="38252"/>
    <cellStyle name="Table  - Opmaakprofiel6 2 8 4 3 6" xfId="50421"/>
    <cellStyle name="Table  - Opmaakprofiel6 2 8 4 4" xfId="3707"/>
    <cellStyle name="Table  - Opmaakprofiel6 2 8 4 4 2" xfId="11196"/>
    <cellStyle name="Table  - Opmaakprofiel6 2 8 4 4 2 2" xfId="23494"/>
    <cellStyle name="Table  - Opmaakprofiel6 2 8 4 4 2 3" xfId="35546"/>
    <cellStyle name="Table  - Opmaakprofiel6 2 8 4 4 2 4" xfId="41959"/>
    <cellStyle name="Table  - Opmaakprofiel6 2 8 4 4 2 5" xfId="56161"/>
    <cellStyle name="Table  - Opmaakprofiel6 2 8 4 4 3" xfId="17470"/>
    <cellStyle name="Table  - Opmaakprofiel6 2 8 4 4 4" xfId="29522"/>
    <cellStyle name="Table  - Opmaakprofiel6 2 8 4 4 5" xfId="38251"/>
    <cellStyle name="Table  - Opmaakprofiel6 2 8 4 4 6" xfId="50422"/>
    <cellStyle name="Table  - Opmaakprofiel6 2 8 4 5" xfId="6217"/>
    <cellStyle name="Table  - Opmaakprofiel6 2 8 4 5 2" xfId="11197"/>
    <cellStyle name="Table  - Opmaakprofiel6 2 8 4 5 2 2" xfId="23495"/>
    <cellStyle name="Table  - Opmaakprofiel6 2 8 4 5 2 3" xfId="35547"/>
    <cellStyle name="Table  - Opmaakprofiel6 2 8 4 5 2 4" xfId="30837"/>
    <cellStyle name="Table  - Opmaakprofiel6 2 8 4 5 2 5" xfId="56162"/>
    <cellStyle name="Table  - Opmaakprofiel6 2 8 4 5 3" xfId="17471"/>
    <cellStyle name="Table  - Opmaakprofiel6 2 8 4 5 4" xfId="29523"/>
    <cellStyle name="Table  - Opmaakprofiel6 2 8 4 5 5" xfId="44452"/>
    <cellStyle name="Table  - Opmaakprofiel6 2 8 4 5 6" xfId="50423"/>
    <cellStyle name="Table  - Opmaakprofiel6 2 8 4 6" xfId="6218"/>
    <cellStyle name="Table  - Opmaakprofiel6 2 8 4 6 2" xfId="11198"/>
    <cellStyle name="Table  - Opmaakprofiel6 2 8 4 6 2 2" xfId="23496"/>
    <cellStyle name="Table  - Opmaakprofiel6 2 8 4 6 2 3" xfId="35548"/>
    <cellStyle name="Table  - Opmaakprofiel6 2 8 4 6 2 4" xfId="41958"/>
    <cellStyle name="Table  - Opmaakprofiel6 2 8 4 6 2 5" xfId="56163"/>
    <cellStyle name="Table  - Opmaakprofiel6 2 8 4 6 3" xfId="17472"/>
    <cellStyle name="Table  - Opmaakprofiel6 2 8 4 6 4" xfId="29524"/>
    <cellStyle name="Table  - Opmaakprofiel6 2 8 4 6 5" xfId="38250"/>
    <cellStyle name="Table  - Opmaakprofiel6 2 8 4 6 6" xfId="50424"/>
    <cellStyle name="Table  - Opmaakprofiel6 2 8 4 7" xfId="6219"/>
    <cellStyle name="Table  - Opmaakprofiel6 2 8 4 7 2" xfId="17473"/>
    <cellStyle name="Table  - Opmaakprofiel6 2 8 4 7 3" xfId="29525"/>
    <cellStyle name="Table  - Opmaakprofiel6 2 8 4 7 4" xfId="38249"/>
    <cellStyle name="Table  - Opmaakprofiel6 2 8 4 7 5" xfId="50425"/>
    <cellStyle name="Table  - Opmaakprofiel6 2 8 4 8" xfId="7419"/>
    <cellStyle name="Table  - Opmaakprofiel6 2 8 4 8 2" xfId="19717"/>
    <cellStyle name="Table  - Opmaakprofiel6 2 8 4 8 3" xfId="41520"/>
    <cellStyle name="Table  - Opmaakprofiel6 2 8 4 8 4" xfId="15567"/>
    <cellStyle name="Table  - Opmaakprofiel6 2 8 4 8 5" xfId="52389"/>
    <cellStyle name="Table  - Opmaakprofiel6 2 8 4 9" xfId="17467"/>
    <cellStyle name="Table  - Opmaakprofiel6 2 8 5" xfId="1168"/>
    <cellStyle name="Table  - Opmaakprofiel6 2 8 5 2" xfId="2151"/>
    <cellStyle name="Table  - Opmaakprofiel6 2 8 5 2 2" xfId="11199"/>
    <cellStyle name="Table  - Opmaakprofiel6 2 8 5 2 2 2" xfId="23497"/>
    <cellStyle name="Table  - Opmaakprofiel6 2 8 5 2 2 3" xfId="35549"/>
    <cellStyle name="Table  - Opmaakprofiel6 2 8 5 2 2 4" xfId="31456"/>
    <cellStyle name="Table  - Opmaakprofiel6 2 8 5 2 2 5" xfId="56164"/>
    <cellStyle name="Table  - Opmaakprofiel6 2 8 5 2 3" xfId="17475"/>
    <cellStyle name="Table  - Opmaakprofiel6 2 8 5 2 4" xfId="29527"/>
    <cellStyle name="Table  - Opmaakprofiel6 2 8 5 2 5" xfId="38248"/>
    <cellStyle name="Table  - Opmaakprofiel6 2 8 5 2 6" xfId="50426"/>
    <cellStyle name="Table  - Opmaakprofiel6 2 8 5 3" xfId="3179"/>
    <cellStyle name="Table  - Opmaakprofiel6 2 8 5 3 2" xfId="11200"/>
    <cellStyle name="Table  - Opmaakprofiel6 2 8 5 3 2 2" xfId="23498"/>
    <cellStyle name="Table  - Opmaakprofiel6 2 8 5 3 2 3" xfId="35550"/>
    <cellStyle name="Table  - Opmaakprofiel6 2 8 5 3 2 4" xfId="30844"/>
    <cellStyle name="Table  - Opmaakprofiel6 2 8 5 3 2 5" xfId="56165"/>
    <cellStyle name="Table  - Opmaakprofiel6 2 8 5 3 3" xfId="17476"/>
    <cellStyle name="Table  - Opmaakprofiel6 2 8 5 3 4" xfId="29528"/>
    <cellStyle name="Table  - Opmaakprofiel6 2 8 5 3 5" xfId="44449"/>
    <cellStyle name="Table  - Opmaakprofiel6 2 8 5 3 6" xfId="50427"/>
    <cellStyle name="Table  - Opmaakprofiel6 2 8 5 4" xfId="3999"/>
    <cellStyle name="Table  - Opmaakprofiel6 2 8 5 4 2" xfId="11201"/>
    <cellStyle name="Table  - Opmaakprofiel6 2 8 5 4 2 2" xfId="23499"/>
    <cellStyle name="Table  - Opmaakprofiel6 2 8 5 4 2 3" xfId="35551"/>
    <cellStyle name="Table  - Opmaakprofiel6 2 8 5 4 2 4" xfId="41957"/>
    <cellStyle name="Table  - Opmaakprofiel6 2 8 5 4 2 5" xfId="56166"/>
    <cellStyle name="Table  - Opmaakprofiel6 2 8 5 4 3" xfId="17477"/>
    <cellStyle name="Table  - Opmaakprofiel6 2 8 5 4 4" xfId="29529"/>
    <cellStyle name="Table  - Opmaakprofiel6 2 8 5 4 5" xfId="38247"/>
    <cellStyle name="Table  - Opmaakprofiel6 2 8 5 4 6" xfId="50428"/>
    <cellStyle name="Table  - Opmaakprofiel6 2 8 5 5" xfId="6220"/>
    <cellStyle name="Table  - Opmaakprofiel6 2 8 5 5 2" xfId="11202"/>
    <cellStyle name="Table  - Opmaakprofiel6 2 8 5 5 2 2" xfId="23500"/>
    <cellStyle name="Table  - Opmaakprofiel6 2 8 5 5 2 3" xfId="35552"/>
    <cellStyle name="Table  - Opmaakprofiel6 2 8 5 5 2 4" xfId="31343"/>
    <cellStyle name="Table  - Opmaakprofiel6 2 8 5 5 2 5" xfId="56167"/>
    <cellStyle name="Table  - Opmaakprofiel6 2 8 5 5 3" xfId="17478"/>
    <cellStyle name="Table  - Opmaakprofiel6 2 8 5 5 4" xfId="29530"/>
    <cellStyle name="Table  - Opmaakprofiel6 2 8 5 5 5" xfId="38246"/>
    <cellStyle name="Table  - Opmaakprofiel6 2 8 5 5 6" xfId="50429"/>
    <cellStyle name="Table  - Opmaakprofiel6 2 8 5 6" xfId="6221"/>
    <cellStyle name="Table  - Opmaakprofiel6 2 8 5 6 2" xfId="11203"/>
    <cellStyle name="Table  - Opmaakprofiel6 2 8 5 6 2 2" xfId="23501"/>
    <cellStyle name="Table  - Opmaakprofiel6 2 8 5 6 2 3" xfId="35553"/>
    <cellStyle name="Table  - Opmaakprofiel6 2 8 5 6 2 4" xfId="41956"/>
    <cellStyle name="Table  - Opmaakprofiel6 2 8 5 6 2 5" xfId="56168"/>
    <cellStyle name="Table  - Opmaakprofiel6 2 8 5 6 3" xfId="17479"/>
    <cellStyle name="Table  - Opmaakprofiel6 2 8 5 6 4" xfId="29531"/>
    <cellStyle name="Table  - Opmaakprofiel6 2 8 5 6 5" xfId="44448"/>
    <cellStyle name="Table  - Opmaakprofiel6 2 8 5 6 6" xfId="50430"/>
    <cellStyle name="Table  - Opmaakprofiel6 2 8 5 7" xfId="6222"/>
    <cellStyle name="Table  - Opmaakprofiel6 2 8 5 7 2" xfId="17480"/>
    <cellStyle name="Table  - Opmaakprofiel6 2 8 5 7 3" xfId="29532"/>
    <cellStyle name="Table  - Opmaakprofiel6 2 8 5 7 4" xfId="38245"/>
    <cellStyle name="Table  - Opmaakprofiel6 2 8 5 7 5" xfId="50431"/>
    <cellStyle name="Table  - Opmaakprofiel6 2 8 5 8" xfId="9888"/>
    <cellStyle name="Table  - Opmaakprofiel6 2 8 5 8 2" xfId="22186"/>
    <cellStyle name="Table  - Opmaakprofiel6 2 8 5 8 3" xfId="43953"/>
    <cellStyle name="Table  - Opmaakprofiel6 2 8 5 8 4" xfId="42504"/>
    <cellStyle name="Table  - Opmaakprofiel6 2 8 5 8 5" xfId="54853"/>
    <cellStyle name="Table  - Opmaakprofiel6 2 8 5 9" xfId="17474"/>
    <cellStyle name="Table  - Opmaakprofiel6 2 8 6" xfId="660"/>
    <cellStyle name="Table  - Opmaakprofiel6 2 8 6 2" xfId="1944"/>
    <cellStyle name="Table  - Opmaakprofiel6 2 8 6 2 2" xfId="11204"/>
    <cellStyle name="Table  - Opmaakprofiel6 2 8 6 2 2 2" xfId="23502"/>
    <cellStyle name="Table  - Opmaakprofiel6 2 8 6 2 2 3" xfId="35554"/>
    <cellStyle name="Table  - Opmaakprofiel6 2 8 6 2 2 4" xfId="30851"/>
    <cellStyle name="Table  - Opmaakprofiel6 2 8 6 2 2 5" xfId="56169"/>
    <cellStyle name="Table  - Opmaakprofiel6 2 8 6 2 3" xfId="17482"/>
    <cellStyle name="Table  - Opmaakprofiel6 2 8 6 2 4" xfId="29534"/>
    <cellStyle name="Table  - Opmaakprofiel6 2 8 6 2 5" xfId="38243"/>
    <cellStyle name="Table  - Opmaakprofiel6 2 8 6 2 6" xfId="50432"/>
    <cellStyle name="Table  - Opmaakprofiel6 2 8 6 3" xfId="2726"/>
    <cellStyle name="Table  - Opmaakprofiel6 2 8 6 3 2" xfId="11205"/>
    <cellStyle name="Table  - Opmaakprofiel6 2 8 6 3 2 2" xfId="23503"/>
    <cellStyle name="Table  - Opmaakprofiel6 2 8 6 3 2 3" xfId="35555"/>
    <cellStyle name="Table  - Opmaakprofiel6 2 8 6 3 2 4" xfId="41955"/>
    <cellStyle name="Table  - Opmaakprofiel6 2 8 6 3 2 5" xfId="56170"/>
    <cellStyle name="Table  - Opmaakprofiel6 2 8 6 3 3" xfId="17483"/>
    <cellStyle name="Table  - Opmaakprofiel6 2 8 6 3 4" xfId="29535"/>
    <cellStyle name="Table  - Opmaakprofiel6 2 8 6 3 5" xfId="44446"/>
    <cellStyle name="Table  - Opmaakprofiel6 2 8 6 3 6" xfId="50433"/>
    <cellStyle name="Table  - Opmaakprofiel6 2 8 6 4" xfId="3593"/>
    <cellStyle name="Table  - Opmaakprofiel6 2 8 6 4 2" xfId="11206"/>
    <cellStyle name="Table  - Opmaakprofiel6 2 8 6 4 2 2" xfId="23504"/>
    <cellStyle name="Table  - Opmaakprofiel6 2 8 6 4 2 3" xfId="35556"/>
    <cellStyle name="Table  - Opmaakprofiel6 2 8 6 4 2 4" xfId="31377"/>
    <cellStyle name="Table  - Opmaakprofiel6 2 8 6 4 2 5" xfId="56171"/>
    <cellStyle name="Table  - Opmaakprofiel6 2 8 6 4 3" xfId="17484"/>
    <cellStyle name="Table  - Opmaakprofiel6 2 8 6 4 4" xfId="29536"/>
    <cellStyle name="Table  - Opmaakprofiel6 2 8 6 4 5" xfId="38242"/>
    <cellStyle name="Table  - Opmaakprofiel6 2 8 6 4 6" xfId="50434"/>
    <cellStyle name="Table  - Opmaakprofiel6 2 8 6 5" xfId="6223"/>
    <cellStyle name="Table  - Opmaakprofiel6 2 8 6 5 2" xfId="11207"/>
    <cellStyle name="Table  - Opmaakprofiel6 2 8 6 5 2 2" xfId="23505"/>
    <cellStyle name="Table  - Opmaakprofiel6 2 8 6 5 2 3" xfId="35557"/>
    <cellStyle name="Table  - Opmaakprofiel6 2 8 6 5 2 4" xfId="30858"/>
    <cellStyle name="Table  - Opmaakprofiel6 2 8 6 5 2 5" xfId="56172"/>
    <cellStyle name="Table  - Opmaakprofiel6 2 8 6 5 3" xfId="17485"/>
    <cellStyle name="Table  - Opmaakprofiel6 2 8 6 5 4" xfId="29537"/>
    <cellStyle name="Table  - Opmaakprofiel6 2 8 6 5 5" xfId="38241"/>
    <cellStyle name="Table  - Opmaakprofiel6 2 8 6 5 6" xfId="50435"/>
    <cellStyle name="Table  - Opmaakprofiel6 2 8 6 6" xfId="6224"/>
    <cellStyle name="Table  - Opmaakprofiel6 2 8 6 6 2" xfId="11208"/>
    <cellStyle name="Table  - Opmaakprofiel6 2 8 6 6 2 2" xfId="23506"/>
    <cellStyle name="Table  - Opmaakprofiel6 2 8 6 6 2 3" xfId="35558"/>
    <cellStyle name="Table  - Opmaakprofiel6 2 8 6 6 2 4" xfId="41954"/>
    <cellStyle name="Table  - Opmaakprofiel6 2 8 6 6 2 5" xfId="56173"/>
    <cellStyle name="Table  - Opmaakprofiel6 2 8 6 6 3" xfId="17486"/>
    <cellStyle name="Table  - Opmaakprofiel6 2 8 6 6 4" xfId="29538"/>
    <cellStyle name="Table  - Opmaakprofiel6 2 8 6 6 5" xfId="44445"/>
    <cellStyle name="Table  - Opmaakprofiel6 2 8 6 6 6" xfId="50436"/>
    <cellStyle name="Table  - Opmaakprofiel6 2 8 6 7" xfId="6225"/>
    <cellStyle name="Table  - Opmaakprofiel6 2 8 6 7 2" xfId="17487"/>
    <cellStyle name="Table  - Opmaakprofiel6 2 8 6 7 3" xfId="29539"/>
    <cellStyle name="Table  - Opmaakprofiel6 2 8 6 7 4" xfId="38240"/>
    <cellStyle name="Table  - Opmaakprofiel6 2 8 6 7 5" xfId="50437"/>
    <cellStyle name="Table  - Opmaakprofiel6 2 8 6 8" xfId="7542"/>
    <cellStyle name="Table  - Opmaakprofiel6 2 8 6 8 2" xfId="19840"/>
    <cellStyle name="Table  - Opmaakprofiel6 2 8 6 8 3" xfId="41643"/>
    <cellStyle name="Table  - Opmaakprofiel6 2 8 6 8 4" xfId="43465"/>
    <cellStyle name="Table  - Opmaakprofiel6 2 8 6 8 5" xfId="52512"/>
    <cellStyle name="Table  - Opmaakprofiel6 2 8 6 9" xfId="17481"/>
    <cellStyle name="Table  - Opmaakprofiel6 2 8 7" xfId="2387"/>
    <cellStyle name="Table  - Opmaakprofiel6 2 8 7 2" xfId="11209"/>
    <cellStyle name="Table  - Opmaakprofiel6 2 8 7 2 2" xfId="23507"/>
    <cellStyle name="Table  - Opmaakprofiel6 2 8 7 2 3" xfId="35559"/>
    <cellStyle name="Table  - Opmaakprofiel6 2 8 7 2 4" xfId="31376"/>
    <cellStyle name="Table  - Opmaakprofiel6 2 8 7 2 5" xfId="56174"/>
    <cellStyle name="Table  - Opmaakprofiel6 2 8 7 3" xfId="17488"/>
    <cellStyle name="Table  - Opmaakprofiel6 2 8 7 4" xfId="29540"/>
    <cellStyle name="Table  - Opmaakprofiel6 2 8 7 5" xfId="38239"/>
    <cellStyle name="Table  - Opmaakprofiel6 2 8 7 6" xfId="50438"/>
    <cellStyle name="Table  - Opmaakprofiel6 2 8 8" xfId="2778"/>
    <cellStyle name="Table  - Opmaakprofiel6 2 8 8 2" xfId="11210"/>
    <cellStyle name="Table  - Opmaakprofiel6 2 8 8 2 2" xfId="23508"/>
    <cellStyle name="Table  - Opmaakprofiel6 2 8 8 2 3" xfId="35560"/>
    <cellStyle name="Table  - Opmaakprofiel6 2 8 8 2 4" xfId="41953"/>
    <cellStyle name="Table  - Opmaakprofiel6 2 8 8 2 5" xfId="56175"/>
    <cellStyle name="Table  - Opmaakprofiel6 2 8 8 3" xfId="17489"/>
    <cellStyle name="Table  - Opmaakprofiel6 2 8 8 4" xfId="29541"/>
    <cellStyle name="Table  - Opmaakprofiel6 2 8 8 5" xfId="44444"/>
    <cellStyle name="Table  - Opmaakprofiel6 2 8 8 6" xfId="50439"/>
    <cellStyle name="Table  - Opmaakprofiel6 2 8 9" xfId="3640"/>
    <cellStyle name="Table  - Opmaakprofiel6 2 8 9 2" xfId="11211"/>
    <cellStyle name="Table  - Opmaakprofiel6 2 8 9 2 2" xfId="23509"/>
    <cellStyle name="Table  - Opmaakprofiel6 2 8 9 2 3" xfId="35561"/>
    <cellStyle name="Table  - Opmaakprofiel6 2 8 9 2 4" xfId="30865"/>
    <cellStyle name="Table  - Opmaakprofiel6 2 8 9 2 5" xfId="56176"/>
    <cellStyle name="Table  - Opmaakprofiel6 2 8 9 3" xfId="17490"/>
    <cellStyle name="Table  - Opmaakprofiel6 2 8 9 4" xfId="29542"/>
    <cellStyle name="Table  - Opmaakprofiel6 2 8 9 5" xfId="38238"/>
    <cellStyle name="Table  - Opmaakprofiel6 2 8 9 6" xfId="50440"/>
    <cellStyle name="Table  - Opmaakprofiel6 2 9" xfId="727"/>
    <cellStyle name="Table  - Opmaakprofiel6 2 9 10" xfId="6226"/>
    <cellStyle name="Table  - Opmaakprofiel6 2 9 10 2" xfId="11212"/>
    <cellStyle name="Table  - Opmaakprofiel6 2 9 10 2 2" xfId="23510"/>
    <cellStyle name="Table  - Opmaakprofiel6 2 9 10 2 3" xfId="35562"/>
    <cellStyle name="Table  - Opmaakprofiel6 2 9 10 2 4" xfId="41952"/>
    <cellStyle name="Table  - Opmaakprofiel6 2 9 10 2 5" xfId="56177"/>
    <cellStyle name="Table  - Opmaakprofiel6 2 9 10 3" xfId="17492"/>
    <cellStyle name="Table  - Opmaakprofiel6 2 9 10 4" xfId="29544"/>
    <cellStyle name="Table  - Opmaakprofiel6 2 9 10 5" xfId="38236"/>
    <cellStyle name="Table  - Opmaakprofiel6 2 9 10 6" xfId="50441"/>
    <cellStyle name="Table  - Opmaakprofiel6 2 9 11" xfId="6227"/>
    <cellStyle name="Table  - Opmaakprofiel6 2 9 11 2" xfId="11213"/>
    <cellStyle name="Table  - Opmaakprofiel6 2 9 11 2 2" xfId="23511"/>
    <cellStyle name="Table  - Opmaakprofiel6 2 9 11 2 3" xfId="35563"/>
    <cellStyle name="Table  - Opmaakprofiel6 2 9 11 2 4" xfId="31348"/>
    <cellStyle name="Table  - Opmaakprofiel6 2 9 11 2 5" xfId="56178"/>
    <cellStyle name="Table  - Opmaakprofiel6 2 9 11 3" xfId="17493"/>
    <cellStyle name="Table  - Opmaakprofiel6 2 9 11 4" xfId="29545"/>
    <cellStyle name="Table  - Opmaakprofiel6 2 9 11 5" xfId="44442"/>
    <cellStyle name="Table  - Opmaakprofiel6 2 9 11 6" xfId="50442"/>
    <cellStyle name="Table  - Opmaakprofiel6 2 9 12" xfId="6228"/>
    <cellStyle name="Table  - Opmaakprofiel6 2 9 12 2" xfId="17494"/>
    <cellStyle name="Table  - Opmaakprofiel6 2 9 12 3" xfId="29546"/>
    <cellStyle name="Table  - Opmaakprofiel6 2 9 12 4" xfId="38235"/>
    <cellStyle name="Table  - Opmaakprofiel6 2 9 12 5" xfId="50443"/>
    <cellStyle name="Table  - Opmaakprofiel6 2 9 13" xfId="7495"/>
    <cellStyle name="Table  - Opmaakprofiel6 2 9 13 2" xfId="19793"/>
    <cellStyle name="Table  - Opmaakprofiel6 2 9 13 3" xfId="41596"/>
    <cellStyle name="Table  - Opmaakprofiel6 2 9 13 4" xfId="15469"/>
    <cellStyle name="Table  - Opmaakprofiel6 2 9 13 5" xfId="52465"/>
    <cellStyle name="Table  - Opmaakprofiel6 2 9 14" xfId="17491"/>
    <cellStyle name="Table  - Opmaakprofiel6 2 9 2" xfId="897"/>
    <cellStyle name="Table  - Opmaakprofiel6 2 9 2 2" xfId="2307"/>
    <cellStyle name="Table  - Opmaakprofiel6 2 9 2 2 2" xfId="11214"/>
    <cellStyle name="Table  - Opmaakprofiel6 2 9 2 2 2 2" xfId="23512"/>
    <cellStyle name="Table  - Opmaakprofiel6 2 9 2 2 2 3" xfId="35564"/>
    <cellStyle name="Table  - Opmaakprofiel6 2 9 2 2 2 4" xfId="41951"/>
    <cellStyle name="Table  - Opmaakprofiel6 2 9 2 2 2 5" xfId="56179"/>
    <cellStyle name="Table  - Opmaakprofiel6 2 9 2 2 3" xfId="17496"/>
    <cellStyle name="Table  - Opmaakprofiel6 2 9 2 2 4" xfId="29548"/>
    <cellStyle name="Table  - Opmaakprofiel6 2 9 2 2 5" xfId="38233"/>
    <cellStyle name="Table  - Opmaakprofiel6 2 9 2 2 6" xfId="50444"/>
    <cellStyle name="Table  - Opmaakprofiel6 2 9 2 3" xfId="2908"/>
    <cellStyle name="Table  - Opmaakprofiel6 2 9 2 3 2" xfId="11215"/>
    <cellStyle name="Table  - Opmaakprofiel6 2 9 2 3 2 2" xfId="23513"/>
    <cellStyle name="Table  - Opmaakprofiel6 2 9 2 3 2 3" xfId="35565"/>
    <cellStyle name="Table  - Opmaakprofiel6 2 9 2 3 2 4" xfId="30876"/>
    <cellStyle name="Table  - Opmaakprofiel6 2 9 2 3 2 5" xfId="56180"/>
    <cellStyle name="Table  - Opmaakprofiel6 2 9 2 3 3" xfId="17497"/>
    <cellStyle name="Table  - Opmaakprofiel6 2 9 2 3 4" xfId="29549"/>
    <cellStyle name="Table  - Opmaakprofiel6 2 9 2 3 5" xfId="38232"/>
    <cellStyle name="Table  - Opmaakprofiel6 2 9 2 3 6" xfId="50445"/>
    <cellStyle name="Table  - Opmaakprofiel6 2 9 2 4" xfId="3761"/>
    <cellStyle name="Table  - Opmaakprofiel6 2 9 2 4 2" xfId="11216"/>
    <cellStyle name="Table  - Opmaakprofiel6 2 9 2 4 2 2" xfId="23514"/>
    <cellStyle name="Table  - Opmaakprofiel6 2 9 2 4 2 3" xfId="35566"/>
    <cellStyle name="Table  - Opmaakprofiel6 2 9 2 4 2 4" xfId="41950"/>
    <cellStyle name="Table  - Opmaakprofiel6 2 9 2 4 2 5" xfId="56181"/>
    <cellStyle name="Table  - Opmaakprofiel6 2 9 2 4 3" xfId="17498"/>
    <cellStyle name="Table  - Opmaakprofiel6 2 9 2 4 4" xfId="29550"/>
    <cellStyle name="Table  - Opmaakprofiel6 2 9 2 4 5" xfId="38231"/>
    <cellStyle name="Table  - Opmaakprofiel6 2 9 2 4 6" xfId="50446"/>
    <cellStyle name="Table  - Opmaakprofiel6 2 9 2 5" xfId="6229"/>
    <cellStyle name="Table  - Opmaakprofiel6 2 9 2 5 2" xfId="11217"/>
    <cellStyle name="Table  - Opmaakprofiel6 2 9 2 5 2 2" xfId="23515"/>
    <cellStyle name="Table  - Opmaakprofiel6 2 9 2 5 2 3" xfId="35567"/>
    <cellStyle name="Table  - Opmaakprofiel6 2 9 2 5 2 4" xfId="31832"/>
    <cellStyle name="Table  - Opmaakprofiel6 2 9 2 5 2 5" xfId="56182"/>
    <cellStyle name="Table  - Opmaakprofiel6 2 9 2 5 3" xfId="17499"/>
    <cellStyle name="Table  - Opmaakprofiel6 2 9 2 5 4" xfId="29551"/>
    <cellStyle name="Table  - Opmaakprofiel6 2 9 2 5 5" xfId="44438"/>
    <cellStyle name="Table  - Opmaakprofiel6 2 9 2 5 6" xfId="50447"/>
    <cellStyle name="Table  - Opmaakprofiel6 2 9 2 6" xfId="6230"/>
    <cellStyle name="Table  - Opmaakprofiel6 2 9 2 6 2" xfId="11218"/>
    <cellStyle name="Table  - Opmaakprofiel6 2 9 2 6 2 2" xfId="23516"/>
    <cellStyle name="Table  - Opmaakprofiel6 2 9 2 6 2 3" xfId="35568"/>
    <cellStyle name="Table  - Opmaakprofiel6 2 9 2 6 2 4" xfId="30880"/>
    <cellStyle name="Table  - Opmaakprofiel6 2 9 2 6 2 5" xfId="56183"/>
    <cellStyle name="Table  - Opmaakprofiel6 2 9 2 6 3" xfId="17500"/>
    <cellStyle name="Table  - Opmaakprofiel6 2 9 2 6 4" xfId="29552"/>
    <cellStyle name="Table  - Opmaakprofiel6 2 9 2 6 5" xfId="38230"/>
    <cellStyle name="Table  - Opmaakprofiel6 2 9 2 6 6" xfId="50448"/>
    <cellStyle name="Table  - Opmaakprofiel6 2 9 2 7" xfId="6231"/>
    <cellStyle name="Table  - Opmaakprofiel6 2 9 2 7 2" xfId="17501"/>
    <cellStyle name="Table  - Opmaakprofiel6 2 9 2 7 3" xfId="29553"/>
    <cellStyle name="Table  - Opmaakprofiel6 2 9 2 7 4" xfId="38229"/>
    <cellStyle name="Table  - Opmaakprofiel6 2 9 2 7 5" xfId="50449"/>
    <cellStyle name="Table  - Opmaakprofiel6 2 9 2 8" xfId="10065"/>
    <cellStyle name="Table  - Opmaakprofiel6 2 9 2 8 2" xfId="22363"/>
    <cellStyle name="Table  - Opmaakprofiel6 2 9 2 8 3" xfId="44127"/>
    <cellStyle name="Table  - Opmaakprofiel6 2 9 2 8 4" xfId="32002"/>
    <cellStyle name="Table  - Opmaakprofiel6 2 9 2 8 5" xfId="55030"/>
    <cellStyle name="Table  - Opmaakprofiel6 2 9 2 9" xfId="17495"/>
    <cellStyle name="Table  - Opmaakprofiel6 2 9 3" xfId="996"/>
    <cellStyle name="Table  - Opmaakprofiel6 2 9 3 2" xfId="1788"/>
    <cellStyle name="Table  - Opmaakprofiel6 2 9 3 2 2" xfId="11219"/>
    <cellStyle name="Table  - Opmaakprofiel6 2 9 3 2 2 2" xfId="23517"/>
    <cellStyle name="Table  - Opmaakprofiel6 2 9 3 2 2 3" xfId="35569"/>
    <cellStyle name="Table  - Opmaakprofiel6 2 9 3 2 2 4" xfId="31717"/>
    <cellStyle name="Table  - Opmaakprofiel6 2 9 3 2 2 5" xfId="56184"/>
    <cellStyle name="Table  - Opmaakprofiel6 2 9 3 2 3" xfId="17503"/>
    <cellStyle name="Table  - Opmaakprofiel6 2 9 3 2 4" xfId="29555"/>
    <cellStyle name="Table  - Opmaakprofiel6 2 9 3 2 5" xfId="38228"/>
    <cellStyle name="Table  - Opmaakprofiel6 2 9 3 2 6" xfId="50450"/>
    <cellStyle name="Table  - Opmaakprofiel6 2 9 3 3" xfId="3007"/>
    <cellStyle name="Table  - Opmaakprofiel6 2 9 3 3 2" xfId="11220"/>
    <cellStyle name="Table  - Opmaakprofiel6 2 9 3 3 2 2" xfId="23518"/>
    <cellStyle name="Table  - Opmaakprofiel6 2 9 3 3 2 3" xfId="35570"/>
    <cellStyle name="Table  - Opmaakprofiel6 2 9 3 3 2 4" xfId="41949"/>
    <cellStyle name="Table  - Opmaakprofiel6 2 9 3 3 2 5" xfId="56185"/>
    <cellStyle name="Table  - Opmaakprofiel6 2 9 3 3 3" xfId="17504"/>
    <cellStyle name="Table  - Opmaakprofiel6 2 9 3 3 4" xfId="29556"/>
    <cellStyle name="Table  - Opmaakprofiel6 2 9 3 3 5" xfId="38227"/>
    <cellStyle name="Table  - Opmaakprofiel6 2 9 3 3 6" xfId="50451"/>
    <cellStyle name="Table  - Opmaakprofiel6 2 9 3 4" xfId="3853"/>
    <cellStyle name="Table  - Opmaakprofiel6 2 9 3 4 2" xfId="11221"/>
    <cellStyle name="Table  - Opmaakprofiel6 2 9 3 4 2 2" xfId="23519"/>
    <cellStyle name="Table  - Opmaakprofiel6 2 9 3 4 2 3" xfId="35571"/>
    <cellStyle name="Table  - Opmaakprofiel6 2 9 3 4 2 4" xfId="30887"/>
    <cellStyle name="Table  - Opmaakprofiel6 2 9 3 4 2 5" xfId="56186"/>
    <cellStyle name="Table  - Opmaakprofiel6 2 9 3 4 3" xfId="17505"/>
    <cellStyle name="Table  - Opmaakprofiel6 2 9 3 4 4" xfId="29557"/>
    <cellStyle name="Table  - Opmaakprofiel6 2 9 3 4 5" xfId="44436"/>
    <cellStyle name="Table  - Opmaakprofiel6 2 9 3 4 6" xfId="50452"/>
    <cellStyle name="Table  - Opmaakprofiel6 2 9 3 5" xfId="6232"/>
    <cellStyle name="Table  - Opmaakprofiel6 2 9 3 5 2" xfId="11222"/>
    <cellStyle name="Table  - Opmaakprofiel6 2 9 3 5 2 2" xfId="23520"/>
    <cellStyle name="Table  - Opmaakprofiel6 2 9 3 5 2 3" xfId="35572"/>
    <cellStyle name="Table  - Opmaakprofiel6 2 9 3 5 2 4" xfId="41948"/>
    <cellStyle name="Table  - Opmaakprofiel6 2 9 3 5 2 5" xfId="56187"/>
    <cellStyle name="Table  - Opmaakprofiel6 2 9 3 5 3" xfId="17506"/>
    <cellStyle name="Table  - Opmaakprofiel6 2 9 3 5 4" xfId="29558"/>
    <cellStyle name="Table  - Opmaakprofiel6 2 9 3 5 5" xfId="38226"/>
    <cellStyle name="Table  - Opmaakprofiel6 2 9 3 5 6" xfId="50453"/>
    <cellStyle name="Table  - Opmaakprofiel6 2 9 3 6" xfId="6233"/>
    <cellStyle name="Table  - Opmaakprofiel6 2 9 3 6 2" xfId="11223"/>
    <cellStyle name="Table  - Opmaakprofiel6 2 9 3 6 2 2" xfId="23521"/>
    <cellStyle name="Table  - Opmaakprofiel6 2 9 3 6 2 3" xfId="35573"/>
    <cellStyle name="Table  - Opmaakprofiel6 2 9 3 6 2 4" xfId="31650"/>
    <cellStyle name="Table  - Opmaakprofiel6 2 9 3 6 2 5" xfId="56188"/>
    <cellStyle name="Table  - Opmaakprofiel6 2 9 3 6 3" xfId="17507"/>
    <cellStyle name="Table  - Opmaakprofiel6 2 9 3 6 4" xfId="29559"/>
    <cellStyle name="Table  - Opmaakprofiel6 2 9 3 6 5" xfId="38225"/>
    <cellStyle name="Table  - Opmaakprofiel6 2 9 3 6 6" xfId="50454"/>
    <cellStyle name="Table  - Opmaakprofiel6 2 9 3 7" xfId="6234"/>
    <cellStyle name="Table  - Opmaakprofiel6 2 9 3 7 2" xfId="17508"/>
    <cellStyle name="Table  - Opmaakprofiel6 2 9 3 7 3" xfId="29560"/>
    <cellStyle name="Table  - Opmaakprofiel6 2 9 3 7 4" xfId="38224"/>
    <cellStyle name="Table  - Opmaakprofiel6 2 9 3 7 5" xfId="50455"/>
    <cellStyle name="Table  - Opmaakprofiel6 2 9 3 8" xfId="7315"/>
    <cellStyle name="Table  - Opmaakprofiel6 2 9 3 8 2" xfId="19613"/>
    <cellStyle name="Table  - Opmaakprofiel6 2 9 3 8 3" xfId="41416"/>
    <cellStyle name="Table  - Opmaakprofiel6 2 9 3 8 4" xfId="36850"/>
    <cellStyle name="Table  - Opmaakprofiel6 2 9 3 8 5" xfId="52285"/>
    <cellStyle name="Table  - Opmaakprofiel6 2 9 3 9" xfId="17502"/>
    <cellStyle name="Table  - Opmaakprofiel6 2 9 4" xfId="847"/>
    <cellStyle name="Table  - Opmaakprofiel6 2 9 4 2" xfId="1448"/>
    <cellStyle name="Table  - Opmaakprofiel6 2 9 4 2 2" xfId="11224"/>
    <cellStyle name="Table  - Opmaakprofiel6 2 9 4 2 2 2" xfId="23522"/>
    <cellStyle name="Table  - Opmaakprofiel6 2 9 4 2 2 3" xfId="35574"/>
    <cellStyle name="Table  - Opmaakprofiel6 2 9 4 2 2 4" xfId="41947"/>
    <cellStyle name="Table  - Opmaakprofiel6 2 9 4 2 2 5" xfId="56189"/>
    <cellStyle name="Table  - Opmaakprofiel6 2 9 4 2 3" xfId="17510"/>
    <cellStyle name="Table  - Opmaakprofiel6 2 9 4 2 4" xfId="29562"/>
    <cellStyle name="Table  - Opmaakprofiel6 2 9 4 2 5" xfId="38223"/>
    <cellStyle name="Table  - Opmaakprofiel6 2 9 4 2 6" xfId="50456"/>
    <cellStyle name="Table  - Opmaakprofiel6 2 9 4 3" xfId="2858"/>
    <cellStyle name="Table  - Opmaakprofiel6 2 9 4 3 2" xfId="11225"/>
    <cellStyle name="Table  - Opmaakprofiel6 2 9 4 3 2 2" xfId="23523"/>
    <cellStyle name="Table  - Opmaakprofiel6 2 9 4 3 2 3" xfId="35575"/>
    <cellStyle name="Table  - Opmaakprofiel6 2 9 4 3 2 4" xfId="30894"/>
    <cellStyle name="Table  - Opmaakprofiel6 2 9 4 3 2 5" xfId="56190"/>
    <cellStyle name="Table  - Opmaakprofiel6 2 9 4 3 3" xfId="17511"/>
    <cellStyle name="Table  - Opmaakprofiel6 2 9 4 3 4" xfId="29563"/>
    <cellStyle name="Table  - Opmaakprofiel6 2 9 4 3 5" xfId="38222"/>
    <cellStyle name="Table  - Opmaakprofiel6 2 9 4 3 6" xfId="50457"/>
    <cellStyle name="Table  - Opmaakprofiel6 2 9 4 4" xfId="3712"/>
    <cellStyle name="Table  - Opmaakprofiel6 2 9 4 4 2" xfId="11226"/>
    <cellStyle name="Table  - Opmaakprofiel6 2 9 4 4 2 2" xfId="23524"/>
    <cellStyle name="Table  - Opmaakprofiel6 2 9 4 4 2 3" xfId="35576"/>
    <cellStyle name="Table  - Opmaakprofiel6 2 9 4 4 2 4" xfId="41946"/>
    <cellStyle name="Table  - Opmaakprofiel6 2 9 4 4 2 5" xfId="56191"/>
    <cellStyle name="Table  - Opmaakprofiel6 2 9 4 4 3" xfId="17512"/>
    <cellStyle name="Table  - Opmaakprofiel6 2 9 4 4 4" xfId="29564"/>
    <cellStyle name="Table  - Opmaakprofiel6 2 9 4 4 5" xfId="38221"/>
    <cellStyle name="Table  - Opmaakprofiel6 2 9 4 4 6" xfId="50458"/>
    <cellStyle name="Table  - Opmaakprofiel6 2 9 4 5" xfId="6235"/>
    <cellStyle name="Table  - Opmaakprofiel6 2 9 4 5 2" xfId="11227"/>
    <cellStyle name="Table  - Opmaakprofiel6 2 9 4 5 2 2" xfId="23525"/>
    <cellStyle name="Table  - Opmaakprofiel6 2 9 4 5 2 3" xfId="35577"/>
    <cellStyle name="Table  - Opmaakprofiel6 2 9 4 5 2 4" xfId="34576"/>
    <cellStyle name="Table  - Opmaakprofiel6 2 9 4 5 2 5" xfId="56192"/>
    <cellStyle name="Table  - Opmaakprofiel6 2 9 4 5 3" xfId="17513"/>
    <cellStyle name="Table  - Opmaakprofiel6 2 9 4 5 4" xfId="29565"/>
    <cellStyle name="Table  - Opmaakprofiel6 2 9 4 5 5" xfId="38220"/>
    <cellStyle name="Table  - Opmaakprofiel6 2 9 4 5 6" xfId="50459"/>
    <cellStyle name="Table  - Opmaakprofiel6 2 9 4 6" xfId="6236"/>
    <cellStyle name="Table  - Opmaakprofiel6 2 9 4 6 2" xfId="11228"/>
    <cellStyle name="Table  - Opmaakprofiel6 2 9 4 6 2 2" xfId="23526"/>
    <cellStyle name="Table  - Opmaakprofiel6 2 9 4 6 2 3" xfId="35578"/>
    <cellStyle name="Table  - Opmaakprofiel6 2 9 4 6 2 4" xfId="41945"/>
    <cellStyle name="Table  - Opmaakprofiel6 2 9 4 6 2 5" xfId="56193"/>
    <cellStyle name="Table  - Opmaakprofiel6 2 9 4 6 3" xfId="17514"/>
    <cellStyle name="Table  - Opmaakprofiel6 2 9 4 6 4" xfId="29566"/>
    <cellStyle name="Table  - Opmaakprofiel6 2 9 4 6 5" xfId="38219"/>
    <cellStyle name="Table  - Opmaakprofiel6 2 9 4 6 6" xfId="50460"/>
    <cellStyle name="Table  - Opmaakprofiel6 2 9 4 7" xfId="6237"/>
    <cellStyle name="Table  - Opmaakprofiel6 2 9 4 7 2" xfId="17515"/>
    <cellStyle name="Table  - Opmaakprofiel6 2 9 4 7 3" xfId="29567"/>
    <cellStyle name="Table  - Opmaakprofiel6 2 9 4 7 4" xfId="38218"/>
    <cellStyle name="Table  - Opmaakprofiel6 2 9 4 7 5" xfId="50461"/>
    <cellStyle name="Table  - Opmaakprofiel6 2 9 4 8" xfId="7415"/>
    <cellStyle name="Table  - Opmaakprofiel6 2 9 4 8 2" xfId="19713"/>
    <cellStyle name="Table  - Opmaakprofiel6 2 9 4 8 3" xfId="41516"/>
    <cellStyle name="Table  - Opmaakprofiel6 2 9 4 8 4" xfId="15569"/>
    <cellStyle name="Table  - Opmaakprofiel6 2 9 4 8 5" xfId="52385"/>
    <cellStyle name="Table  - Opmaakprofiel6 2 9 4 9" xfId="17509"/>
    <cellStyle name="Table  - Opmaakprofiel6 2 9 5" xfId="1170"/>
    <cellStyle name="Table  - Opmaakprofiel6 2 9 5 2" xfId="2202"/>
    <cellStyle name="Table  - Opmaakprofiel6 2 9 5 2 2" xfId="11229"/>
    <cellStyle name="Table  - Opmaakprofiel6 2 9 5 2 2 2" xfId="23527"/>
    <cellStyle name="Table  - Opmaakprofiel6 2 9 5 2 2 3" xfId="35579"/>
    <cellStyle name="Table  - Opmaakprofiel6 2 9 5 2 2 4" xfId="30901"/>
    <cellStyle name="Table  - Opmaakprofiel6 2 9 5 2 2 5" xfId="56194"/>
    <cellStyle name="Table  - Opmaakprofiel6 2 9 5 2 3" xfId="17517"/>
    <cellStyle name="Table  - Opmaakprofiel6 2 9 5 2 4" xfId="29569"/>
    <cellStyle name="Table  - Opmaakprofiel6 2 9 5 2 5" xfId="38217"/>
    <cellStyle name="Table  - Opmaakprofiel6 2 9 5 2 6" xfId="50462"/>
    <cellStyle name="Table  - Opmaakprofiel6 2 9 5 3" xfId="3181"/>
    <cellStyle name="Table  - Opmaakprofiel6 2 9 5 3 2" xfId="11230"/>
    <cellStyle name="Table  - Opmaakprofiel6 2 9 5 3 2 2" xfId="23528"/>
    <cellStyle name="Table  - Opmaakprofiel6 2 9 5 3 2 3" xfId="35580"/>
    <cellStyle name="Table  - Opmaakprofiel6 2 9 5 3 2 4" xfId="31535"/>
    <cellStyle name="Table  - Opmaakprofiel6 2 9 5 3 2 5" xfId="56195"/>
    <cellStyle name="Table  - Opmaakprofiel6 2 9 5 3 3" xfId="17518"/>
    <cellStyle name="Table  - Opmaakprofiel6 2 9 5 3 4" xfId="29570"/>
    <cellStyle name="Table  - Opmaakprofiel6 2 9 5 3 5" xfId="38216"/>
    <cellStyle name="Table  - Opmaakprofiel6 2 9 5 3 6" xfId="50463"/>
    <cellStyle name="Table  - Opmaakprofiel6 2 9 5 4" xfId="4001"/>
    <cellStyle name="Table  - Opmaakprofiel6 2 9 5 4 2" xfId="11231"/>
    <cellStyle name="Table  - Opmaakprofiel6 2 9 5 4 2 2" xfId="23529"/>
    <cellStyle name="Table  - Opmaakprofiel6 2 9 5 4 2 3" xfId="35581"/>
    <cellStyle name="Table  - Opmaakprofiel6 2 9 5 4 2 4" xfId="30908"/>
    <cellStyle name="Table  - Opmaakprofiel6 2 9 5 4 2 5" xfId="56196"/>
    <cellStyle name="Table  - Opmaakprofiel6 2 9 5 4 3" xfId="17519"/>
    <cellStyle name="Table  - Opmaakprofiel6 2 9 5 4 4" xfId="29571"/>
    <cellStyle name="Table  - Opmaakprofiel6 2 9 5 4 5" xfId="44428"/>
    <cellStyle name="Table  - Opmaakprofiel6 2 9 5 4 6" xfId="50464"/>
    <cellStyle name="Table  - Opmaakprofiel6 2 9 5 5" xfId="6238"/>
    <cellStyle name="Table  - Opmaakprofiel6 2 9 5 5 2" xfId="11232"/>
    <cellStyle name="Table  - Opmaakprofiel6 2 9 5 5 2 2" xfId="23530"/>
    <cellStyle name="Table  - Opmaakprofiel6 2 9 5 5 2 3" xfId="35582"/>
    <cellStyle name="Table  - Opmaakprofiel6 2 9 5 5 2 4" xfId="41944"/>
    <cellStyle name="Table  - Opmaakprofiel6 2 9 5 5 2 5" xfId="56197"/>
    <cellStyle name="Table  - Opmaakprofiel6 2 9 5 5 3" xfId="17520"/>
    <cellStyle name="Table  - Opmaakprofiel6 2 9 5 5 4" xfId="29572"/>
    <cellStyle name="Table  - Opmaakprofiel6 2 9 5 5 5" xfId="38215"/>
    <cellStyle name="Table  - Opmaakprofiel6 2 9 5 5 6" xfId="50465"/>
    <cellStyle name="Table  - Opmaakprofiel6 2 9 5 6" xfId="6239"/>
    <cellStyle name="Table  - Opmaakprofiel6 2 9 5 6 2" xfId="11233"/>
    <cellStyle name="Table  - Opmaakprofiel6 2 9 5 6 2 2" xfId="23531"/>
    <cellStyle name="Table  - Opmaakprofiel6 2 9 5 6 2 3" xfId="35583"/>
    <cellStyle name="Table  - Opmaakprofiel6 2 9 5 6 2 4" xfId="31442"/>
    <cellStyle name="Table  - Opmaakprofiel6 2 9 5 6 2 5" xfId="56198"/>
    <cellStyle name="Table  - Opmaakprofiel6 2 9 5 6 3" xfId="17521"/>
    <cellStyle name="Table  - Opmaakprofiel6 2 9 5 6 4" xfId="29573"/>
    <cellStyle name="Table  - Opmaakprofiel6 2 9 5 6 5" xfId="38214"/>
    <cellStyle name="Table  - Opmaakprofiel6 2 9 5 6 6" xfId="50466"/>
    <cellStyle name="Table  - Opmaakprofiel6 2 9 5 7" xfId="6240"/>
    <cellStyle name="Table  - Opmaakprofiel6 2 9 5 7 2" xfId="17522"/>
    <cellStyle name="Table  - Opmaakprofiel6 2 9 5 7 3" xfId="29574"/>
    <cellStyle name="Table  - Opmaakprofiel6 2 9 5 7 4" xfId="38213"/>
    <cellStyle name="Table  - Opmaakprofiel6 2 9 5 7 5" xfId="50467"/>
    <cellStyle name="Table  - Opmaakprofiel6 2 9 5 8" xfId="7196"/>
    <cellStyle name="Table  - Opmaakprofiel6 2 9 5 8 2" xfId="19494"/>
    <cellStyle name="Table  - Opmaakprofiel6 2 9 5 8 3" xfId="41297"/>
    <cellStyle name="Table  - Opmaakprofiel6 2 9 5 8 4" xfId="43610"/>
    <cellStyle name="Table  - Opmaakprofiel6 2 9 5 8 5" xfId="52166"/>
    <cellStyle name="Table  - Opmaakprofiel6 2 9 5 9" xfId="17516"/>
    <cellStyle name="Table  - Opmaakprofiel6 2 9 6" xfId="1141"/>
    <cellStyle name="Table  - Opmaakprofiel6 2 9 6 2" xfId="1766"/>
    <cellStyle name="Table  - Opmaakprofiel6 2 9 6 2 2" xfId="11234"/>
    <cellStyle name="Table  - Opmaakprofiel6 2 9 6 2 2 2" xfId="23532"/>
    <cellStyle name="Table  - Opmaakprofiel6 2 9 6 2 2 3" xfId="35584"/>
    <cellStyle name="Table  - Opmaakprofiel6 2 9 6 2 2 4" xfId="41943"/>
    <cellStyle name="Table  - Opmaakprofiel6 2 9 6 2 2 5" xfId="56199"/>
    <cellStyle name="Table  - Opmaakprofiel6 2 9 6 2 3" xfId="17524"/>
    <cellStyle name="Table  - Opmaakprofiel6 2 9 6 2 4" xfId="29576"/>
    <cellStyle name="Table  - Opmaakprofiel6 2 9 6 2 5" xfId="44425"/>
    <cellStyle name="Table  - Opmaakprofiel6 2 9 6 2 6" xfId="50468"/>
    <cellStyle name="Table  - Opmaakprofiel6 2 9 6 3" xfId="3152"/>
    <cellStyle name="Table  - Opmaakprofiel6 2 9 6 3 2" xfId="11235"/>
    <cellStyle name="Table  - Opmaakprofiel6 2 9 6 3 2 2" xfId="23533"/>
    <cellStyle name="Table  - Opmaakprofiel6 2 9 6 3 2 3" xfId="35585"/>
    <cellStyle name="Table  - Opmaakprofiel6 2 9 6 3 2 4" xfId="34896"/>
    <cellStyle name="Table  - Opmaakprofiel6 2 9 6 3 2 5" xfId="56200"/>
    <cellStyle name="Table  - Opmaakprofiel6 2 9 6 3 3" xfId="17525"/>
    <cellStyle name="Table  - Opmaakprofiel6 2 9 6 3 4" xfId="29577"/>
    <cellStyle name="Table  - Opmaakprofiel6 2 9 6 3 5" xfId="38211"/>
    <cellStyle name="Table  - Opmaakprofiel6 2 9 6 3 6" xfId="50469"/>
    <cellStyle name="Table  - Opmaakprofiel6 2 9 6 4" xfId="3980"/>
    <cellStyle name="Table  - Opmaakprofiel6 2 9 6 4 2" xfId="11236"/>
    <cellStyle name="Table  - Opmaakprofiel6 2 9 6 4 2 2" xfId="23534"/>
    <cellStyle name="Table  - Opmaakprofiel6 2 9 6 4 2 3" xfId="35586"/>
    <cellStyle name="Table  - Opmaakprofiel6 2 9 6 4 2 4" xfId="41942"/>
    <cellStyle name="Table  - Opmaakprofiel6 2 9 6 4 2 5" xfId="56201"/>
    <cellStyle name="Table  - Opmaakprofiel6 2 9 6 4 3" xfId="17526"/>
    <cellStyle name="Table  - Opmaakprofiel6 2 9 6 4 4" xfId="29578"/>
    <cellStyle name="Table  - Opmaakprofiel6 2 9 6 4 5" xfId="38210"/>
    <cellStyle name="Table  - Opmaakprofiel6 2 9 6 4 6" xfId="50470"/>
    <cellStyle name="Table  - Opmaakprofiel6 2 9 6 5" xfId="6241"/>
    <cellStyle name="Table  - Opmaakprofiel6 2 9 6 5 2" xfId="11237"/>
    <cellStyle name="Table  - Opmaakprofiel6 2 9 6 5 2 2" xfId="23535"/>
    <cellStyle name="Table  - Opmaakprofiel6 2 9 6 5 2 3" xfId="35587"/>
    <cellStyle name="Table  - Opmaakprofiel6 2 9 6 5 2 4" xfId="30921"/>
    <cellStyle name="Table  - Opmaakprofiel6 2 9 6 5 2 5" xfId="56202"/>
    <cellStyle name="Table  - Opmaakprofiel6 2 9 6 5 3" xfId="17527"/>
    <cellStyle name="Table  - Opmaakprofiel6 2 9 6 5 4" xfId="29579"/>
    <cellStyle name="Table  - Opmaakprofiel6 2 9 6 5 5" xfId="44424"/>
    <cellStyle name="Table  - Opmaakprofiel6 2 9 6 5 6" xfId="50471"/>
    <cellStyle name="Table  - Opmaakprofiel6 2 9 6 6" xfId="6242"/>
    <cellStyle name="Table  - Opmaakprofiel6 2 9 6 6 2" xfId="11238"/>
    <cellStyle name="Table  - Opmaakprofiel6 2 9 6 6 2 2" xfId="23536"/>
    <cellStyle name="Table  - Opmaakprofiel6 2 9 6 6 2 3" xfId="35588"/>
    <cellStyle name="Table  - Opmaakprofiel6 2 9 6 6 2 4" xfId="41941"/>
    <cellStyle name="Table  - Opmaakprofiel6 2 9 6 6 2 5" xfId="56203"/>
    <cellStyle name="Table  - Opmaakprofiel6 2 9 6 6 3" xfId="17528"/>
    <cellStyle name="Table  - Opmaakprofiel6 2 9 6 6 4" xfId="29580"/>
    <cellStyle name="Table  - Opmaakprofiel6 2 9 6 6 5" xfId="38209"/>
    <cellStyle name="Table  - Opmaakprofiel6 2 9 6 6 6" xfId="50472"/>
    <cellStyle name="Table  - Opmaakprofiel6 2 9 6 7" xfId="6243"/>
    <cellStyle name="Table  - Opmaakprofiel6 2 9 6 7 2" xfId="17529"/>
    <cellStyle name="Table  - Opmaakprofiel6 2 9 6 7 3" xfId="29581"/>
    <cellStyle name="Table  - Opmaakprofiel6 2 9 6 7 4" xfId="38208"/>
    <cellStyle name="Table  - Opmaakprofiel6 2 9 6 7 5" xfId="50473"/>
    <cellStyle name="Table  - Opmaakprofiel6 2 9 6 8" xfId="7215"/>
    <cellStyle name="Table  - Opmaakprofiel6 2 9 6 8 2" xfId="19513"/>
    <cellStyle name="Table  - Opmaakprofiel6 2 9 6 8 3" xfId="41316"/>
    <cellStyle name="Table  - Opmaakprofiel6 2 9 6 8 4" xfId="36909"/>
    <cellStyle name="Table  - Opmaakprofiel6 2 9 6 8 5" xfId="52185"/>
    <cellStyle name="Table  - Opmaakprofiel6 2 9 6 9" xfId="17523"/>
    <cellStyle name="Table  - Opmaakprofiel6 2 9 7" xfId="2313"/>
    <cellStyle name="Table  - Opmaakprofiel6 2 9 7 2" xfId="11239"/>
    <cellStyle name="Table  - Opmaakprofiel6 2 9 7 2 2" xfId="23537"/>
    <cellStyle name="Table  - Opmaakprofiel6 2 9 7 2 3" xfId="35589"/>
    <cellStyle name="Table  - Opmaakprofiel6 2 9 7 2 4" xfId="31874"/>
    <cellStyle name="Table  - Opmaakprofiel6 2 9 7 2 5" xfId="56204"/>
    <cellStyle name="Table  - Opmaakprofiel6 2 9 7 3" xfId="17530"/>
    <cellStyle name="Table  - Opmaakprofiel6 2 9 7 4" xfId="29582"/>
    <cellStyle name="Table  - Opmaakprofiel6 2 9 7 5" xfId="38207"/>
    <cellStyle name="Table  - Opmaakprofiel6 2 9 7 6" xfId="50474"/>
    <cellStyle name="Table  - Opmaakprofiel6 2 9 8" xfId="2780"/>
    <cellStyle name="Table  - Opmaakprofiel6 2 9 8 2" xfId="11240"/>
    <cellStyle name="Table  - Opmaakprofiel6 2 9 8 2 2" xfId="23538"/>
    <cellStyle name="Table  - Opmaakprofiel6 2 9 8 2 3" xfId="35590"/>
    <cellStyle name="Table  - Opmaakprofiel6 2 9 8 2 4" xfId="41940"/>
    <cellStyle name="Table  - Opmaakprofiel6 2 9 8 2 5" xfId="56205"/>
    <cellStyle name="Table  - Opmaakprofiel6 2 9 8 3" xfId="17531"/>
    <cellStyle name="Table  - Opmaakprofiel6 2 9 8 4" xfId="29583"/>
    <cellStyle name="Table  - Opmaakprofiel6 2 9 8 5" xfId="38206"/>
    <cellStyle name="Table  - Opmaakprofiel6 2 9 8 6" xfId="50475"/>
    <cellStyle name="Table  - Opmaakprofiel6 2 9 9" xfId="3642"/>
    <cellStyle name="Table  - Opmaakprofiel6 2 9 9 2" xfId="11241"/>
    <cellStyle name="Table  - Opmaakprofiel6 2 9 9 2 2" xfId="23539"/>
    <cellStyle name="Table  - Opmaakprofiel6 2 9 9 2 3" xfId="35591"/>
    <cellStyle name="Table  - Opmaakprofiel6 2 9 9 2 4" xfId="30925"/>
    <cellStyle name="Table  - Opmaakprofiel6 2 9 9 2 5" xfId="56206"/>
    <cellStyle name="Table  - Opmaakprofiel6 2 9 9 3" xfId="17532"/>
    <cellStyle name="Table  - Opmaakprofiel6 2 9 9 4" xfId="29584"/>
    <cellStyle name="Table  - Opmaakprofiel6 2 9 9 5" xfId="44421"/>
    <cellStyle name="Table  - Opmaakprofiel6 2 9 9 6" xfId="50476"/>
    <cellStyle name="Table  - Opmaakprofiel6 3" xfId="240"/>
    <cellStyle name="Table  - Opmaakprofiel6 3 10" xfId="1051"/>
    <cellStyle name="Table  - Opmaakprofiel6 3 10 2" xfId="1822"/>
    <cellStyle name="Table  - Opmaakprofiel6 3 10 2 2" xfId="11242"/>
    <cellStyle name="Table  - Opmaakprofiel6 3 10 2 2 2" xfId="23540"/>
    <cellStyle name="Table  - Opmaakprofiel6 3 10 2 2 3" xfId="35592"/>
    <cellStyle name="Table  - Opmaakprofiel6 3 10 2 2 4" xfId="31756"/>
    <cellStyle name="Table  - Opmaakprofiel6 3 10 2 2 5" xfId="56207"/>
    <cellStyle name="Table  - Opmaakprofiel6 3 10 2 3" xfId="17535"/>
    <cellStyle name="Table  - Opmaakprofiel6 3 10 2 4" xfId="29587"/>
    <cellStyle name="Table  - Opmaakprofiel6 3 10 2 5" xfId="44420"/>
    <cellStyle name="Table  - Opmaakprofiel6 3 10 2 6" xfId="50477"/>
    <cellStyle name="Table  - Opmaakprofiel6 3 10 3" xfId="3062"/>
    <cellStyle name="Table  - Opmaakprofiel6 3 10 3 2" xfId="11243"/>
    <cellStyle name="Table  - Opmaakprofiel6 3 10 3 2 2" xfId="23541"/>
    <cellStyle name="Table  - Opmaakprofiel6 3 10 3 2 3" xfId="35593"/>
    <cellStyle name="Table  - Opmaakprofiel6 3 10 3 2 4" xfId="30932"/>
    <cellStyle name="Table  - Opmaakprofiel6 3 10 3 2 5" xfId="56208"/>
    <cellStyle name="Table  - Opmaakprofiel6 3 10 3 3" xfId="17536"/>
    <cellStyle name="Table  - Opmaakprofiel6 3 10 3 4" xfId="29588"/>
    <cellStyle name="Table  - Opmaakprofiel6 3 10 3 5" xfId="38203"/>
    <cellStyle name="Table  - Opmaakprofiel6 3 10 3 6" xfId="50478"/>
    <cellStyle name="Table  - Opmaakprofiel6 3 10 4" xfId="3903"/>
    <cellStyle name="Table  - Opmaakprofiel6 3 10 4 2" xfId="11244"/>
    <cellStyle name="Table  - Opmaakprofiel6 3 10 4 2 2" xfId="23542"/>
    <cellStyle name="Table  - Opmaakprofiel6 3 10 4 2 3" xfId="35594"/>
    <cellStyle name="Table  - Opmaakprofiel6 3 10 4 2 4" xfId="41939"/>
    <cellStyle name="Table  - Opmaakprofiel6 3 10 4 2 5" xfId="56209"/>
    <cellStyle name="Table  - Opmaakprofiel6 3 10 4 3" xfId="17537"/>
    <cellStyle name="Table  - Opmaakprofiel6 3 10 4 4" xfId="29589"/>
    <cellStyle name="Table  - Opmaakprofiel6 3 10 4 5" xfId="38202"/>
    <cellStyle name="Table  - Opmaakprofiel6 3 10 4 6" xfId="50479"/>
    <cellStyle name="Table  - Opmaakprofiel6 3 10 5" xfId="6244"/>
    <cellStyle name="Table  - Opmaakprofiel6 3 10 5 2" xfId="11245"/>
    <cellStyle name="Table  - Opmaakprofiel6 3 10 5 2 2" xfId="23543"/>
    <cellStyle name="Table  - Opmaakprofiel6 3 10 5 2 3" xfId="35595"/>
    <cellStyle name="Table  - Opmaakprofiel6 3 10 5 2 4" xfId="31931"/>
    <cellStyle name="Table  - Opmaakprofiel6 3 10 5 2 5" xfId="56210"/>
    <cellStyle name="Table  - Opmaakprofiel6 3 10 5 3" xfId="17538"/>
    <cellStyle name="Table  - Opmaakprofiel6 3 10 5 4" xfId="29590"/>
    <cellStyle name="Table  - Opmaakprofiel6 3 10 5 5" xfId="38201"/>
    <cellStyle name="Table  - Opmaakprofiel6 3 10 5 6" xfId="50480"/>
    <cellStyle name="Table  - Opmaakprofiel6 3 10 6" xfId="6245"/>
    <cellStyle name="Table  - Opmaakprofiel6 3 10 6 2" xfId="11246"/>
    <cellStyle name="Table  - Opmaakprofiel6 3 10 6 2 2" xfId="23544"/>
    <cellStyle name="Table  - Opmaakprofiel6 3 10 6 2 3" xfId="35596"/>
    <cellStyle name="Table  - Opmaakprofiel6 3 10 6 2 4" xfId="41938"/>
    <cellStyle name="Table  - Opmaakprofiel6 3 10 6 2 5" xfId="56211"/>
    <cellStyle name="Table  - Opmaakprofiel6 3 10 6 3" xfId="17539"/>
    <cellStyle name="Table  - Opmaakprofiel6 3 10 6 4" xfId="29591"/>
    <cellStyle name="Table  - Opmaakprofiel6 3 10 6 5" xfId="38200"/>
    <cellStyle name="Table  - Opmaakprofiel6 3 10 6 6" xfId="50481"/>
    <cellStyle name="Table  - Opmaakprofiel6 3 10 7" xfId="6246"/>
    <cellStyle name="Table  - Opmaakprofiel6 3 10 7 2" xfId="17540"/>
    <cellStyle name="Table  - Opmaakprofiel6 3 10 7 3" xfId="29592"/>
    <cellStyle name="Table  - Opmaakprofiel6 3 10 7 4" xfId="44417"/>
    <cellStyle name="Table  - Opmaakprofiel6 3 10 7 5" xfId="50482"/>
    <cellStyle name="Table  - Opmaakprofiel6 3 10 8" xfId="7275"/>
    <cellStyle name="Table  - Opmaakprofiel6 3 10 8 2" xfId="19573"/>
    <cellStyle name="Table  - Opmaakprofiel6 3 10 8 3" xfId="41376"/>
    <cellStyle name="Table  - Opmaakprofiel6 3 10 8 4" xfId="36874"/>
    <cellStyle name="Table  - Opmaakprofiel6 3 10 8 5" xfId="52245"/>
    <cellStyle name="Table  - Opmaakprofiel6 3 10 9" xfId="17534"/>
    <cellStyle name="Table  - Opmaakprofiel6 3 11" xfId="482"/>
    <cellStyle name="Table  - Opmaakprofiel6 3 11 2" xfId="2168"/>
    <cellStyle name="Table  - Opmaakprofiel6 3 11 2 2" xfId="11247"/>
    <cellStyle name="Table  - Opmaakprofiel6 3 11 2 2 2" xfId="23545"/>
    <cellStyle name="Table  - Opmaakprofiel6 3 11 2 2 3" xfId="35597"/>
    <cellStyle name="Table  - Opmaakprofiel6 3 11 2 2 4" xfId="30939"/>
    <cellStyle name="Table  - Opmaakprofiel6 3 11 2 2 5" xfId="56212"/>
    <cellStyle name="Table  - Opmaakprofiel6 3 11 2 3" xfId="17542"/>
    <cellStyle name="Table  - Opmaakprofiel6 3 11 2 4" xfId="29594"/>
    <cellStyle name="Table  - Opmaakprofiel6 3 11 2 5" xfId="38199"/>
    <cellStyle name="Table  - Opmaakprofiel6 3 11 2 6" xfId="50483"/>
    <cellStyle name="Table  - Opmaakprofiel6 3 11 3" xfId="2553"/>
    <cellStyle name="Table  - Opmaakprofiel6 3 11 3 2" xfId="11248"/>
    <cellStyle name="Table  - Opmaakprofiel6 3 11 3 2 2" xfId="23546"/>
    <cellStyle name="Table  - Opmaakprofiel6 3 11 3 2 3" xfId="35598"/>
    <cellStyle name="Table  - Opmaakprofiel6 3 11 3 2 4" xfId="41937"/>
    <cellStyle name="Table  - Opmaakprofiel6 3 11 3 2 5" xfId="56213"/>
    <cellStyle name="Table  - Opmaakprofiel6 3 11 3 3" xfId="17543"/>
    <cellStyle name="Table  - Opmaakprofiel6 3 11 3 4" xfId="29595"/>
    <cellStyle name="Table  - Opmaakprofiel6 3 11 3 5" xfId="44416"/>
    <cellStyle name="Table  - Opmaakprofiel6 3 11 3 6" xfId="50484"/>
    <cellStyle name="Table  - Opmaakprofiel6 3 11 4" xfId="3438"/>
    <cellStyle name="Table  - Opmaakprofiel6 3 11 4 2" xfId="11249"/>
    <cellStyle name="Table  - Opmaakprofiel6 3 11 4 2 2" xfId="23547"/>
    <cellStyle name="Table  - Opmaakprofiel6 3 11 4 2 3" xfId="35599"/>
    <cellStyle name="Table  - Opmaakprofiel6 3 11 4 2 4" xfId="32032"/>
    <cellStyle name="Table  - Opmaakprofiel6 3 11 4 2 5" xfId="56214"/>
    <cellStyle name="Table  - Opmaakprofiel6 3 11 4 3" xfId="17544"/>
    <cellStyle name="Table  - Opmaakprofiel6 3 11 4 4" xfId="29596"/>
    <cellStyle name="Table  - Opmaakprofiel6 3 11 4 5" xfId="38198"/>
    <cellStyle name="Table  - Opmaakprofiel6 3 11 4 6" xfId="50485"/>
    <cellStyle name="Table  - Opmaakprofiel6 3 11 5" xfId="6247"/>
    <cellStyle name="Table  - Opmaakprofiel6 3 11 5 2" xfId="11250"/>
    <cellStyle name="Table  - Opmaakprofiel6 3 11 5 2 2" xfId="23548"/>
    <cellStyle name="Table  - Opmaakprofiel6 3 11 5 2 3" xfId="35600"/>
    <cellStyle name="Table  - Opmaakprofiel6 3 11 5 2 4" xfId="41936"/>
    <cellStyle name="Table  - Opmaakprofiel6 3 11 5 2 5" xfId="56215"/>
    <cellStyle name="Table  - Opmaakprofiel6 3 11 5 3" xfId="17545"/>
    <cellStyle name="Table  - Opmaakprofiel6 3 11 5 4" xfId="29597"/>
    <cellStyle name="Table  - Opmaakprofiel6 3 11 5 5" xfId="38197"/>
    <cellStyle name="Table  - Opmaakprofiel6 3 11 5 6" xfId="50486"/>
    <cellStyle name="Table  - Opmaakprofiel6 3 11 6" xfId="6248"/>
    <cellStyle name="Table  - Opmaakprofiel6 3 11 6 2" xfId="11251"/>
    <cellStyle name="Table  - Opmaakprofiel6 3 11 6 2 2" xfId="23549"/>
    <cellStyle name="Table  - Opmaakprofiel6 3 11 6 2 3" xfId="35601"/>
    <cellStyle name="Table  - Opmaakprofiel6 3 11 6 2 4" xfId="30946"/>
    <cellStyle name="Table  - Opmaakprofiel6 3 11 6 2 5" xfId="56216"/>
    <cellStyle name="Table  - Opmaakprofiel6 3 11 6 3" xfId="17546"/>
    <cellStyle name="Table  - Opmaakprofiel6 3 11 6 4" xfId="29598"/>
    <cellStyle name="Table  - Opmaakprofiel6 3 11 6 5" xfId="38196"/>
    <cellStyle name="Table  - Opmaakprofiel6 3 11 6 6" xfId="50487"/>
    <cellStyle name="Table  - Opmaakprofiel6 3 11 7" xfId="6249"/>
    <cellStyle name="Table  - Opmaakprofiel6 3 11 7 2" xfId="17547"/>
    <cellStyle name="Table  - Opmaakprofiel6 3 11 7 3" xfId="29599"/>
    <cellStyle name="Table  - Opmaakprofiel6 3 11 7 4" xfId="38195"/>
    <cellStyle name="Table  - Opmaakprofiel6 3 11 7 5" xfId="50488"/>
    <cellStyle name="Table  - Opmaakprofiel6 3 11 8" xfId="7661"/>
    <cellStyle name="Table  - Opmaakprofiel6 3 11 8 2" xfId="19959"/>
    <cellStyle name="Table  - Opmaakprofiel6 3 11 8 3" xfId="41762"/>
    <cellStyle name="Table  - Opmaakprofiel6 3 11 8 4" xfId="43416"/>
    <cellStyle name="Table  - Opmaakprofiel6 3 11 8 5" xfId="52631"/>
    <cellStyle name="Table  - Opmaakprofiel6 3 11 9" xfId="17541"/>
    <cellStyle name="Table  - Opmaakprofiel6 3 12" xfId="1040"/>
    <cellStyle name="Table  - Opmaakprofiel6 3 12 2" xfId="2062"/>
    <cellStyle name="Table  - Opmaakprofiel6 3 12 2 2" xfId="11252"/>
    <cellStyle name="Table  - Opmaakprofiel6 3 12 2 2 2" xfId="23550"/>
    <cellStyle name="Table  - Opmaakprofiel6 3 12 2 2 3" xfId="35602"/>
    <cellStyle name="Table  - Opmaakprofiel6 3 12 2 2 4" xfId="41935"/>
    <cellStyle name="Table  - Opmaakprofiel6 3 12 2 2 5" xfId="56217"/>
    <cellStyle name="Table  - Opmaakprofiel6 3 12 2 3" xfId="17549"/>
    <cellStyle name="Table  - Opmaakprofiel6 3 12 2 4" xfId="29601"/>
    <cellStyle name="Table  - Opmaakprofiel6 3 12 2 5" xfId="38194"/>
    <cellStyle name="Table  - Opmaakprofiel6 3 12 2 6" xfId="50489"/>
    <cellStyle name="Table  - Opmaakprofiel6 3 12 3" xfId="3051"/>
    <cellStyle name="Table  - Opmaakprofiel6 3 12 3 2" xfId="11253"/>
    <cellStyle name="Table  - Opmaakprofiel6 3 12 3 2 2" xfId="23551"/>
    <cellStyle name="Table  - Opmaakprofiel6 3 12 3 2 3" xfId="35603"/>
    <cellStyle name="Table  - Opmaakprofiel6 3 12 3 2 4" xfId="31593"/>
    <cellStyle name="Table  - Opmaakprofiel6 3 12 3 2 5" xfId="56218"/>
    <cellStyle name="Table  - Opmaakprofiel6 3 12 3 3" xfId="17550"/>
    <cellStyle name="Table  - Opmaakprofiel6 3 12 3 4" xfId="29602"/>
    <cellStyle name="Table  - Opmaakprofiel6 3 12 3 5" xfId="38193"/>
    <cellStyle name="Table  - Opmaakprofiel6 3 12 3 6" xfId="50490"/>
    <cellStyle name="Table  - Opmaakprofiel6 3 12 4" xfId="3892"/>
    <cellStyle name="Table  - Opmaakprofiel6 3 12 4 2" xfId="11254"/>
    <cellStyle name="Table  - Opmaakprofiel6 3 12 4 2 2" xfId="23552"/>
    <cellStyle name="Table  - Opmaakprofiel6 3 12 4 2 3" xfId="35604"/>
    <cellStyle name="Table  - Opmaakprofiel6 3 12 4 2 4" xfId="30953"/>
    <cellStyle name="Table  - Opmaakprofiel6 3 12 4 2 5" xfId="56219"/>
    <cellStyle name="Table  - Opmaakprofiel6 3 12 4 3" xfId="17551"/>
    <cellStyle name="Table  - Opmaakprofiel6 3 12 4 4" xfId="29603"/>
    <cellStyle name="Table  - Opmaakprofiel6 3 12 4 5" xfId="44412"/>
    <cellStyle name="Table  - Opmaakprofiel6 3 12 4 6" xfId="50491"/>
    <cellStyle name="Table  - Opmaakprofiel6 3 12 5" xfId="6250"/>
    <cellStyle name="Table  - Opmaakprofiel6 3 12 5 2" xfId="11255"/>
    <cellStyle name="Table  - Opmaakprofiel6 3 12 5 2 2" xfId="23553"/>
    <cellStyle name="Table  - Opmaakprofiel6 3 12 5 2 3" xfId="35605"/>
    <cellStyle name="Table  - Opmaakprofiel6 3 12 5 2 4" xfId="31453"/>
    <cellStyle name="Table  - Opmaakprofiel6 3 12 5 2 5" xfId="56220"/>
    <cellStyle name="Table  - Opmaakprofiel6 3 12 5 3" xfId="17552"/>
    <cellStyle name="Table  - Opmaakprofiel6 3 12 5 4" xfId="29604"/>
    <cellStyle name="Table  - Opmaakprofiel6 3 12 5 5" xfId="38192"/>
    <cellStyle name="Table  - Opmaakprofiel6 3 12 5 6" xfId="50492"/>
    <cellStyle name="Table  - Opmaakprofiel6 3 12 6" xfId="6251"/>
    <cellStyle name="Table  - Opmaakprofiel6 3 12 6 2" xfId="11256"/>
    <cellStyle name="Table  - Opmaakprofiel6 3 12 6 2 2" xfId="23554"/>
    <cellStyle name="Table  - Opmaakprofiel6 3 12 6 2 3" xfId="35606"/>
    <cellStyle name="Table  - Opmaakprofiel6 3 12 6 2 4" xfId="41934"/>
    <cellStyle name="Table  - Opmaakprofiel6 3 12 6 2 5" xfId="56221"/>
    <cellStyle name="Table  - Opmaakprofiel6 3 12 6 3" xfId="17553"/>
    <cellStyle name="Table  - Opmaakprofiel6 3 12 6 4" xfId="29605"/>
    <cellStyle name="Table  - Opmaakprofiel6 3 12 6 5" xfId="38191"/>
    <cellStyle name="Table  - Opmaakprofiel6 3 12 6 6" xfId="50493"/>
    <cellStyle name="Table  - Opmaakprofiel6 3 12 7" xfId="6252"/>
    <cellStyle name="Table  - Opmaakprofiel6 3 12 7 2" xfId="17554"/>
    <cellStyle name="Table  - Opmaakprofiel6 3 12 7 3" xfId="29606"/>
    <cellStyle name="Table  - Opmaakprofiel6 3 12 7 4" xfId="38190"/>
    <cellStyle name="Table  - Opmaakprofiel6 3 12 7 5" xfId="50494"/>
    <cellStyle name="Table  - Opmaakprofiel6 3 12 8" xfId="9973"/>
    <cellStyle name="Table  - Opmaakprofiel6 3 12 8 2" xfId="22271"/>
    <cellStyle name="Table  - Opmaakprofiel6 3 12 8 3" xfId="44036"/>
    <cellStyle name="Table  - Opmaakprofiel6 3 12 8 4" xfId="31385"/>
    <cellStyle name="Table  - Opmaakprofiel6 3 12 8 5" xfId="54938"/>
    <cellStyle name="Table  - Opmaakprofiel6 3 12 9" xfId="17548"/>
    <cellStyle name="Table  - Opmaakprofiel6 3 13" xfId="1262"/>
    <cellStyle name="Table  - Opmaakprofiel6 3 13 2" xfId="1776"/>
    <cellStyle name="Table  - Opmaakprofiel6 3 13 2 2" xfId="11257"/>
    <cellStyle name="Table  - Opmaakprofiel6 3 13 2 2 2" xfId="23555"/>
    <cellStyle name="Table  - Opmaakprofiel6 3 13 2 2 3" xfId="35607"/>
    <cellStyle name="Table  - Opmaakprofiel6 3 13 2 2 4" xfId="30963"/>
    <cellStyle name="Table  - Opmaakprofiel6 3 13 2 2 5" xfId="56222"/>
    <cellStyle name="Table  - Opmaakprofiel6 3 13 2 3" xfId="17556"/>
    <cellStyle name="Table  - Opmaakprofiel6 3 13 2 4" xfId="29608"/>
    <cellStyle name="Table  - Opmaakprofiel6 3 13 2 5" xfId="44409"/>
    <cellStyle name="Table  - Opmaakprofiel6 3 13 2 6" xfId="50495"/>
    <cellStyle name="Table  - Opmaakprofiel6 3 13 3" xfId="3273"/>
    <cellStyle name="Table  - Opmaakprofiel6 3 13 3 2" xfId="11258"/>
    <cellStyle name="Table  - Opmaakprofiel6 3 13 3 2 2" xfId="23556"/>
    <cellStyle name="Table  - Opmaakprofiel6 3 13 3 2 3" xfId="35608"/>
    <cellStyle name="Table  - Opmaakprofiel6 3 13 3 2 4" xfId="41933"/>
    <cellStyle name="Table  - Opmaakprofiel6 3 13 3 2 5" xfId="56223"/>
    <cellStyle name="Table  - Opmaakprofiel6 3 13 3 3" xfId="17557"/>
    <cellStyle name="Table  - Opmaakprofiel6 3 13 3 4" xfId="29609"/>
    <cellStyle name="Table  - Opmaakprofiel6 3 13 3 5" xfId="38188"/>
    <cellStyle name="Table  - Opmaakprofiel6 3 13 3 6" xfId="50496"/>
    <cellStyle name="Table  - Opmaakprofiel6 3 13 4" xfId="4080"/>
    <cellStyle name="Table  - Opmaakprofiel6 3 13 4 2" xfId="11259"/>
    <cellStyle name="Table  - Opmaakprofiel6 3 13 4 2 2" xfId="23557"/>
    <cellStyle name="Table  - Opmaakprofiel6 3 13 4 2 3" xfId="35609"/>
    <cellStyle name="Table  - Opmaakprofiel6 3 13 4 2 4" xfId="31841"/>
    <cellStyle name="Table  - Opmaakprofiel6 3 13 4 2 5" xfId="56224"/>
    <cellStyle name="Table  - Opmaakprofiel6 3 13 4 3" xfId="17558"/>
    <cellStyle name="Table  - Opmaakprofiel6 3 13 4 4" xfId="29610"/>
    <cellStyle name="Table  - Opmaakprofiel6 3 13 4 5" xfId="38187"/>
    <cellStyle name="Table  - Opmaakprofiel6 3 13 4 6" xfId="50497"/>
    <cellStyle name="Table  - Opmaakprofiel6 3 13 5" xfId="6253"/>
    <cellStyle name="Table  - Opmaakprofiel6 3 13 5 2" xfId="11260"/>
    <cellStyle name="Table  - Opmaakprofiel6 3 13 5 2 2" xfId="23558"/>
    <cellStyle name="Table  - Opmaakprofiel6 3 13 5 2 3" xfId="35610"/>
    <cellStyle name="Table  - Opmaakprofiel6 3 13 5 2 4" xfId="41932"/>
    <cellStyle name="Table  - Opmaakprofiel6 3 13 5 2 5" xfId="56225"/>
    <cellStyle name="Table  - Opmaakprofiel6 3 13 5 3" xfId="17559"/>
    <cellStyle name="Table  - Opmaakprofiel6 3 13 5 4" xfId="29611"/>
    <cellStyle name="Table  - Opmaakprofiel6 3 13 5 5" xfId="44408"/>
    <cellStyle name="Table  - Opmaakprofiel6 3 13 5 6" xfId="50498"/>
    <cellStyle name="Table  - Opmaakprofiel6 3 13 6" xfId="6254"/>
    <cellStyle name="Table  - Opmaakprofiel6 3 13 6 2" xfId="11261"/>
    <cellStyle name="Table  - Opmaakprofiel6 3 13 6 2 2" xfId="23559"/>
    <cellStyle name="Table  - Opmaakprofiel6 3 13 6 2 3" xfId="35611"/>
    <cellStyle name="Table  - Opmaakprofiel6 3 13 6 2 4" xfId="30967"/>
    <cellStyle name="Table  - Opmaakprofiel6 3 13 6 2 5" xfId="56226"/>
    <cellStyle name="Table  - Opmaakprofiel6 3 13 6 3" xfId="17560"/>
    <cellStyle name="Table  - Opmaakprofiel6 3 13 6 4" xfId="29612"/>
    <cellStyle name="Table  - Opmaakprofiel6 3 13 6 5" xfId="38186"/>
    <cellStyle name="Table  - Opmaakprofiel6 3 13 6 6" xfId="50499"/>
    <cellStyle name="Table  - Opmaakprofiel6 3 13 7" xfId="6255"/>
    <cellStyle name="Table  - Opmaakprofiel6 3 13 7 2" xfId="17561"/>
    <cellStyle name="Table  - Opmaakprofiel6 3 13 7 3" xfId="29613"/>
    <cellStyle name="Table  - Opmaakprofiel6 3 13 7 4" xfId="38185"/>
    <cellStyle name="Table  - Opmaakprofiel6 3 13 7 5" xfId="50500"/>
    <cellStyle name="Table  - Opmaakprofiel6 3 13 8" xfId="7113"/>
    <cellStyle name="Table  - Opmaakprofiel6 3 13 8 2" xfId="19411"/>
    <cellStyle name="Table  - Opmaakprofiel6 3 13 8 3" xfId="41214"/>
    <cellStyle name="Table  - Opmaakprofiel6 3 13 8 4" xfId="36968"/>
    <cellStyle name="Table  - Opmaakprofiel6 3 13 8 5" xfId="52084"/>
    <cellStyle name="Table  - Opmaakprofiel6 3 13 9" xfId="17555"/>
    <cellStyle name="Table  - Opmaakprofiel6 3 14" xfId="1308"/>
    <cellStyle name="Table  - Opmaakprofiel6 3 14 2" xfId="2102"/>
    <cellStyle name="Table  - Opmaakprofiel6 3 14 2 2" xfId="11262"/>
    <cellStyle name="Table  - Opmaakprofiel6 3 14 2 2 2" xfId="23560"/>
    <cellStyle name="Table  - Opmaakprofiel6 3 14 2 2 3" xfId="35612"/>
    <cellStyle name="Table  - Opmaakprofiel6 3 14 2 2 4" xfId="41931"/>
    <cellStyle name="Table  - Opmaakprofiel6 3 14 2 2 5" xfId="56227"/>
    <cellStyle name="Table  - Opmaakprofiel6 3 14 2 3" xfId="17563"/>
    <cellStyle name="Table  - Opmaakprofiel6 3 14 2 4" xfId="29615"/>
    <cellStyle name="Table  - Opmaakprofiel6 3 14 2 5" xfId="38183"/>
    <cellStyle name="Table  - Opmaakprofiel6 3 14 2 6" xfId="50501"/>
    <cellStyle name="Table  - Opmaakprofiel6 3 14 3" xfId="3319"/>
    <cellStyle name="Table  - Opmaakprofiel6 3 14 3 2" xfId="11263"/>
    <cellStyle name="Table  - Opmaakprofiel6 3 14 3 2 2" xfId="23561"/>
    <cellStyle name="Table  - Opmaakprofiel6 3 14 3 2 3" xfId="35613"/>
    <cellStyle name="Table  - Opmaakprofiel6 3 14 3 2 4" xfId="31727"/>
    <cellStyle name="Table  - Opmaakprofiel6 3 14 3 2 5" xfId="56228"/>
    <cellStyle name="Table  - Opmaakprofiel6 3 14 3 3" xfId="17564"/>
    <cellStyle name="Table  - Opmaakprofiel6 3 14 3 4" xfId="29616"/>
    <cellStyle name="Table  - Opmaakprofiel6 3 14 3 5" xfId="44405"/>
    <cellStyle name="Table  - Opmaakprofiel6 3 14 3 6" xfId="50502"/>
    <cellStyle name="Table  - Opmaakprofiel6 3 14 4" xfId="4100"/>
    <cellStyle name="Table  - Opmaakprofiel6 3 14 4 2" xfId="11264"/>
    <cellStyle name="Table  - Opmaakprofiel6 3 14 4 2 2" xfId="23562"/>
    <cellStyle name="Table  - Opmaakprofiel6 3 14 4 2 3" xfId="35614"/>
    <cellStyle name="Table  - Opmaakprofiel6 3 14 4 2 4" xfId="41930"/>
    <cellStyle name="Table  - Opmaakprofiel6 3 14 4 2 5" xfId="56229"/>
    <cellStyle name="Table  - Opmaakprofiel6 3 14 4 3" xfId="17565"/>
    <cellStyle name="Table  - Opmaakprofiel6 3 14 4 4" xfId="29617"/>
    <cellStyle name="Table  - Opmaakprofiel6 3 14 4 5" xfId="38182"/>
    <cellStyle name="Table  - Opmaakprofiel6 3 14 4 6" xfId="50503"/>
    <cellStyle name="Table  - Opmaakprofiel6 3 14 5" xfId="6256"/>
    <cellStyle name="Table  - Opmaakprofiel6 3 14 5 2" xfId="11265"/>
    <cellStyle name="Table  - Opmaakprofiel6 3 14 5 2 2" xfId="23563"/>
    <cellStyle name="Table  - Opmaakprofiel6 3 14 5 2 3" xfId="35615"/>
    <cellStyle name="Table  - Opmaakprofiel6 3 14 5 2 4" xfId="30974"/>
    <cellStyle name="Table  - Opmaakprofiel6 3 14 5 2 5" xfId="56230"/>
    <cellStyle name="Table  - Opmaakprofiel6 3 14 5 3" xfId="17566"/>
    <cellStyle name="Table  - Opmaakprofiel6 3 14 5 4" xfId="29618"/>
    <cellStyle name="Table  - Opmaakprofiel6 3 14 5 5" xfId="38181"/>
    <cellStyle name="Table  - Opmaakprofiel6 3 14 5 6" xfId="50504"/>
    <cellStyle name="Table  - Opmaakprofiel6 3 14 6" xfId="6257"/>
    <cellStyle name="Table  - Opmaakprofiel6 3 14 6 2" xfId="11266"/>
    <cellStyle name="Table  - Opmaakprofiel6 3 14 6 2 2" xfId="23564"/>
    <cellStyle name="Table  - Opmaakprofiel6 3 14 6 2 3" xfId="35616"/>
    <cellStyle name="Table  - Opmaakprofiel6 3 14 6 2 4" xfId="31660"/>
    <cellStyle name="Table  - Opmaakprofiel6 3 14 6 2 5" xfId="56231"/>
    <cellStyle name="Table  - Opmaakprofiel6 3 14 6 3" xfId="17567"/>
    <cellStyle name="Table  - Opmaakprofiel6 3 14 6 4" xfId="29619"/>
    <cellStyle name="Table  - Opmaakprofiel6 3 14 6 5" xfId="44404"/>
    <cellStyle name="Table  - Opmaakprofiel6 3 14 6 6" xfId="50505"/>
    <cellStyle name="Table  - Opmaakprofiel6 3 14 7" xfId="6258"/>
    <cellStyle name="Table  - Opmaakprofiel6 3 14 7 2" xfId="17568"/>
    <cellStyle name="Table  - Opmaakprofiel6 3 14 7 3" xfId="29620"/>
    <cellStyle name="Table  - Opmaakprofiel6 3 14 7 4" xfId="38180"/>
    <cellStyle name="Table  - Opmaakprofiel6 3 14 7 5" xfId="50506"/>
    <cellStyle name="Table  - Opmaakprofiel6 3 14 8" xfId="7069"/>
    <cellStyle name="Table  - Opmaakprofiel6 3 14 8 2" xfId="19367"/>
    <cellStyle name="Table  - Opmaakprofiel6 3 14 8 3" xfId="41170"/>
    <cellStyle name="Table  - Opmaakprofiel6 3 14 8 4" xfId="36994"/>
    <cellStyle name="Table  - Opmaakprofiel6 3 14 8 5" xfId="52040"/>
    <cellStyle name="Table  - Opmaakprofiel6 3 14 9" xfId="17562"/>
    <cellStyle name="Table  - Opmaakprofiel6 3 15" xfId="1364"/>
    <cellStyle name="Table  - Opmaakprofiel6 3 15 2" xfId="1405"/>
    <cellStyle name="Table  - Opmaakprofiel6 3 15 2 2" xfId="11267"/>
    <cellStyle name="Table  - Opmaakprofiel6 3 15 2 2 2" xfId="23565"/>
    <cellStyle name="Table  - Opmaakprofiel6 3 15 2 2 3" xfId="35617"/>
    <cellStyle name="Table  - Opmaakprofiel6 3 15 2 2 4" xfId="30981"/>
    <cellStyle name="Table  - Opmaakprofiel6 3 15 2 2 5" xfId="56232"/>
    <cellStyle name="Table  - Opmaakprofiel6 3 15 2 3" xfId="17570"/>
    <cellStyle name="Table  - Opmaakprofiel6 3 15 2 4" xfId="29622"/>
    <cellStyle name="Table  - Opmaakprofiel6 3 15 2 5" xfId="44403"/>
    <cellStyle name="Table  - Opmaakprofiel6 3 15 2 6" xfId="50507"/>
    <cellStyle name="Table  - Opmaakprofiel6 3 15 3" xfId="3375"/>
    <cellStyle name="Table  - Opmaakprofiel6 3 15 3 2" xfId="11268"/>
    <cellStyle name="Table  - Opmaakprofiel6 3 15 3 2 2" xfId="23566"/>
    <cellStyle name="Table  - Opmaakprofiel6 3 15 3 2 3" xfId="35618"/>
    <cellStyle name="Table  - Opmaakprofiel6 3 15 3 2 4" xfId="41929"/>
    <cellStyle name="Table  - Opmaakprofiel6 3 15 3 2 5" xfId="56233"/>
    <cellStyle name="Table  - Opmaakprofiel6 3 15 3 3" xfId="17571"/>
    <cellStyle name="Table  - Opmaakprofiel6 3 15 3 4" xfId="29623"/>
    <cellStyle name="Table  - Opmaakprofiel6 3 15 3 5" xfId="38178"/>
    <cellStyle name="Table  - Opmaakprofiel6 3 15 3 6" xfId="50508"/>
    <cellStyle name="Table  - Opmaakprofiel6 3 15 4" xfId="4136"/>
    <cellStyle name="Table  - Opmaakprofiel6 3 15 4 2" xfId="11269"/>
    <cellStyle name="Table  - Opmaakprofiel6 3 15 4 2 2" xfId="23567"/>
    <cellStyle name="Table  - Opmaakprofiel6 3 15 4 2 3" xfId="35619"/>
    <cellStyle name="Table  - Opmaakprofiel6 3 15 4 2 4" xfId="31567"/>
    <cellStyle name="Table  - Opmaakprofiel6 3 15 4 2 5" xfId="56234"/>
    <cellStyle name="Table  - Opmaakprofiel6 3 15 4 3" xfId="17572"/>
    <cellStyle name="Table  - Opmaakprofiel6 3 15 4 4" xfId="29624"/>
    <cellStyle name="Table  - Opmaakprofiel6 3 15 4 5" xfId="38177"/>
    <cellStyle name="Table  - Opmaakprofiel6 3 15 4 6" xfId="50509"/>
    <cellStyle name="Table  - Opmaakprofiel6 3 15 5" xfId="6259"/>
    <cellStyle name="Table  - Opmaakprofiel6 3 15 5 2" xfId="11270"/>
    <cellStyle name="Table  - Opmaakprofiel6 3 15 5 2 2" xfId="23568"/>
    <cellStyle name="Table  - Opmaakprofiel6 3 15 5 2 3" xfId="35620"/>
    <cellStyle name="Table  - Opmaakprofiel6 3 15 5 2 4" xfId="41928"/>
    <cellStyle name="Table  - Opmaakprofiel6 3 15 5 2 5" xfId="56235"/>
    <cellStyle name="Table  - Opmaakprofiel6 3 15 5 3" xfId="17573"/>
    <cellStyle name="Table  - Opmaakprofiel6 3 15 5 4" xfId="29625"/>
    <cellStyle name="Table  - Opmaakprofiel6 3 15 5 5" xfId="38176"/>
    <cellStyle name="Table  - Opmaakprofiel6 3 15 5 6" xfId="50510"/>
    <cellStyle name="Table  - Opmaakprofiel6 3 15 6" xfId="6260"/>
    <cellStyle name="Table  - Opmaakprofiel6 3 15 6 2" xfId="11271"/>
    <cellStyle name="Table  - Opmaakprofiel6 3 15 6 2 2" xfId="23569"/>
    <cellStyle name="Table  - Opmaakprofiel6 3 15 6 2 3" xfId="35621"/>
    <cellStyle name="Table  - Opmaakprofiel6 3 15 6 2 4" xfId="30988"/>
    <cellStyle name="Table  - Opmaakprofiel6 3 15 6 2 5" xfId="56236"/>
    <cellStyle name="Table  - Opmaakprofiel6 3 15 6 3" xfId="17574"/>
    <cellStyle name="Table  - Opmaakprofiel6 3 15 6 4" xfId="29626"/>
    <cellStyle name="Table  - Opmaakprofiel6 3 15 6 5" xfId="44401"/>
    <cellStyle name="Table  - Opmaakprofiel6 3 15 6 6" xfId="50511"/>
    <cellStyle name="Table  - Opmaakprofiel6 3 15 7" xfId="6261"/>
    <cellStyle name="Table  - Opmaakprofiel6 3 15 7 2" xfId="17575"/>
    <cellStyle name="Table  - Opmaakprofiel6 3 15 7 3" xfId="29627"/>
    <cellStyle name="Table  - Opmaakprofiel6 3 15 7 4" xfId="38175"/>
    <cellStyle name="Table  - Opmaakprofiel6 3 15 7 5" xfId="50512"/>
    <cellStyle name="Table  - Opmaakprofiel6 3 15 8" xfId="9825"/>
    <cellStyle name="Table  - Opmaakprofiel6 3 15 8 2" xfId="22123"/>
    <cellStyle name="Table  - Opmaakprofiel6 3 15 8 3" xfId="43891"/>
    <cellStyle name="Table  - Opmaakprofiel6 3 15 8 4" xfId="28268"/>
    <cellStyle name="Table  - Opmaakprofiel6 3 15 8 5" xfId="54790"/>
    <cellStyle name="Table  - Opmaakprofiel6 3 15 9" xfId="17569"/>
    <cellStyle name="Table  - Opmaakprofiel6 3 16" xfId="2332"/>
    <cellStyle name="Table  - Opmaakprofiel6 3 16 2" xfId="11272"/>
    <cellStyle name="Table  - Opmaakprofiel6 3 16 2 2" xfId="23570"/>
    <cellStyle name="Table  - Opmaakprofiel6 3 16 2 3" xfId="35622"/>
    <cellStyle name="Table  - Opmaakprofiel6 3 16 2 4" xfId="34229"/>
    <cellStyle name="Table  - Opmaakprofiel6 3 16 2 5" xfId="56237"/>
    <cellStyle name="Table  - Opmaakprofiel6 3 16 3" xfId="17576"/>
    <cellStyle name="Table  - Opmaakprofiel6 3 16 4" xfId="29628"/>
    <cellStyle name="Table  - Opmaakprofiel6 3 16 5" xfId="38174"/>
    <cellStyle name="Table  - Opmaakprofiel6 3 16 6" xfId="50513"/>
    <cellStyle name="Table  - Opmaakprofiel6 3 17" xfId="2083"/>
    <cellStyle name="Table  - Opmaakprofiel6 3 17 2" xfId="11273"/>
    <cellStyle name="Table  - Opmaakprofiel6 3 17 2 2" xfId="23571"/>
    <cellStyle name="Table  - Opmaakprofiel6 3 17 2 3" xfId="35623"/>
    <cellStyle name="Table  - Opmaakprofiel6 3 17 2 4" xfId="41927"/>
    <cellStyle name="Table  - Opmaakprofiel6 3 17 2 5" xfId="56238"/>
    <cellStyle name="Table  - Opmaakprofiel6 3 17 3" xfId="17577"/>
    <cellStyle name="Table  - Opmaakprofiel6 3 17 4" xfId="29629"/>
    <cellStyle name="Table  - Opmaakprofiel6 3 17 5" xfId="38173"/>
    <cellStyle name="Table  - Opmaakprofiel6 3 17 6" xfId="50514"/>
    <cellStyle name="Table  - Opmaakprofiel6 3 18" xfId="1685"/>
    <cellStyle name="Table  - Opmaakprofiel6 3 18 2" xfId="11274"/>
    <cellStyle name="Table  - Opmaakprofiel6 3 18 2 2" xfId="23572"/>
    <cellStyle name="Table  - Opmaakprofiel6 3 18 2 3" xfId="35624"/>
    <cellStyle name="Table  - Opmaakprofiel6 3 18 2 4" xfId="30995"/>
    <cellStyle name="Table  - Opmaakprofiel6 3 18 2 5" xfId="56239"/>
    <cellStyle name="Table  - Opmaakprofiel6 3 18 3" xfId="17578"/>
    <cellStyle name="Table  - Opmaakprofiel6 3 18 4" xfId="29630"/>
    <cellStyle name="Table  - Opmaakprofiel6 3 18 5" xfId="38172"/>
    <cellStyle name="Table  - Opmaakprofiel6 3 18 6" xfId="50515"/>
    <cellStyle name="Table  - Opmaakprofiel6 3 19" xfId="6262"/>
    <cellStyle name="Table  - Opmaakprofiel6 3 19 2" xfId="11275"/>
    <cellStyle name="Table  - Opmaakprofiel6 3 19 2 2" xfId="23573"/>
    <cellStyle name="Table  - Opmaakprofiel6 3 19 2 3" xfId="35625"/>
    <cellStyle name="Table  - Opmaakprofiel6 3 19 2 4" xfId="41926"/>
    <cellStyle name="Table  - Opmaakprofiel6 3 19 2 5" xfId="56240"/>
    <cellStyle name="Table  - Opmaakprofiel6 3 19 3" xfId="17579"/>
    <cellStyle name="Table  - Opmaakprofiel6 3 19 4" xfId="29631"/>
    <cellStyle name="Table  - Opmaakprofiel6 3 19 5" xfId="38171"/>
    <cellStyle name="Table  - Opmaakprofiel6 3 19 6" xfId="50516"/>
    <cellStyle name="Table  - Opmaakprofiel6 3 2" xfId="338"/>
    <cellStyle name="Table  - Opmaakprofiel6 3 2 10" xfId="2456"/>
    <cellStyle name="Table  - Opmaakprofiel6 3 2 10 2" xfId="11276"/>
    <cellStyle name="Table  - Opmaakprofiel6 3 2 10 2 2" xfId="23574"/>
    <cellStyle name="Table  - Opmaakprofiel6 3 2 10 2 3" xfId="35626"/>
    <cellStyle name="Table  - Opmaakprofiel6 3 2 10 2 4" xfId="31657"/>
    <cellStyle name="Table  - Opmaakprofiel6 3 2 10 2 5" xfId="56241"/>
    <cellStyle name="Table  - Opmaakprofiel6 3 2 10 3" xfId="17581"/>
    <cellStyle name="Table  - Opmaakprofiel6 3 2 10 4" xfId="29633"/>
    <cellStyle name="Table  - Opmaakprofiel6 3 2 10 5" xfId="38170"/>
    <cellStyle name="Table  - Opmaakprofiel6 3 2 10 6" xfId="50517"/>
    <cellStyle name="Table  - Opmaakprofiel6 3 2 11" xfId="2458"/>
    <cellStyle name="Table  - Opmaakprofiel6 3 2 11 2" xfId="11277"/>
    <cellStyle name="Table  - Opmaakprofiel6 3 2 11 2 2" xfId="23575"/>
    <cellStyle name="Table  - Opmaakprofiel6 3 2 11 2 3" xfId="35627"/>
    <cellStyle name="Table  - Opmaakprofiel6 3 2 11 2 4" xfId="41925"/>
    <cellStyle name="Table  - Opmaakprofiel6 3 2 11 2 5" xfId="56242"/>
    <cellStyle name="Table  - Opmaakprofiel6 3 2 11 3" xfId="17582"/>
    <cellStyle name="Table  - Opmaakprofiel6 3 2 11 4" xfId="29634"/>
    <cellStyle name="Table  - Opmaakprofiel6 3 2 11 5" xfId="38169"/>
    <cellStyle name="Table  - Opmaakprofiel6 3 2 11 6" xfId="50518"/>
    <cellStyle name="Table  - Opmaakprofiel6 3 2 12" xfId="1597"/>
    <cellStyle name="Table  - Opmaakprofiel6 3 2 12 2" xfId="11278"/>
    <cellStyle name="Table  - Opmaakprofiel6 3 2 12 2 2" xfId="23576"/>
    <cellStyle name="Table  - Opmaakprofiel6 3 2 12 2 3" xfId="35628"/>
    <cellStyle name="Table  - Opmaakprofiel6 3 2 12 2 4" xfId="31005"/>
    <cellStyle name="Table  - Opmaakprofiel6 3 2 12 2 5" xfId="56243"/>
    <cellStyle name="Table  - Opmaakprofiel6 3 2 12 3" xfId="17583"/>
    <cellStyle name="Table  - Opmaakprofiel6 3 2 12 4" xfId="29635"/>
    <cellStyle name="Table  - Opmaakprofiel6 3 2 12 5" xfId="44396"/>
    <cellStyle name="Table  - Opmaakprofiel6 3 2 12 6" xfId="50519"/>
    <cellStyle name="Table  - Opmaakprofiel6 3 2 13" xfId="6263"/>
    <cellStyle name="Table  - Opmaakprofiel6 3 2 13 2" xfId="11279"/>
    <cellStyle name="Table  - Opmaakprofiel6 3 2 13 2 2" xfId="23577"/>
    <cellStyle name="Table  - Opmaakprofiel6 3 2 13 2 3" xfId="35629"/>
    <cellStyle name="Table  - Opmaakprofiel6 3 2 13 2 4" xfId="31830"/>
    <cellStyle name="Table  - Opmaakprofiel6 3 2 13 2 5" xfId="56244"/>
    <cellStyle name="Table  - Opmaakprofiel6 3 2 13 3" xfId="17584"/>
    <cellStyle name="Table  - Opmaakprofiel6 3 2 13 4" xfId="29636"/>
    <cellStyle name="Table  - Opmaakprofiel6 3 2 13 5" xfId="38168"/>
    <cellStyle name="Table  - Opmaakprofiel6 3 2 13 6" xfId="50520"/>
    <cellStyle name="Table  - Opmaakprofiel6 3 2 14" xfId="6264"/>
    <cellStyle name="Table  - Opmaakprofiel6 3 2 14 2" xfId="11280"/>
    <cellStyle name="Table  - Opmaakprofiel6 3 2 14 2 2" xfId="23578"/>
    <cellStyle name="Table  - Opmaakprofiel6 3 2 14 2 3" xfId="35630"/>
    <cellStyle name="Table  - Opmaakprofiel6 3 2 14 2 4" xfId="41924"/>
    <cellStyle name="Table  - Opmaakprofiel6 3 2 14 2 5" xfId="56245"/>
    <cellStyle name="Table  - Opmaakprofiel6 3 2 14 3" xfId="17585"/>
    <cellStyle name="Table  - Opmaakprofiel6 3 2 14 4" xfId="29637"/>
    <cellStyle name="Table  - Opmaakprofiel6 3 2 14 5" xfId="38167"/>
    <cellStyle name="Table  - Opmaakprofiel6 3 2 14 6" xfId="50521"/>
    <cellStyle name="Table  - Opmaakprofiel6 3 2 15" xfId="6265"/>
    <cellStyle name="Table  - Opmaakprofiel6 3 2 15 2" xfId="17586"/>
    <cellStyle name="Table  - Opmaakprofiel6 3 2 15 3" xfId="29638"/>
    <cellStyle name="Table  - Opmaakprofiel6 3 2 15 4" xfId="38166"/>
    <cellStyle name="Table  - Opmaakprofiel6 3 2 15 5" xfId="50522"/>
    <cellStyle name="Table  - Opmaakprofiel6 3 2 16" xfId="7760"/>
    <cellStyle name="Table  - Opmaakprofiel6 3 2 16 2" xfId="20058"/>
    <cellStyle name="Table  - Opmaakprofiel6 3 2 16 3" xfId="41861"/>
    <cellStyle name="Table  - Opmaakprofiel6 3 2 16 4" xfId="43375"/>
    <cellStyle name="Table  - Opmaakprofiel6 3 2 16 5" xfId="52730"/>
    <cellStyle name="Table  - Opmaakprofiel6 3 2 17" xfId="17580"/>
    <cellStyle name="Table  - Opmaakprofiel6 3 2 2" xfId="616"/>
    <cellStyle name="Table  - Opmaakprofiel6 3 2 2 2" xfId="2291"/>
    <cellStyle name="Table  - Opmaakprofiel6 3 2 2 2 2" xfId="11281"/>
    <cellStyle name="Table  - Opmaakprofiel6 3 2 2 2 2 2" xfId="23579"/>
    <cellStyle name="Table  - Opmaakprofiel6 3 2 2 2 2 3" xfId="35631"/>
    <cellStyle name="Table  - Opmaakprofiel6 3 2 2 2 2 4" xfId="31009"/>
    <cellStyle name="Table  - Opmaakprofiel6 3 2 2 2 2 5" xfId="56246"/>
    <cellStyle name="Table  - Opmaakprofiel6 3 2 2 2 3" xfId="17588"/>
    <cellStyle name="Table  - Opmaakprofiel6 3 2 2 2 4" xfId="29640"/>
    <cellStyle name="Table  - Opmaakprofiel6 3 2 2 2 5" xfId="38165"/>
    <cellStyle name="Table  - Opmaakprofiel6 3 2 2 2 6" xfId="50523"/>
    <cellStyle name="Table  - Opmaakprofiel6 3 2 2 3" xfId="2687"/>
    <cellStyle name="Table  - Opmaakprofiel6 3 2 2 3 2" xfId="11282"/>
    <cellStyle name="Table  - Opmaakprofiel6 3 2 2 3 2 2" xfId="23580"/>
    <cellStyle name="Table  - Opmaakprofiel6 3 2 2 3 2 3" xfId="35632"/>
    <cellStyle name="Table  - Opmaakprofiel6 3 2 2 3 2 4" xfId="41923"/>
    <cellStyle name="Table  - Opmaakprofiel6 3 2 2 3 2 5" xfId="56247"/>
    <cellStyle name="Table  - Opmaakprofiel6 3 2 2 3 3" xfId="17589"/>
    <cellStyle name="Table  - Opmaakprofiel6 3 2 2 3 4" xfId="29641"/>
    <cellStyle name="Table  - Opmaakprofiel6 3 2 2 3 5" xfId="38164"/>
    <cellStyle name="Table  - Opmaakprofiel6 3 2 2 3 6" xfId="50524"/>
    <cellStyle name="Table  - Opmaakprofiel6 3 2 2 4" xfId="3559"/>
    <cellStyle name="Table  - Opmaakprofiel6 3 2 2 4 2" xfId="11283"/>
    <cellStyle name="Table  - Opmaakprofiel6 3 2 2 4 2 2" xfId="23581"/>
    <cellStyle name="Table  - Opmaakprofiel6 3 2 2 4 2 3" xfId="35633"/>
    <cellStyle name="Table  - Opmaakprofiel6 3 2 2 4 2 4" xfId="31716"/>
    <cellStyle name="Table  - Opmaakprofiel6 3 2 2 4 2 5" xfId="56248"/>
    <cellStyle name="Table  - Opmaakprofiel6 3 2 2 4 3" xfId="17590"/>
    <cellStyle name="Table  - Opmaakprofiel6 3 2 2 4 4" xfId="29642"/>
    <cellStyle name="Table  - Opmaakprofiel6 3 2 2 4 5" xfId="44393"/>
    <cellStyle name="Table  - Opmaakprofiel6 3 2 2 4 6" xfId="50525"/>
    <cellStyle name="Table  - Opmaakprofiel6 3 2 2 5" xfId="6266"/>
    <cellStyle name="Table  - Opmaakprofiel6 3 2 2 5 2" xfId="11284"/>
    <cellStyle name="Table  - Opmaakprofiel6 3 2 2 5 2 2" xfId="23582"/>
    <cellStyle name="Table  - Opmaakprofiel6 3 2 2 5 2 3" xfId="35634"/>
    <cellStyle name="Table  - Opmaakprofiel6 3 2 2 5 2 4" xfId="41922"/>
    <cellStyle name="Table  - Opmaakprofiel6 3 2 2 5 2 5" xfId="56249"/>
    <cellStyle name="Table  - Opmaakprofiel6 3 2 2 5 3" xfId="17591"/>
    <cellStyle name="Table  - Opmaakprofiel6 3 2 2 5 4" xfId="29643"/>
    <cellStyle name="Table  - Opmaakprofiel6 3 2 2 5 5" xfId="38163"/>
    <cellStyle name="Table  - Opmaakprofiel6 3 2 2 5 6" xfId="50526"/>
    <cellStyle name="Table  - Opmaakprofiel6 3 2 2 6" xfId="6267"/>
    <cellStyle name="Table  - Opmaakprofiel6 3 2 2 6 2" xfId="11285"/>
    <cellStyle name="Table  - Opmaakprofiel6 3 2 2 6 2 2" xfId="23583"/>
    <cellStyle name="Table  - Opmaakprofiel6 3 2 2 6 2 3" xfId="35635"/>
    <cellStyle name="Table  - Opmaakprofiel6 3 2 2 6 2 4" xfId="31016"/>
    <cellStyle name="Table  - Opmaakprofiel6 3 2 2 6 2 5" xfId="56250"/>
    <cellStyle name="Table  - Opmaakprofiel6 3 2 2 6 3" xfId="17592"/>
    <cellStyle name="Table  - Opmaakprofiel6 3 2 2 6 4" xfId="29644"/>
    <cellStyle name="Table  - Opmaakprofiel6 3 2 2 6 5" xfId="38162"/>
    <cellStyle name="Table  - Opmaakprofiel6 3 2 2 6 6" xfId="50527"/>
    <cellStyle name="Table  - Opmaakprofiel6 3 2 2 7" xfId="6268"/>
    <cellStyle name="Table  - Opmaakprofiel6 3 2 2 7 2" xfId="17593"/>
    <cellStyle name="Table  - Opmaakprofiel6 3 2 2 7 3" xfId="29645"/>
    <cellStyle name="Table  - Opmaakprofiel6 3 2 2 7 4" xfId="38161"/>
    <cellStyle name="Table  - Opmaakprofiel6 3 2 2 7 5" xfId="50528"/>
    <cellStyle name="Table  - Opmaakprofiel6 3 2 2 8" xfId="7571"/>
    <cellStyle name="Table  - Opmaakprofiel6 3 2 2 8 2" xfId="19869"/>
    <cellStyle name="Table  - Opmaakprofiel6 3 2 2 8 3" xfId="41672"/>
    <cellStyle name="Table  - Opmaakprofiel6 3 2 2 8 4" xfId="31514"/>
    <cellStyle name="Table  - Opmaakprofiel6 3 2 2 8 5" xfId="52541"/>
    <cellStyle name="Table  - Opmaakprofiel6 3 2 2 9" xfId="17587"/>
    <cellStyle name="Table  - Opmaakprofiel6 3 2 3" xfId="447"/>
    <cellStyle name="Table  - Opmaakprofiel6 3 2 3 2" xfId="2455"/>
    <cellStyle name="Table  - Opmaakprofiel6 3 2 3 2 2" xfId="11286"/>
    <cellStyle name="Table  - Opmaakprofiel6 3 2 3 2 2 2" xfId="23584"/>
    <cellStyle name="Table  - Opmaakprofiel6 3 2 3 2 2 3" xfId="35636"/>
    <cellStyle name="Table  - Opmaakprofiel6 3 2 3 2 2 4" xfId="41921"/>
    <cellStyle name="Table  - Opmaakprofiel6 3 2 3 2 2 5" xfId="56251"/>
    <cellStyle name="Table  - Opmaakprofiel6 3 2 3 2 3" xfId="17595"/>
    <cellStyle name="Table  - Opmaakprofiel6 3 2 3 2 4" xfId="29647"/>
    <cellStyle name="Table  - Opmaakprofiel6 3 2 3 2 5" xfId="38160"/>
    <cellStyle name="Table  - Opmaakprofiel6 3 2 3 2 6" xfId="50529"/>
    <cellStyle name="Table  - Opmaakprofiel6 3 2 3 3" xfId="2518"/>
    <cellStyle name="Table  - Opmaakprofiel6 3 2 3 3 2" xfId="11287"/>
    <cellStyle name="Table  - Opmaakprofiel6 3 2 3 3 2 2" xfId="23585"/>
    <cellStyle name="Table  - Opmaakprofiel6 3 2 3 3 2 3" xfId="35637"/>
    <cellStyle name="Table  - Opmaakprofiel6 3 2 3 3 2 4" xfId="31648"/>
    <cellStyle name="Table  - Opmaakprofiel6 3 2 3 3 2 5" xfId="56252"/>
    <cellStyle name="Table  - Opmaakprofiel6 3 2 3 3 3" xfId="17596"/>
    <cellStyle name="Table  - Opmaakprofiel6 3 2 3 3 4" xfId="29648"/>
    <cellStyle name="Table  - Opmaakprofiel6 3 2 3 3 5" xfId="38159"/>
    <cellStyle name="Table  - Opmaakprofiel6 3 2 3 3 6" xfId="50530"/>
    <cellStyle name="Table  - Opmaakprofiel6 3 2 3 4" xfId="3406"/>
    <cellStyle name="Table  - Opmaakprofiel6 3 2 3 4 2" xfId="11288"/>
    <cellStyle name="Table  - Opmaakprofiel6 3 2 3 4 2 2" xfId="23586"/>
    <cellStyle name="Table  - Opmaakprofiel6 3 2 3 4 2 3" xfId="35638"/>
    <cellStyle name="Table  - Opmaakprofiel6 3 2 3 4 2 4" xfId="41920"/>
    <cellStyle name="Table  - Opmaakprofiel6 3 2 3 4 2 5" xfId="56253"/>
    <cellStyle name="Table  - Opmaakprofiel6 3 2 3 4 3" xfId="17597"/>
    <cellStyle name="Table  - Opmaakprofiel6 3 2 3 4 4" xfId="29649"/>
    <cellStyle name="Table  - Opmaakprofiel6 3 2 3 4 5" xfId="38158"/>
    <cellStyle name="Table  - Opmaakprofiel6 3 2 3 4 6" xfId="50531"/>
    <cellStyle name="Table  - Opmaakprofiel6 3 2 3 5" xfId="6269"/>
    <cellStyle name="Table  - Opmaakprofiel6 3 2 3 5 2" xfId="11289"/>
    <cellStyle name="Table  - Opmaakprofiel6 3 2 3 5 2 2" xfId="23587"/>
    <cellStyle name="Table  - Opmaakprofiel6 3 2 3 5 2 3" xfId="35639"/>
    <cellStyle name="Table  - Opmaakprofiel6 3 2 3 5 2 4" xfId="31023"/>
    <cellStyle name="Table  - Opmaakprofiel6 3 2 3 5 2 5" xfId="56254"/>
    <cellStyle name="Table  - Opmaakprofiel6 3 2 3 5 3" xfId="17598"/>
    <cellStyle name="Table  - Opmaakprofiel6 3 2 3 5 4" xfId="29650"/>
    <cellStyle name="Table  - Opmaakprofiel6 3 2 3 5 5" xfId="38157"/>
    <cellStyle name="Table  - Opmaakprofiel6 3 2 3 5 6" xfId="50532"/>
    <cellStyle name="Table  - Opmaakprofiel6 3 2 3 6" xfId="6270"/>
    <cellStyle name="Table  - Opmaakprofiel6 3 2 3 6 2" xfId="11290"/>
    <cellStyle name="Table  - Opmaakprofiel6 3 2 3 6 2 2" xfId="23588"/>
    <cellStyle name="Table  - Opmaakprofiel6 3 2 3 6 2 3" xfId="35640"/>
    <cellStyle name="Table  - Opmaakprofiel6 3 2 3 6 2 4" xfId="32006"/>
    <cellStyle name="Table  - Opmaakprofiel6 3 2 3 6 2 5" xfId="56255"/>
    <cellStyle name="Table  - Opmaakprofiel6 3 2 3 6 3" xfId="17599"/>
    <cellStyle name="Table  - Opmaakprofiel6 3 2 3 6 4" xfId="29651"/>
    <cellStyle name="Table  - Opmaakprofiel6 3 2 3 6 5" xfId="44389"/>
    <cellStyle name="Table  - Opmaakprofiel6 3 2 3 6 6" xfId="50533"/>
    <cellStyle name="Table  - Opmaakprofiel6 3 2 3 7" xfId="6271"/>
    <cellStyle name="Table  - Opmaakprofiel6 3 2 3 7 2" xfId="17600"/>
    <cellStyle name="Table  - Opmaakprofiel6 3 2 3 7 3" xfId="29652"/>
    <cellStyle name="Table  - Opmaakprofiel6 3 2 3 7 4" xfId="38156"/>
    <cellStyle name="Table  - Opmaakprofiel6 3 2 3 7 5" xfId="50534"/>
    <cellStyle name="Table  - Opmaakprofiel6 3 2 3 8" xfId="7685"/>
    <cellStyle name="Table  - Opmaakprofiel6 3 2 3 8 2" xfId="19983"/>
    <cellStyle name="Table  - Opmaakprofiel6 3 2 3 8 3" xfId="41786"/>
    <cellStyle name="Table  - Opmaakprofiel6 3 2 3 8 4" xfId="34719"/>
    <cellStyle name="Table  - Opmaakprofiel6 3 2 3 8 5" xfId="52655"/>
    <cellStyle name="Table  - Opmaakprofiel6 3 2 3 9" xfId="17594"/>
    <cellStyle name="Table  - Opmaakprofiel6 3 2 4" xfId="484"/>
    <cellStyle name="Table  - Opmaakprofiel6 3 2 4 2" xfId="1950"/>
    <cellStyle name="Table  - Opmaakprofiel6 3 2 4 2 2" xfId="11291"/>
    <cellStyle name="Table  - Opmaakprofiel6 3 2 4 2 2 2" xfId="23589"/>
    <cellStyle name="Table  - Opmaakprofiel6 3 2 4 2 2 3" xfId="35641"/>
    <cellStyle name="Table  - Opmaakprofiel6 3 2 4 2 2 4" xfId="31030"/>
    <cellStyle name="Table  - Opmaakprofiel6 3 2 4 2 2 5" xfId="56256"/>
    <cellStyle name="Table  - Opmaakprofiel6 3 2 4 2 3" xfId="17602"/>
    <cellStyle name="Table  - Opmaakprofiel6 3 2 4 2 4" xfId="29654"/>
    <cellStyle name="Table  - Opmaakprofiel6 3 2 4 2 5" xfId="44388"/>
    <cellStyle name="Table  - Opmaakprofiel6 3 2 4 2 6" xfId="50535"/>
    <cellStyle name="Table  - Opmaakprofiel6 3 2 4 3" xfId="2555"/>
    <cellStyle name="Table  - Opmaakprofiel6 3 2 4 3 2" xfId="11292"/>
    <cellStyle name="Table  - Opmaakprofiel6 3 2 4 3 2 2" xfId="23590"/>
    <cellStyle name="Table  - Opmaakprofiel6 3 2 4 3 2 3" xfId="35642"/>
    <cellStyle name="Table  - Opmaakprofiel6 3 2 4 3 2 4" xfId="41919"/>
    <cellStyle name="Table  - Opmaakprofiel6 3 2 4 3 2 5" xfId="56257"/>
    <cellStyle name="Table  - Opmaakprofiel6 3 2 4 3 3" xfId="17603"/>
    <cellStyle name="Table  - Opmaakprofiel6 3 2 4 3 4" xfId="29655"/>
    <cellStyle name="Table  - Opmaakprofiel6 3 2 4 3 5" xfId="38154"/>
    <cellStyle name="Table  - Opmaakprofiel6 3 2 4 3 6" xfId="50536"/>
    <cellStyle name="Table  - Opmaakprofiel6 3 2 4 4" xfId="3440"/>
    <cellStyle name="Table  - Opmaakprofiel6 3 2 4 4 2" xfId="11293"/>
    <cellStyle name="Table  - Opmaakprofiel6 3 2 4 4 2 2" xfId="23591"/>
    <cellStyle name="Table  - Opmaakprofiel6 3 2 4 4 2 3" xfId="35643"/>
    <cellStyle name="Table  - Opmaakprofiel6 3 2 4 4 2 4" xfId="31533"/>
    <cellStyle name="Table  - Opmaakprofiel6 3 2 4 4 2 5" xfId="56258"/>
    <cellStyle name="Table  - Opmaakprofiel6 3 2 4 4 3" xfId="17604"/>
    <cellStyle name="Table  - Opmaakprofiel6 3 2 4 4 4" xfId="29656"/>
    <cellStyle name="Table  - Opmaakprofiel6 3 2 4 4 5" xfId="38153"/>
    <cellStyle name="Table  - Opmaakprofiel6 3 2 4 4 6" xfId="50537"/>
    <cellStyle name="Table  - Opmaakprofiel6 3 2 4 5" xfId="6272"/>
    <cellStyle name="Table  - Opmaakprofiel6 3 2 4 5 2" xfId="11294"/>
    <cellStyle name="Table  - Opmaakprofiel6 3 2 4 5 2 2" xfId="23592"/>
    <cellStyle name="Table  - Opmaakprofiel6 3 2 4 5 2 3" xfId="35644"/>
    <cellStyle name="Table  - Opmaakprofiel6 3 2 4 5 2 4" xfId="41918"/>
    <cellStyle name="Table  - Opmaakprofiel6 3 2 4 5 2 5" xfId="56259"/>
    <cellStyle name="Table  - Opmaakprofiel6 3 2 4 5 3" xfId="17605"/>
    <cellStyle name="Table  - Opmaakprofiel6 3 2 4 5 4" xfId="29657"/>
    <cellStyle name="Table  - Opmaakprofiel6 3 2 4 5 5" xfId="38152"/>
    <cellStyle name="Table  - Opmaakprofiel6 3 2 4 5 6" xfId="50538"/>
    <cellStyle name="Table  - Opmaakprofiel6 3 2 4 6" xfId="6273"/>
    <cellStyle name="Table  - Opmaakprofiel6 3 2 4 6 2" xfId="11295"/>
    <cellStyle name="Table  - Opmaakprofiel6 3 2 4 6 2 2" xfId="23593"/>
    <cellStyle name="Table  - Opmaakprofiel6 3 2 4 6 2 3" xfId="35645"/>
    <cellStyle name="Table  - Opmaakprofiel6 3 2 4 6 2 4" xfId="31037"/>
    <cellStyle name="Table  - Opmaakprofiel6 3 2 4 6 2 5" xfId="56260"/>
    <cellStyle name="Table  - Opmaakprofiel6 3 2 4 6 3" xfId="17606"/>
    <cellStyle name="Table  - Opmaakprofiel6 3 2 4 6 4" xfId="29658"/>
    <cellStyle name="Table  - Opmaakprofiel6 3 2 4 6 5" xfId="44386"/>
    <cellStyle name="Table  - Opmaakprofiel6 3 2 4 6 6" xfId="50539"/>
    <cellStyle name="Table  - Opmaakprofiel6 3 2 4 7" xfId="6274"/>
    <cellStyle name="Table  - Opmaakprofiel6 3 2 4 7 2" xfId="17607"/>
    <cellStyle name="Table  - Opmaakprofiel6 3 2 4 7 3" xfId="29659"/>
    <cellStyle name="Table  - Opmaakprofiel6 3 2 4 7 4" xfId="38151"/>
    <cellStyle name="Table  - Opmaakprofiel6 3 2 4 7 5" xfId="50540"/>
    <cellStyle name="Table  - Opmaakprofiel6 3 2 4 8" xfId="10348"/>
    <cellStyle name="Table  - Opmaakprofiel6 3 2 4 8 2" xfId="22646"/>
    <cellStyle name="Table  - Opmaakprofiel6 3 2 4 8 3" xfId="44406"/>
    <cellStyle name="Table  - Opmaakprofiel6 3 2 4 8 4" xfId="42312"/>
    <cellStyle name="Table  - Opmaakprofiel6 3 2 4 8 5" xfId="55313"/>
    <cellStyle name="Table  - Opmaakprofiel6 3 2 4 9" xfId="17601"/>
    <cellStyle name="Table  - Opmaakprofiel6 3 2 5" xfId="974"/>
    <cellStyle name="Table  - Opmaakprofiel6 3 2 5 2" xfId="2095"/>
    <cellStyle name="Table  - Opmaakprofiel6 3 2 5 2 2" xfId="11296"/>
    <cellStyle name="Table  - Opmaakprofiel6 3 2 5 2 2 2" xfId="23594"/>
    <cellStyle name="Table  - Opmaakprofiel6 3 2 5 2 2 3" xfId="35646"/>
    <cellStyle name="Table  - Opmaakprofiel6 3 2 5 2 2 4" xfId="41917"/>
    <cellStyle name="Table  - Opmaakprofiel6 3 2 5 2 2 5" xfId="56261"/>
    <cellStyle name="Table  - Opmaakprofiel6 3 2 5 2 3" xfId="17609"/>
    <cellStyle name="Table  - Opmaakprofiel6 3 2 5 2 4" xfId="29661"/>
    <cellStyle name="Table  - Opmaakprofiel6 3 2 5 2 5" xfId="38149"/>
    <cellStyle name="Table  - Opmaakprofiel6 3 2 5 2 6" xfId="50541"/>
    <cellStyle name="Table  - Opmaakprofiel6 3 2 5 3" xfId="2985"/>
    <cellStyle name="Table  - Opmaakprofiel6 3 2 5 3 2" xfId="11297"/>
    <cellStyle name="Table  - Opmaakprofiel6 3 2 5 3 2 2" xfId="23595"/>
    <cellStyle name="Table  - Opmaakprofiel6 3 2 5 3 2 3" xfId="35647"/>
    <cellStyle name="Table  - Opmaakprofiel6 3 2 5 3 2 4" xfId="31443"/>
    <cellStyle name="Table  - Opmaakprofiel6 3 2 5 3 2 5" xfId="56262"/>
    <cellStyle name="Table  - Opmaakprofiel6 3 2 5 3 3" xfId="17610"/>
    <cellStyle name="Table  - Opmaakprofiel6 3 2 5 3 4" xfId="29662"/>
    <cellStyle name="Table  - Opmaakprofiel6 3 2 5 3 5" xfId="38148"/>
    <cellStyle name="Table  - Opmaakprofiel6 3 2 5 3 6" xfId="50542"/>
    <cellStyle name="Table  - Opmaakprofiel6 3 2 5 4" xfId="3831"/>
    <cellStyle name="Table  - Opmaakprofiel6 3 2 5 4 2" xfId="11298"/>
    <cellStyle name="Table  - Opmaakprofiel6 3 2 5 4 2 2" xfId="23596"/>
    <cellStyle name="Table  - Opmaakprofiel6 3 2 5 4 2 3" xfId="35648"/>
    <cellStyle name="Table  - Opmaakprofiel6 3 2 5 4 2 4" xfId="41916"/>
    <cellStyle name="Table  - Opmaakprofiel6 3 2 5 4 2 5" xfId="56263"/>
    <cellStyle name="Table  - Opmaakprofiel6 3 2 5 4 3" xfId="17611"/>
    <cellStyle name="Table  - Opmaakprofiel6 3 2 5 4 4" xfId="29663"/>
    <cellStyle name="Table  - Opmaakprofiel6 3 2 5 4 5" xfId="44383"/>
    <cellStyle name="Table  - Opmaakprofiel6 3 2 5 4 6" xfId="50543"/>
    <cellStyle name="Table  - Opmaakprofiel6 3 2 5 5" xfId="6275"/>
    <cellStyle name="Table  - Opmaakprofiel6 3 2 5 5 2" xfId="11299"/>
    <cellStyle name="Table  - Opmaakprofiel6 3 2 5 5 2 2" xfId="23597"/>
    <cellStyle name="Table  - Opmaakprofiel6 3 2 5 5 2 3" xfId="35649"/>
    <cellStyle name="Table  - Opmaakprofiel6 3 2 5 5 2 4" xfId="31047"/>
    <cellStyle name="Table  - Opmaakprofiel6 3 2 5 5 2 5" xfId="56264"/>
    <cellStyle name="Table  - Opmaakprofiel6 3 2 5 5 3" xfId="17612"/>
    <cellStyle name="Table  - Opmaakprofiel6 3 2 5 5 4" xfId="29664"/>
    <cellStyle name="Table  - Opmaakprofiel6 3 2 5 5 5" xfId="38147"/>
    <cellStyle name="Table  - Opmaakprofiel6 3 2 5 5 6" xfId="50544"/>
    <cellStyle name="Table  - Opmaakprofiel6 3 2 5 6" xfId="6276"/>
    <cellStyle name="Table  - Opmaakprofiel6 3 2 5 6 2" xfId="11300"/>
    <cellStyle name="Table  - Opmaakprofiel6 3 2 5 6 2 2" xfId="23598"/>
    <cellStyle name="Table  - Opmaakprofiel6 3 2 5 6 2 3" xfId="35650"/>
    <cellStyle name="Table  - Opmaakprofiel6 3 2 5 6 2 4" xfId="41915"/>
    <cellStyle name="Table  - Opmaakprofiel6 3 2 5 6 2 5" xfId="56265"/>
    <cellStyle name="Table  - Opmaakprofiel6 3 2 5 6 3" xfId="17613"/>
    <cellStyle name="Table  - Opmaakprofiel6 3 2 5 6 4" xfId="29665"/>
    <cellStyle name="Table  - Opmaakprofiel6 3 2 5 6 5" xfId="38146"/>
    <cellStyle name="Table  - Opmaakprofiel6 3 2 5 6 6" xfId="50545"/>
    <cellStyle name="Table  - Opmaakprofiel6 3 2 5 7" xfId="6277"/>
    <cellStyle name="Table  - Opmaakprofiel6 3 2 5 7 2" xfId="17614"/>
    <cellStyle name="Table  - Opmaakprofiel6 3 2 5 7 3" xfId="29666"/>
    <cellStyle name="Table  - Opmaakprofiel6 3 2 5 7 4" xfId="44382"/>
    <cellStyle name="Table  - Opmaakprofiel6 3 2 5 7 5" xfId="50546"/>
    <cellStyle name="Table  - Opmaakprofiel6 3 2 5 8" xfId="7329"/>
    <cellStyle name="Table  - Opmaakprofiel6 3 2 5 8 2" xfId="19627"/>
    <cellStyle name="Table  - Opmaakprofiel6 3 2 5 8 3" xfId="41430"/>
    <cellStyle name="Table  - Opmaakprofiel6 3 2 5 8 4" xfId="36842"/>
    <cellStyle name="Table  - Opmaakprofiel6 3 2 5 8 5" xfId="52299"/>
    <cellStyle name="Table  - Opmaakprofiel6 3 2 5 9" xfId="17608"/>
    <cellStyle name="Table  - Opmaakprofiel6 3 2 6" xfId="470"/>
    <cellStyle name="Table  - Opmaakprofiel6 3 2 6 2" xfId="1824"/>
    <cellStyle name="Table  - Opmaakprofiel6 3 2 6 2 2" xfId="11301"/>
    <cellStyle name="Table  - Opmaakprofiel6 3 2 6 2 2 2" xfId="23599"/>
    <cellStyle name="Table  - Opmaakprofiel6 3 2 6 2 2 3" xfId="35651"/>
    <cellStyle name="Table  - Opmaakprofiel6 3 2 6 2 2 4" xfId="34537"/>
    <cellStyle name="Table  - Opmaakprofiel6 3 2 6 2 2 5" xfId="56266"/>
    <cellStyle name="Table  - Opmaakprofiel6 3 2 6 2 3" xfId="17616"/>
    <cellStyle name="Table  - Opmaakprofiel6 3 2 6 2 4" xfId="29668"/>
    <cellStyle name="Table  - Opmaakprofiel6 3 2 6 2 5" xfId="38144"/>
    <cellStyle name="Table  - Opmaakprofiel6 3 2 6 2 6" xfId="50547"/>
    <cellStyle name="Table  - Opmaakprofiel6 3 2 6 3" xfId="2541"/>
    <cellStyle name="Table  - Opmaakprofiel6 3 2 6 3 2" xfId="11302"/>
    <cellStyle name="Table  - Opmaakprofiel6 3 2 6 3 2 2" xfId="23600"/>
    <cellStyle name="Table  - Opmaakprofiel6 3 2 6 3 2 3" xfId="35652"/>
    <cellStyle name="Table  - Opmaakprofiel6 3 2 6 3 2 4" xfId="31051"/>
    <cellStyle name="Table  - Opmaakprofiel6 3 2 6 3 2 5" xfId="56267"/>
    <cellStyle name="Table  - Opmaakprofiel6 3 2 6 3 3" xfId="17617"/>
    <cellStyle name="Table  - Opmaakprofiel6 3 2 6 3 4" xfId="29669"/>
    <cellStyle name="Table  - Opmaakprofiel6 3 2 6 3 5" xfId="38143"/>
    <cellStyle name="Table  - Opmaakprofiel6 3 2 6 3 6" xfId="50548"/>
    <cellStyle name="Table  - Opmaakprofiel6 3 2 6 4" xfId="3428"/>
    <cellStyle name="Table  - Opmaakprofiel6 3 2 6 4 2" xfId="11303"/>
    <cellStyle name="Table  - Opmaakprofiel6 3 2 6 4 2 2" xfId="23601"/>
    <cellStyle name="Table  - Opmaakprofiel6 3 2 6 4 2 3" xfId="35653"/>
    <cellStyle name="Table  - Opmaakprofiel6 3 2 6 4 2 4" xfId="31733"/>
    <cellStyle name="Table  - Opmaakprofiel6 3 2 6 4 2 5" xfId="56268"/>
    <cellStyle name="Table  - Opmaakprofiel6 3 2 6 4 3" xfId="17618"/>
    <cellStyle name="Table  - Opmaakprofiel6 3 2 6 4 4" xfId="29670"/>
    <cellStyle name="Table  - Opmaakprofiel6 3 2 6 4 5" xfId="44380"/>
    <cellStyle name="Table  - Opmaakprofiel6 3 2 6 4 6" xfId="50549"/>
    <cellStyle name="Table  - Opmaakprofiel6 3 2 6 5" xfId="6278"/>
    <cellStyle name="Table  - Opmaakprofiel6 3 2 6 5 2" xfId="11304"/>
    <cellStyle name="Table  - Opmaakprofiel6 3 2 6 5 2 2" xfId="23602"/>
    <cellStyle name="Table  - Opmaakprofiel6 3 2 6 5 2 3" xfId="35654"/>
    <cellStyle name="Table  - Opmaakprofiel6 3 2 6 5 2 4" xfId="41914"/>
    <cellStyle name="Table  - Opmaakprofiel6 3 2 6 5 2 5" xfId="56269"/>
    <cellStyle name="Table  - Opmaakprofiel6 3 2 6 5 3" xfId="17619"/>
    <cellStyle name="Table  - Opmaakprofiel6 3 2 6 5 4" xfId="29671"/>
    <cellStyle name="Table  - Opmaakprofiel6 3 2 6 5 5" xfId="38142"/>
    <cellStyle name="Table  - Opmaakprofiel6 3 2 6 5 6" xfId="50550"/>
    <cellStyle name="Table  - Opmaakprofiel6 3 2 6 6" xfId="6279"/>
    <cellStyle name="Table  - Opmaakprofiel6 3 2 6 6 2" xfId="11305"/>
    <cellStyle name="Table  - Opmaakprofiel6 3 2 6 6 2 2" xfId="23603"/>
    <cellStyle name="Table  - Opmaakprofiel6 3 2 6 6 2 3" xfId="35655"/>
    <cellStyle name="Table  - Opmaakprofiel6 3 2 6 6 2 4" xfId="31058"/>
    <cellStyle name="Table  - Opmaakprofiel6 3 2 6 6 2 5" xfId="56270"/>
    <cellStyle name="Table  - Opmaakprofiel6 3 2 6 6 3" xfId="17620"/>
    <cellStyle name="Table  - Opmaakprofiel6 3 2 6 6 4" xfId="29672"/>
    <cellStyle name="Table  - Opmaakprofiel6 3 2 6 6 5" xfId="38141"/>
    <cellStyle name="Table  - Opmaakprofiel6 3 2 6 6 6" xfId="50551"/>
    <cellStyle name="Table  - Opmaakprofiel6 3 2 6 7" xfId="6280"/>
    <cellStyle name="Table  - Opmaakprofiel6 3 2 6 7 2" xfId="17621"/>
    <cellStyle name="Table  - Opmaakprofiel6 3 2 6 7 3" xfId="29673"/>
    <cellStyle name="Table  - Opmaakprofiel6 3 2 6 7 4" xfId="38140"/>
    <cellStyle name="Table  - Opmaakprofiel6 3 2 6 7 5" xfId="50552"/>
    <cellStyle name="Table  - Opmaakprofiel6 3 2 6 8" xfId="7669"/>
    <cellStyle name="Table  - Opmaakprofiel6 3 2 6 8 2" xfId="19967"/>
    <cellStyle name="Table  - Opmaakprofiel6 3 2 6 8 3" xfId="41770"/>
    <cellStyle name="Table  - Opmaakprofiel6 3 2 6 8 4" xfId="25034"/>
    <cellStyle name="Table  - Opmaakprofiel6 3 2 6 8 5" xfId="52639"/>
    <cellStyle name="Table  - Opmaakprofiel6 3 2 6 9" xfId="17615"/>
    <cellStyle name="Table  - Opmaakprofiel6 3 2 7" xfId="1193"/>
    <cellStyle name="Table  - Opmaakprofiel6 3 2 7 2" xfId="1922"/>
    <cellStyle name="Table  - Opmaakprofiel6 3 2 7 2 2" xfId="11306"/>
    <cellStyle name="Table  - Opmaakprofiel6 3 2 7 2 2 2" xfId="23604"/>
    <cellStyle name="Table  - Opmaakprofiel6 3 2 7 2 2 3" xfId="35656"/>
    <cellStyle name="Table  - Opmaakprofiel6 3 2 7 2 2 4" xfId="41913"/>
    <cellStyle name="Table  - Opmaakprofiel6 3 2 7 2 2 5" xfId="56271"/>
    <cellStyle name="Table  - Opmaakprofiel6 3 2 7 2 3" xfId="17623"/>
    <cellStyle name="Table  - Opmaakprofiel6 3 2 7 2 4" xfId="29675"/>
    <cellStyle name="Table  - Opmaakprofiel6 3 2 7 2 5" xfId="38138"/>
    <cellStyle name="Table  - Opmaakprofiel6 3 2 7 2 6" xfId="50553"/>
    <cellStyle name="Table  - Opmaakprofiel6 3 2 7 3" xfId="3204"/>
    <cellStyle name="Table  - Opmaakprofiel6 3 2 7 3 2" xfId="11307"/>
    <cellStyle name="Table  - Opmaakprofiel6 3 2 7 3 2 2" xfId="23605"/>
    <cellStyle name="Table  - Opmaakprofiel6 3 2 7 3 2 3" xfId="35657"/>
    <cellStyle name="Table  - Opmaakprofiel6 3 2 7 3 2 4" xfId="31667"/>
    <cellStyle name="Table  - Opmaakprofiel6 3 2 7 3 2 5" xfId="56272"/>
    <cellStyle name="Table  - Opmaakprofiel6 3 2 7 3 3" xfId="17624"/>
    <cellStyle name="Table  - Opmaakprofiel6 3 2 7 3 4" xfId="29676"/>
    <cellStyle name="Table  - Opmaakprofiel6 3 2 7 3 5" xfId="44376"/>
    <cellStyle name="Table  - Opmaakprofiel6 3 2 7 3 6" xfId="50554"/>
    <cellStyle name="Table  - Opmaakprofiel6 3 2 7 4" xfId="4022"/>
    <cellStyle name="Table  - Opmaakprofiel6 3 2 7 4 2" xfId="11308"/>
    <cellStyle name="Table  - Opmaakprofiel6 3 2 7 4 2 2" xfId="23606"/>
    <cellStyle name="Table  - Opmaakprofiel6 3 2 7 4 2 3" xfId="35658"/>
    <cellStyle name="Table  - Opmaakprofiel6 3 2 7 4 2 4" xfId="41912"/>
    <cellStyle name="Table  - Opmaakprofiel6 3 2 7 4 2 5" xfId="56273"/>
    <cellStyle name="Table  - Opmaakprofiel6 3 2 7 4 3" xfId="17625"/>
    <cellStyle name="Table  - Opmaakprofiel6 3 2 7 4 4" xfId="29677"/>
    <cellStyle name="Table  - Opmaakprofiel6 3 2 7 4 5" xfId="38137"/>
    <cellStyle name="Table  - Opmaakprofiel6 3 2 7 4 6" xfId="50555"/>
    <cellStyle name="Table  - Opmaakprofiel6 3 2 7 5" xfId="6281"/>
    <cellStyle name="Table  - Opmaakprofiel6 3 2 7 5 2" xfId="11309"/>
    <cellStyle name="Table  - Opmaakprofiel6 3 2 7 5 2 2" xfId="23607"/>
    <cellStyle name="Table  - Opmaakprofiel6 3 2 7 5 2 3" xfId="35659"/>
    <cellStyle name="Table  - Opmaakprofiel6 3 2 7 5 2 4" xfId="31065"/>
    <cellStyle name="Table  - Opmaakprofiel6 3 2 7 5 2 5" xfId="56274"/>
    <cellStyle name="Table  - Opmaakprofiel6 3 2 7 5 3" xfId="17626"/>
    <cellStyle name="Table  - Opmaakprofiel6 3 2 7 5 4" xfId="29678"/>
    <cellStyle name="Table  - Opmaakprofiel6 3 2 7 5 5" xfId="44375"/>
    <cellStyle name="Table  - Opmaakprofiel6 3 2 7 5 6" xfId="50556"/>
    <cellStyle name="Table  - Opmaakprofiel6 3 2 7 6" xfId="6282"/>
    <cellStyle name="Table  - Opmaakprofiel6 3 2 7 6 2" xfId="11310"/>
    <cellStyle name="Table  - Opmaakprofiel6 3 2 7 6 2 2" xfId="23608"/>
    <cellStyle name="Table  - Opmaakprofiel6 3 2 7 6 2 3" xfId="35660"/>
    <cellStyle name="Table  - Opmaakprofiel6 3 2 7 6 2 4" xfId="41911"/>
    <cellStyle name="Table  - Opmaakprofiel6 3 2 7 6 2 5" xfId="56275"/>
    <cellStyle name="Table  - Opmaakprofiel6 3 2 7 6 3" xfId="17627"/>
    <cellStyle name="Table  - Opmaakprofiel6 3 2 7 6 4" xfId="29679"/>
    <cellStyle name="Table  - Opmaakprofiel6 3 2 7 6 5" xfId="38136"/>
    <cellStyle name="Table  - Opmaakprofiel6 3 2 7 6 6" xfId="50557"/>
    <cellStyle name="Table  - Opmaakprofiel6 3 2 7 7" xfId="6283"/>
    <cellStyle name="Table  - Opmaakprofiel6 3 2 7 7 2" xfId="17628"/>
    <cellStyle name="Table  - Opmaakprofiel6 3 2 7 7 3" xfId="29680"/>
    <cellStyle name="Table  - Opmaakprofiel6 3 2 7 7 4" xfId="44374"/>
    <cellStyle name="Table  - Opmaakprofiel6 3 2 7 7 5" xfId="50558"/>
    <cellStyle name="Table  - Opmaakprofiel6 3 2 7 8" xfId="7179"/>
    <cellStyle name="Table  - Opmaakprofiel6 3 2 7 8 2" xfId="19477"/>
    <cellStyle name="Table  - Opmaakprofiel6 3 2 7 8 3" xfId="41280"/>
    <cellStyle name="Table  - Opmaakprofiel6 3 2 7 8 4" xfId="36930"/>
    <cellStyle name="Table  - Opmaakprofiel6 3 2 7 8 5" xfId="52149"/>
    <cellStyle name="Table  - Opmaakprofiel6 3 2 7 9" xfId="17622"/>
    <cellStyle name="Table  - Opmaakprofiel6 3 2 8" xfId="1314"/>
    <cellStyle name="Table  - Opmaakprofiel6 3 2 8 2" xfId="2047"/>
    <cellStyle name="Table  - Opmaakprofiel6 3 2 8 2 2" xfId="11311"/>
    <cellStyle name="Table  - Opmaakprofiel6 3 2 8 2 2 2" xfId="23609"/>
    <cellStyle name="Table  - Opmaakprofiel6 3 2 8 2 2 3" xfId="35661"/>
    <cellStyle name="Table  - Opmaakprofiel6 3 2 8 2 2 4" xfId="31976"/>
    <cellStyle name="Table  - Opmaakprofiel6 3 2 8 2 2 5" xfId="56276"/>
    <cellStyle name="Table  - Opmaakprofiel6 3 2 8 2 3" xfId="17630"/>
    <cellStyle name="Table  - Opmaakprofiel6 3 2 8 2 4" xfId="29682"/>
    <cellStyle name="Table  - Opmaakprofiel6 3 2 8 2 5" xfId="38134"/>
    <cellStyle name="Table  - Opmaakprofiel6 3 2 8 2 6" xfId="50559"/>
    <cellStyle name="Table  - Opmaakprofiel6 3 2 8 3" xfId="3325"/>
    <cellStyle name="Table  - Opmaakprofiel6 3 2 8 3 2" xfId="11312"/>
    <cellStyle name="Table  - Opmaakprofiel6 3 2 8 3 2 2" xfId="23610"/>
    <cellStyle name="Table  - Opmaakprofiel6 3 2 8 3 2 3" xfId="35662"/>
    <cellStyle name="Table  - Opmaakprofiel6 3 2 8 3 2 4" xfId="41910"/>
    <cellStyle name="Table  - Opmaakprofiel6 3 2 8 3 2 5" xfId="56277"/>
    <cellStyle name="Table  - Opmaakprofiel6 3 2 8 3 3" xfId="17631"/>
    <cellStyle name="Table  - Opmaakprofiel6 3 2 8 3 4" xfId="29683"/>
    <cellStyle name="Table  - Opmaakprofiel6 3 2 8 3 5" xfId="38133"/>
    <cellStyle name="Table  - Opmaakprofiel6 3 2 8 3 6" xfId="50560"/>
    <cellStyle name="Table  - Opmaakprofiel6 3 2 8 4" xfId="4106"/>
    <cellStyle name="Table  - Opmaakprofiel6 3 2 8 4 2" xfId="11313"/>
    <cellStyle name="Table  - Opmaakprofiel6 3 2 8 4 2 2" xfId="23611"/>
    <cellStyle name="Table  - Opmaakprofiel6 3 2 8 4 2 3" xfId="35663"/>
    <cellStyle name="Table  - Opmaakprofiel6 3 2 8 4 2 4" xfId="31072"/>
    <cellStyle name="Table  - Opmaakprofiel6 3 2 8 4 2 5" xfId="56278"/>
    <cellStyle name="Table  - Opmaakprofiel6 3 2 8 4 3" xfId="17632"/>
    <cellStyle name="Table  - Opmaakprofiel6 3 2 8 4 4" xfId="29684"/>
    <cellStyle name="Table  - Opmaakprofiel6 3 2 8 4 5" xfId="44372"/>
    <cellStyle name="Table  - Opmaakprofiel6 3 2 8 4 6" xfId="50561"/>
    <cellStyle name="Table  - Opmaakprofiel6 3 2 8 5" xfId="6284"/>
    <cellStyle name="Table  - Opmaakprofiel6 3 2 8 5 2" xfId="11314"/>
    <cellStyle name="Table  - Opmaakprofiel6 3 2 8 5 2 2" xfId="23612"/>
    <cellStyle name="Table  - Opmaakprofiel6 3 2 8 5 2 3" xfId="35664"/>
    <cellStyle name="Table  - Opmaakprofiel6 3 2 8 5 2 4" xfId="31548"/>
    <cellStyle name="Table  - Opmaakprofiel6 3 2 8 5 2 5" xfId="56279"/>
    <cellStyle name="Table  - Opmaakprofiel6 3 2 8 5 3" xfId="17633"/>
    <cellStyle name="Table  - Opmaakprofiel6 3 2 8 5 4" xfId="29685"/>
    <cellStyle name="Table  - Opmaakprofiel6 3 2 8 5 5" xfId="38132"/>
    <cellStyle name="Table  - Opmaakprofiel6 3 2 8 5 6" xfId="50562"/>
    <cellStyle name="Table  - Opmaakprofiel6 3 2 8 6" xfId="6285"/>
    <cellStyle name="Table  - Opmaakprofiel6 3 2 8 6 2" xfId="11315"/>
    <cellStyle name="Table  - Opmaakprofiel6 3 2 8 6 2 2" xfId="23613"/>
    <cellStyle name="Table  - Opmaakprofiel6 3 2 8 6 2 3" xfId="35665"/>
    <cellStyle name="Table  - Opmaakprofiel6 3 2 8 6 2 4" xfId="31079"/>
    <cellStyle name="Table  - Opmaakprofiel6 3 2 8 6 2 5" xfId="56280"/>
    <cellStyle name="Table  - Opmaakprofiel6 3 2 8 6 3" xfId="17634"/>
    <cellStyle name="Table  - Opmaakprofiel6 3 2 8 6 4" xfId="29686"/>
    <cellStyle name="Table  - Opmaakprofiel6 3 2 8 6 5" xfId="38131"/>
    <cellStyle name="Table  - Opmaakprofiel6 3 2 8 6 6" xfId="50563"/>
    <cellStyle name="Table  - Opmaakprofiel6 3 2 8 7" xfId="6286"/>
    <cellStyle name="Table  - Opmaakprofiel6 3 2 8 7 2" xfId="17635"/>
    <cellStyle name="Table  - Opmaakprofiel6 3 2 8 7 3" xfId="29687"/>
    <cellStyle name="Table  - Opmaakprofiel6 3 2 8 7 4" xfId="44371"/>
    <cellStyle name="Table  - Opmaakprofiel6 3 2 8 7 5" xfId="50564"/>
    <cellStyle name="Table  - Opmaakprofiel6 3 2 8 8" xfId="7063"/>
    <cellStyle name="Table  - Opmaakprofiel6 3 2 8 8 2" xfId="19361"/>
    <cellStyle name="Table  - Opmaakprofiel6 3 2 8 8 3" xfId="41164"/>
    <cellStyle name="Table  - Opmaakprofiel6 3 2 8 8 4" xfId="36997"/>
    <cellStyle name="Table  - Opmaakprofiel6 3 2 8 8 5" xfId="52034"/>
    <cellStyle name="Table  - Opmaakprofiel6 3 2 8 9" xfId="17629"/>
    <cellStyle name="Table  - Opmaakprofiel6 3 2 9" xfId="1370"/>
    <cellStyle name="Table  - Opmaakprofiel6 3 2 9 2" xfId="1399"/>
    <cellStyle name="Table  - Opmaakprofiel6 3 2 9 2 2" xfId="11316"/>
    <cellStyle name="Table  - Opmaakprofiel6 3 2 9 2 2 2" xfId="23614"/>
    <cellStyle name="Table  - Opmaakprofiel6 3 2 9 2 2 3" xfId="35666"/>
    <cellStyle name="Table  - Opmaakprofiel6 3 2 9 2 2 4" xfId="41909"/>
    <cellStyle name="Table  - Opmaakprofiel6 3 2 9 2 2 5" xfId="56281"/>
    <cellStyle name="Table  - Opmaakprofiel6 3 2 9 2 3" xfId="17637"/>
    <cellStyle name="Table  - Opmaakprofiel6 3 2 9 2 4" xfId="29689"/>
    <cellStyle name="Table  - Opmaakprofiel6 3 2 9 2 5" xfId="38129"/>
    <cellStyle name="Table  - Opmaakprofiel6 3 2 9 2 6" xfId="50565"/>
    <cellStyle name="Table  - Opmaakprofiel6 3 2 9 3" xfId="3381"/>
    <cellStyle name="Table  - Opmaakprofiel6 3 2 9 3 2" xfId="11317"/>
    <cellStyle name="Table  - Opmaakprofiel6 3 2 9 3 2 2" xfId="23615"/>
    <cellStyle name="Table  - Opmaakprofiel6 3 2 9 3 2 3" xfId="35667"/>
    <cellStyle name="Table  - Opmaakprofiel6 3 2 9 3 2 4" xfId="31966"/>
    <cellStyle name="Table  - Opmaakprofiel6 3 2 9 3 2 5" xfId="56282"/>
    <cellStyle name="Table  - Opmaakprofiel6 3 2 9 3 3" xfId="17638"/>
    <cellStyle name="Table  - Opmaakprofiel6 3 2 9 3 4" xfId="29690"/>
    <cellStyle name="Table  - Opmaakprofiel6 3 2 9 3 5" xfId="38128"/>
    <cellStyle name="Table  - Opmaakprofiel6 3 2 9 3 6" xfId="50566"/>
    <cellStyle name="Table  - Opmaakprofiel6 3 2 9 4" xfId="4142"/>
    <cellStyle name="Table  - Opmaakprofiel6 3 2 9 4 2" xfId="11318"/>
    <cellStyle name="Table  - Opmaakprofiel6 3 2 9 4 2 2" xfId="23616"/>
    <cellStyle name="Table  - Opmaakprofiel6 3 2 9 4 2 3" xfId="35668"/>
    <cellStyle name="Table  - Opmaakprofiel6 3 2 9 4 2 4" xfId="41908"/>
    <cellStyle name="Table  - Opmaakprofiel6 3 2 9 4 2 5" xfId="56283"/>
    <cellStyle name="Table  - Opmaakprofiel6 3 2 9 4 3" xfId="17639"/>
    <cellStyle name="Table  - Opmaakprofiel6 3 2 9 4 4" xfId="29691"/>
    <cellStyle name="Table  - Opmaakprofiel6 3 2 9 4 5" xfId="38127"/>
    <cellStyle name="Table  - Opmaakprofiel6 3 2 9 4 6" xfId="50567"/>
    <cellStyle name="Table  - Opmaakprofiel6 3 2 9 5" xfId="6287"/>
    <cellStyle name="Table  - Opmaakprofiel6 3 2 9 5 2" xfId="11319"/>
    <cellStyle name="Table  - Opmaakprofiel6 3 2 9 5 2 2" xfId="23617"/>
    <cellStyle name="Table  - Opmaakprofiel6 3 2 9 5 2 3" xfId="35669"/>
    <cellStyle name="Table  - Opmaakprofiel6 3 2 9 5 2 4" xfId="31089"/>
    <cellStyle name="Table  - Opmaakprofiel6 3 2 9 5 2 5" xfId="56284"/>
    <cellStyle name="Table  - Opmaakprofiel6 3 2 9 5 3" xfId="17640"/>
    <cellStyle name="Table  - Opmaakprofiel6 3 2 9 5 4" xfId="29692"/>
    <cellStyle name="Table  - Opmaakprofiel6 3 2 9 5 5" xfId="44368"/>
    <cellStyle name="Table  - Opmaakprofiel6 3 2 9 5 6" xfId="50568"/>
    <cellStyle name="Table  - Opmaakprofiel6 3 2 9 6" xfId="6288"/>
    <cellStyle name="Table  - Opmaakprofiel6 3 2 9 6 2" xfId="11320"/>
    <cellStyle name="Table  - Opmaakprofiel6 3 2 9 6 2 2" xfId="23618"/>
    <cellStyle name="Table  - Opmaakprofiel6 3 2 9 6 2 3" xfId="35670"/>
    <cellStyle name="Table  - Opmaakprofiel6 3 2 9 6 2 4" xfId="41907"/>
    <cellStyle name="Table  - Opmaakprofiel6 3 2 9 6 2 5" xfId="56285"/>
    <cellStyle name="Table  - Opmaakprofiel6 3 2 9 6 3" xfId="17641"/>
    <cellStyle name="Table  - Opmaakprofiel6 3 2 9 6 4" xfId="29693"/>
    <cellStyle name="Table  - Opmaakprofiel6 3 2 9 6 5" xfId="38126"/>
    <cellStyle name="Table  - Opmaakprofiel6 3 2 9 6 6" xfId="50569"/>
    <cellStyle name="Table  - Opmaakprofiel6 3 2 9 7" xfId="6289"/>
    <cellStyle name="Table  - Opmaakprofiel6 3 2 9 7 2" xfId="17642"/>
    <cellStyle name="Table  - Opmaakprofiel6 3 2 9 7 3" xfId="29694"/>
    <cellStyle name="Table  - Opmaakprofiel6 3 2 9 7 4" xfId="38125"/>
    <cellStyle name="Table  - Opmaakprofiel6 3 2 9 7 5" xfId="50570"/>
    <cellStyle name="Table  - Opmaakprofiel6 3 2 9 8" xfId="7015"/>
    <cellStyle name="Table  - Opmaakprofiel6 3 2 9 8 2" xfId="19313"/>
    <cellStyle name="Table  - Opmaakprofiel6 3 2 9 8 3" xfId="41116"/>
    <cellStyle name="Table  - Opmaakprofiel6 3 2 9 8 4" xfId="43685"/>
    <cellStyle name="Table  - Opmaakprofiel6 3 2 9 8 5" xfId="51986"/>
    <cellStyle name="Table  - Opmaakprofiel6 3 2 9 9" xfId="17636"/>
    <cellStyle name="Table  - Opmaakprofiel6 3 20" xfId="6290"/>
    <cellStyle name="Table  - Opmaakprofiel6 3 20 2" xfId="11321"/>
    <cellStyle name="Table  - Opmaakprofiel6 3 20 2 2" xfId="23619"/>
    <cellStyle name="Table  - Opmaakprofiel6 3 20 2 3" xfId="35671"/>
    <cellStyle name="Table  - Opmaakprofiel6 3 20 2 4" xfId="34541"/>
    <cellStyle name="Table  - Opmaakprofiel6 3 20 2 5" xfId="56286"/>
    <cellStyle name="Table  - Opmaakprofiel6 3 20 3" xfId="17643"/>
    <cellStyle name="Table  - Opmaakprofiel6 3 20 4" xfId="29695"/>
    <cellStyle name="Table  - Opmaakprofiel6 3 20 5" xfId="44367"/>
    <cellStyle name="Table  - Opmaakprofiel6 3 20 6" xfId="50571"/>
    <cellStyle name="Table  - Opmaakprofiel6 3 21" xfId="6291"/>
    <cellStyle name="Table  - Opmaakprofiel6 3 21 2" xfId="17644"/>
    <cellStyle name="Table  - Opmaakprofiel6 3 21 3" xfId="29696"/>
    <cellStyle name="Table  - Opmaakprofiel6 3 21 4" xfId="38124"/>
    <cellStyle name="Table  - Opmaakprofiel6 3 21 5" xfId="50572"/>
    <cellStyle name="Table  - Opmaakprofiel6 3 22" xfId="7779"/>
    <cellStyle name="Table  - Opmaakprofiel6 3 22 2" xfId="20077"/>
    <cellStyle name="Table  - Opmaakprofiel6 3 22 3" xfId="41880"/>
    <cellStyle name="Table  - Opmaakprofiel6 3 22 4" xfId="25255"/>
    <cellStyle name="Table  - Opmaakprofiel6 3 22 5" xfId="52749"/>
    <cellStyle name="Table  - Opmaakprofiel6 3 23" xfId="17533"/>
    <cellStyle name="Table  - Opmaakprofiel6 3 3" xfId="389"/>
    <cellStyle name="Table  - Opmaakprofiel6 3 3 10" xfId="2029"/>
    <cellStyle name="Table  - Opmaakprofiel6 3 3 10 2" xfId="11322"/>
    <cellStyle name="Table  - Opmaakprofiel6 3 3 10 2 2" xfId="23620"/>
    <cellStyle name="Table  - Opmaakprofiel6 3 3 10 2 3" xfId="35672"/>
    <cellStyle name="Table  - Opmaakprofiel6 3 3 10 2 4" xfId="41906"/>
    <cellStyle name="Table  - Opmaakprofiel6 3 3 10 2 5" xfId="56287"/>
    <cellStyle name="Table  - Opmaakprofiel6 3 3 10 3" xfId="17646"/>
    <cellStyle name="Table  - Opmaakprofiel6 3 3 10 4" xfId="29698"/>
    <cellStyle name="Table  - Opmaakprofiel6 3 3 10 5" xfId="38123"/>
    <cellStyle name="Table  - Opmaakprofiel6 3 3 10 6" xfId="50573"/>
    <cellStyle name="Table  - Opmaakprofiel6 3 3 11" xfId="2482"/>
    <cellStyle name="Table  - Opmaakprofiel6 3 3 11 2" xfId="11323"/>
    <cellStyle name="Table  - Opmaakprofiel6 3 3 11 2 2" xfId="23621"/>
    <cellStyle name="Table  - Opmaakprofiel6 3 3 11 2 3" xfId="35673"/>
    <cellStyle name="Table  - Opmaakprofiel6 3 3 11 2 4" xfId="31093"/>
    <cellStyle name="Table  - Opmaakprofiel6 3 3 11 2 5" xfId="56288"/>
    <cellStyle name="Table  - Opmaakprofiel6 3 3 11 3" xfId="17647"/>
    <cellStyle name="Table  - Opmaakprofiel6 3 3 11 4" xfId="29699"/>
    <cellStyle name="Table  - Opmaakprofiel6 3 3 11 5" xfId="38122"/>
    <cellStyle name="Table  - Opmaakprofiel6 3 3 11 6" xfId="50574"/>
    <cellStyle name="Table  - Opmaakprofiel6 3 3 12" xfId="1796"/>
    <cellStyle name="Table  - Opmaakprofiel6 3 3 12 2" xfId="11324"/>
    <cellStyle name="Table  - Opmaakprofiel6 3 3 12 2 2" xfId="23622"/>
    <cellStyle name="Table  - Opmaakprofiel6 3 3 12 2 3" xfId="35674"/>
    <cellStyle name="Table  - Opmaakprofiel6 3 3 12 2 4" xfId="41905"/>
    <cellStyle name="Table  - Opmaakprofiel6 3 3 12 2 5" xfId="56289"/>
    <cellStyle name="Table  - Opmaakprofiel6 3 3 12 3" xfId="17648"/>
    <cellStyle name="Table  - Opmaakprofiel6 3 3 12 4" xfId="29700"/>
    <cellStyle name="Table  - Opmaakprofiel6 3 3 12 5" xfId="44364"/>
    <cellStyle name="Table  - Opmaakprofiel6 3 3 12 6" xfId="50575"/>
    <cellStyle name="Table  - Opmaakprofiel6 3 3 13" xfId="6292"/>
    <cellStyle name="Table  - Opmaakprofiel6 3 3 13 2" xfId="11325"/>
    <cellStyle name="Table  - Opmaakprofiel6 3 3 13 2 2" xfId="23623"/>
    <cellStyle name="Table  - Opmaakprofiel6 3 3 13 2 3" xfId="35675"/>
    <cellStyle name="Table  - Opmaakprofiel6 3 3 13 2 4" xfId="31736"/>
    <cellStyle name="Table  - Opmaakprofiel6 3 3 13 2 5" xfId="56290"/>
    <cellStyle name="Table  - Opmaakprofiel6 3 3 13 3" xfId="17649"/>
    <cellStyle name="Table  - Opmaakprofiel6 3 3 13 4" xfId="29701"/>
    <cellStyle name="Table  - Opmaakprofiel6 3 3 13 5" xfId="38121"/>
    <cellStyle name="Table  - Opmaakprofiel6 3 3 13 6" xfId="50576"/>
    <cellStyle name="Table  - Opmaakprofiel6 3 3 14" xfId="6293"/>
    <cellStyle name="Table  - Opmaakprofiel6 3 3 14 2" xfId="11326"/>
    <cellStyle name="Table  - Opmaakprofiel6 3 3 14 2 2" xfId="23624"/>
    <cellStyle name="Table  - Opmaakprofiel6 3 3 14 2 3" xfId="35676"/>
    <cellStyle name="Table  - Opmaakprofiel6 3 3 14 2 4" xfId="31100"/>
    <cellStyle name="Table  - Opmaakprofiel6 3 3 14 2 5" xfId="56291"/>
    <cellStyle name="Table  - Opmaakprofiel6 3 3 14 3" xfId="17650"/>
    <cellStyle name="Table  - Opmaakprofiel6 3 3 14 4" xfId="29702"/>
    <cellStyle name="Table  - Opmaakprofiel6 3 3 14 5" xfId="38120"/>
    <cellStyle name="Table  - Opmaakprofiel6 3 3 14 6" xfId="50577"/>
    <cellStyle name="Table  - Opmaakprofiel6 3 3 15" xfId="6294"/>
    <cellStyle name="Table  - Opmaakprofiel6 3 3 15 2" xfId="17651"/>
    <cellStyle name="Table  - Opmaakprofiel6 3 3 15 3" xfId="29703"/>
    <cellStyle name="Table  - Opmaakprofiel6 3 3 15 4" xfId="44363"/>
    <cellStyle name="Table  - Opmaakprofiel6 3 3 15 5" xfId="50578"/>
    <cellStyle name="Table  - Opmaakprofiel6 3 3 16" xfId="7725"/>
    <cellStyle name="Table  - Opmaakprofiel6 3 3 16 2" xfId="20023"/>
    <cellStyle name="Table  - Opmaakprofiel6 3 3 16 3" xfId="41826"/>
    <cellStyle name="Table  - Opmaakprofiel6 3 3 16 4" xfId="25143"/>
    <cellStyle name="Table  - Opmaakprofiel6 3 3 16 5" xfId="52695"/>
    <cellStyle name="Table  - Opmaakprofiel6 3 3 17" xfId="17645"/>
    <cellStyle name="Table  - Opmaakprofiel6 3 3 2" xfId="663"/>
    <cellStyle name="Table  - Opmaakprofiel6 3 3 2 2" xfId="2271"/>
    <cellStyle name="Table  - Opmaakprofiel6 3 3 2 2 2" xfId="11327"/>
    <cellStyle name="Table  - Opmaakprofiel6 3 3 2 2 2 2" xfId="23625"/>
    <cellStyle name="Table  - Opmaakprofiel6 3 3 2 2 2 3" xfId="35677"/>
    <cellStyle name="Table  - Opmaakprofiel6 3 3 2 2 2 4" xfId="31670"/>
    <cellStyle name="Table  - Opmaakprofiel6 3 3 2 2 2 5" xfId="56292"/>
    <cellStyle name="Table  - Opmaakprofiel6 3 3 2 2 3" xfId="17653"/>
    <cellStyle name="Table  - Opmaakprofiel6 3 3 2 2 4" xfId="29705"/>
    <cellStyle name="Table  - Opmaakprofiel6 3 3 2 2 5" xfId="38118"/>
    <cellStyle name="Table  - Opmaakprofiel6 3 3 2 2 6" xfId="50579"/>
    <cellStyle name="Table  - Opmaakprofiel6 3 3 2 3" xfId="2729"/>
    <cellStyle name="Table  - Opmaakprofiel6 3 3 2 3 2" xfId="11328"/>
    <cellStyle name="Table  - Opmaakprofiel6 3 3 2 3 2 2" xfId="23626"/>
    <cellStyle name="Table  - Opmaakprofiel6 3 3 2 3 2 3" xfId="35678"/>
    <cellStyle name="Table  - Opmaakprofiel6 3 3 2 3 2 4" xfId="41904"/>
    <cellStyle name="Table  - Opmaakprofiel6 3 3 2 3 2 5" xfId="56293"/>
    <cellStyle name="Table  - Opmaakprofiel6 3 3 2 3 3" xfId="17654"/>
    <cellStyle name="Table  - Opmaakprofiel6 3 3 2 3 4" xfId="29706"/>
    <cellStyle name="Table  - Opmaakprofiel6 3 3 2 3 5" xfId="38117"/>
    <cellStyle name="Table  - Opmaakprofiel6 3 3 2 3 6" xfId="50580"/>
    <cellStyle name="Table  - Opmaakprofiel6 3 3 2 4" xfId="3596"/>
    <cellStyle name="Table  - Opmaakprofiel6 3 3 2 4 2" xfId="11329"/>
    <cellStyle name="Table  - Opmaakprofiel6 3 3 2 4 2 2" xfId="23627"/>
    <cellStyle name="Table  - Opmaakprofiel6 3 3 2 4 2 3" xfId="35679"/>
    <cellStyle name="Table  - Opmaakprofiel6 3 3 2 4 2 4" xfId="31107"/>
    <cellStyle name="Table  - Opmaakprofiel6 3 3 2 4 2 5" xfId="56294"/>
    <cellStyle name="Table  - Opmaakprofiel6 3 3 2 4 3" xfId="17655"/>
    <cellStyle name="Table  - Opmaakprofiel6 3 3 2 4 4" xfId="29707"/>
    <cellStyle name="Table  - Opmaakprofiel6 3 3 2 4 5" xfId="38116"/>
    <cellStyle name="Table  - Opmaakprofiel6 3 3 2 4 6" xfId="50581"/>
    <cellStyle name="Table  - Opmaakprofiel6 3 3 2 5" xfId="6295"/>
    <cellStyle name="Table  - Opmaakprofiel6 3 3 2 5 2" xfId="11330"/>
    <cellStyle name="Table  - Opmaakprofiel6 3 3 2 5 2 2" xfId="23628"/>
    <cellStyle name="Table  - Opmaakprofiel6 3 3 2 5 2 3" xfId="35680"/>
    <cellStyle name="Table  - Opmaakprofiel6 3 3 2 5 2 4" xfId="41903"/>
    <cellStyle name="Table  - Opmaakprofiel6 3 3 2 5 2 5" xfId="56295"/>
    <cellStyle name="Table  - Opmaakprofiel6 3 3 2 5 3" xfId="17656"/>
    <cellStyle name="Table  - Opmaakprofiel6 3 3 2 5 4" xfId="29708"/>
    <cellStyle name="Table  - Opmaakprofiel6 3 3 2 5 5" xfId="44360"/>
    <cellStyle name="Table  - Opmaakprofiel6 3 3 2 5 6" xfId="50582"/>
    <cellStyle name="Table  - Opmaakprofiel6 3 3 2 6" xfId="6296"/>
    <cellStyle name="Table  - Opmaakprofiel6 3 3 2 6 2" xfId="11331"/>
    <cellStyle name="Table  - Opmaakprofiel6 3 3 2 6 2 2" xfId="23629"/>
    <cellStyle name="Table  - Opmaakprofiel6 3 3 2 6 2 3" xfId="35681"/>
    <cellStyle name="Table  - Opmaakprofiel6 3 3 2 6 2 4" xfId="31994"/>
    <cellStyle name="Table  - Opmaakprofiel6 3 3 2 6 2 5" xfId="56296"/>
    <cellStyle name="Table  - Opmaakprofiel6 3 3 2 6 3" xfId="17657"/>
    <cellStyle name="Table  - Opmaakprofiel6 3 3 2 6 4" xfId="29709"/>
    <cellStyle name="Table  - Opmaakprofiel6 3 3 2 6 5" xfId="38115"/>
    <cellStyle name="Table  - Opmaakprofiel6 3 3 2 6 6" xfId="50583"/>
    <cellStyle name="Table  - Opmaakprofiel6 3 3 2 7" xfId="6297"/>
    <cellStyle name="Table  - Opmaakprofiel6 3 3 2 7 2" xfId="17658"/>
    <cellStyle name="Table  - Opmaakprofiel6 3 3 2 7 3" xfId="29710"/>
    <cellStyle name="Table  - Opmaakprofiel6 3 3 2 7 4" xfId="38114"/>
    <cellStyle name="Table  - Opmaakprofiel6 3 3 2 7 5" xfId="50584"/>
    <cellStyle name="Table  - Opmaakprofiel6 3 3 2 8" xfId="7540"/>
    <cellStyle name="Table  - Opmaakprofiel6 3 3 2 8 2" xfId="19838"/>
    <cellStyle name="Table  - Opmaakprofiel6 3 3 2 8 3" xfId="41641"/>
    <cellStyle name="Table  - Opmaakprofiel6 3 3 2 8 4" xfId="43466"/>
    <cellStyle name="Table  - Opmaakprofiel6 3 3 2 8 5" xfId="52510"/>
    <cellStyle name="Table  - Opmaakprofiel6 3 3 2 9" xfId="17652"/>
    <cellStyle name="Table  - Opmaakprofiel6 3 3 3" xfId="838"/>
    <cellStyle name="Table  - Opmaakprofiel6 3 3 3 2" xfId="1454"/>
    <cellStyle name="Table  - Opmaakprofiel6 3 3 3 2 2" xfId="11332"/>
    <cellStyle name="Table  - Opmaakprofiel6 3 3 3 2 2 2" xfId="23630"/>
    <cellStyle name="Table  - Opmaakprofiel6 3 3 3 2 2 3" xfId="35682"/>
    <cellStyle name="Table  - Opmaakprofiel6 3 3 3 2 2 4" xfId="41902"/>
    <cellStyle name="Table  - Opmaakprofiel6 3 3 3 2 2 5" xfId="56297"/>
    <cellStyle name="Table  - Opmaakprofiel6 3 3 3 2 3" xfId="17660"/>
    <cellStyle name="Table  - Opmaakprofiel6 3 3 3 2 4" xfId="29712"/>
    <cellStyle name="Table  - Opmaakprofiel6 3 3 3 2 5" xfId="38113"/>
    <cellStyle name="Table  - Opmaakprofiel6 3 3 3 2 6" xfId="50585"/>
    <cellStyle name="Table  - Opmaakprofiel6 3 3 3 3" xfId="2849"/>
    <cellStyle name="Table  - Opmaakprofiel6 3 3 3 3 2" xfId="11333"/>
    <cellStyle name="Table  - Opmaakprofiel6 3 3 3 3 2 2" xfId="23631"/>
    <cellStyle name="Table  - Opmaakprofiel6 3 3 3 3 2 3" xfId="35683"/>
    <cellStyle name="Table  - Opmaakprofiel6 3 3 3 3 2 4" xfId="31114"/>
    <cellStyle name="Table  - Opmaakprofiel6 3 3 3 3 2 5" xfId="56298"/>
    <cellStyle name="Table  - Opmaakprofiel6 3 3 3 3 3" xfId="17661"/>
    <cellStyle name="Table  - Opmaakprofiel6 3 3 3 3 4" xfId="29713"/>
    <cellStyle name="Table  - Opmaakprofiel6 3 3 3 3 5" xfId="38112"/>
    <cellStyle name="Table  - Opmaakprofiel6 3 3 3 3 6" xfId="50586"/>
    <cellStyle name="Table  - Opmaakprofiel6 3 3 3 4" xfId="3704"/>
    <cellStyle name="Table  - Opmaakprofiel6 3 3 3 4 2" xfId="11334"/>
    <cellStyle name="Table  - Opmaakprofiel6 3 3 3 4 2 2" xfId="23632"/>
    <cellStyle name="Table  - Opmaakprofiel6 3 3 3 4 2 3" xfId="35684"/>
    <cellStyle name="Table  - Opmaakprofiel6 3 3 3 4 2 4" xfId="41901"/>
    <cellStyle name="Table  - Opmaakprofiel6 3 3 3 4 2 5" xfId="56299"/>
    <cellStyle name="Table  - Opmaakprofiel6 3 3 3 4 3" xfId="17662"/>
    <cellStyle name="Table  - Opmaakprofiel6 3 3 3 4 4" xfId="29714"/>
    <cellStyle name="Table  - Opmaakprofiel6 3 3 3 4 5" xfId="38111"/>
    <cellStyle name="Table  - Opmaakprofiel6 3 3 3 4 6" xfId="50587"/>
    <cellStyle name="Table  - Opmaakprofiel6 3 3 3 5" xfId="6298"/>
    <cellStyle name="Table  - Opmaakprofiel6 3 3 3 5 2" xfId="11335"/>
    <cellStyle name="Table  - Opmaakprofiel6 3 3 3 5 2 2" xfId="23633"/>
    <cellStyle name="Table  - Opmaakprofiel6 3 3 3 5 2 3" xfId="35685"/>
    <cellStyle name="Table  - Opmaakprofiel6 3 3 3 5 2 4" xfId="34242"/>
    <cellStyle name="Table  - Opmaakprofiel6 3 3 3 5 2 5" xfId="56300"/>
    <cellStyle name="Table  - Opmaakprofiel6 3 3 3 5 3" xfId="17663"/>
    <cellStyle name="Table  - Opmaakprofiel6 3 3 3 5 4" xfId="29715"/>
    <cellStyle name="Table  - Opmaakprofiel6 3 3 3 5 5" xfId="38110"/>
    <cellStyle name="Table  - Opmaakprofiel6 3 3 3 5 6" xfId="50588"/>
    <cellStyle name="Table  - Opmaakprofiel6 3 3 3 6" xfId="6299"/>
    <cellStyle name="Table  - Opmaakprofiel6 3 3 3 6 2" xfId="11336"/>
    <cellStyle name="Table  - Opmaakprofiel6 3 3 3 6 2 2" xfId="23634"/>
    <cellStyle name="Table  - Opmaakprofiel6 3 3 3 6 2 3" xfId="35686"/>
    <cellStyle name="Table  - Opmaakprofiel6 3 3 3 6 2 4" xfId="41900"/>
    <cellStyle name="Table  - Opmaakprofiel6 3 3 3 6 2 5" xfId="56301"/>
    <cellStyle name="Table  - Opmaakprofiel6 3 3 3 6 3" xfId="17664"/>
    <cellStyle name="Table  - Opmaakprofiel6 3 3 3 6 4" xfId="29716"/>
    <cellStyle name="Table  - Opmaakprofiel6 3 3 3 6 5" xfId="44356"/>
    <cellStyle name="Table  - Opmaakprofiel6 3 3 3 6 6" xfId="50589"/>
    <cellStyle name="Table  - Opmaakprofiel6 3 3 3 7" xfId="6300"/>
    <cellStyle name="Table  - Opmaakprofiel6 3 3 3 7 2" xfId="17665"/>
    <cellStyle name="Table  - Opmaakprofiel6 3 3 3 7 3" xfId="29717"/>
    <cellStyle name="Table  - Opmaakprofiel6 3 3 3 7 4" xfId="38109"/>
    <cellStyle name="Table  - Opmaakprofiel6 3 3 3 7 5" xfId="50590"/>
    <cellStyle name="Table  - Opmaakprofiel6 3 3 3 8" xfId="7422"/>
    <cellStyle name="Table  - Opmaakprofiel6 3 3 3 8 2" xfId="19720"/>
    <cellStyle name="Table  - Opmaakprofiel6 3 3 3 8 3" xfId="41523"/>
    <cellStyle name="Table  - Opmaakprofiel6 3 3 3 8 4" xfId="43515"/>
    <cellStyle name="Table  - Opmaakprofiel6 3 3 3 8 5" xfId="52392"/>
    <cellStyle name="Table  - Opmaakprofiel6 3 3 3 9" xfId="17659"/>
    <cellStyle name="Table  - Opmaakprofiel6 3 3 4" xfId="469"/>
    <cellStyle name="Table  - Opmaakprofiel6 3 3 4 2" xfId="2008"/>
    <cellStyle name="Table  - Opmaakprofiel6 3 3 4 2 2" xfId="11337"/>
    <cellStyle name="Table  - Opmaakprofiel6 3 3 4 2 2 2" xfId="23635"/>
    <cellStyle name="Table  - Opmaakprofiel6 3 3 4 2 2 3" xfId="35687"/>
    <cellStyle name="Table  - Opmaakprofiel6 3 3 4 2 2 4" xfId="31121"/>
    <cellStyle name="Table  - Opmaakprofiel6 3 3 4 2 2 5" xfId="56302"/>
    <cellStyle name="Table  - Opmaakprofiel6 3 3 4 2 3" xfId="17667"/>
    <cellStyle name="Table  - Opmaakprofiel6 3 3 4 2 4" xfId="29719"/>
    <cellStyle name="Table  - Opmaakprofiel6 3 3 4 2 5" xfId="44355"/>
    <cellStyle name="Table  - Opmaakprofiel6 3 3 4 2 6" xfId="50591"/>
    <cellStyle name="Table  - Opmaakprofiel6 3 3 4 3" xfId="2540"/>
    <cellStyle name="Table  - Opmaakprofiel6 3 3 4 3 2" xfId="11338"/>
    <cellStyle name="Table  - Opmaakprofiel6 3 3 4 3 2 2" xfId="23636"/>
    <cellStyle name="Table  - Opmaakprofiel6 3 3 4 3 2 3" xfId="35688"/>
    <cellStyle name="Table  - Opmaakprofiel6 3 3 4 3 2 4" xfId="31951"/>
    <cellStyle name="Table  - Opmaakprofiel6 3 3 4 3 2 5" xfId="56303"/>
    <cellStyle name="Table  - Opmaakprofiel6 3 3 4 3 3" xfId="17668"/>
    <cellStyle name="Table  - Opmaakprofiel6 3 3 4 3 4" xfId="29720"/>
    <cellStyle name="Table  - Opmaakprofiel6 3 3 4 3 5" xfId="38107"/>
    <cellStyle name="Table  - Opmaakprofiel6 3 3 4 3 6" xfId="50592"/>
    <cellStyle name="Table  - Opmaakprofiel6 3 3 4 4" xfId="3427"/>
    <cellStyle name="Table  - Opmaakprofiel6 3 3 4 4 2" xfId="11339"/>
    <cellStyle name="Table  - Opmaakprofiel6 3 3 4 4 2 2" xfId="23637"/>
    <cellStyle name="Table  - Opmaakprofiel6 3 3 4 4 2 3" xfId="35689"/>
    <cellStyle name="Table  - Opmaakprofiel6 3 3 4 4 2 4" xfId="31131"/>
    <cellStyle name="Table  - Opmaakprofiel6 3 3 4 4 2 5" xfId="56304"/>
    <cellStyle name="Table  - Opmaakprofiel6 3 3 4 4 3" xfId="17669"/>
    <cellStyle name="Table  - Opmaakprofiel6 3 3 4 4 4" xfId="29721"/>
    <cellStyle name="Table  - Opmaakprofiel6 3 3 4 4 5" xfId="38106"/>
    <cellStyle name="Table  - Opmaakprofiel6 3 3 4 4 6" xfId="50593"/>
    <cellStyle name="Table  - Opmaakprofiel6 3 3 4 5" xfId="6301"/>
    <cellStyle name="Table  - Opmaakprofiel6 3 3 4 5 2" xfId="11340"/>
    <cellStyle name="Table  - Opmaakprofiel6 3 3 4 5 2 2" xfId="23638"/>
    <cellStyle name="Table  - Opmaakprofiel6 3 3 4 5 2 3" xfId="35690"/>
    <cellStyle name="Table  - Opmaakprofiel6 3 3 4 5 2 4" xfId="41899"/>
    <cellStyle name="Table  - Opmaakprofiel6 3 3 4 5 2 5" xfId="56305"/>
    <cellStyle name="Table  - Opmaakprofiel6 3 3 4 5 3" xfId="17670"/>
    <cellStyle name="Table  - Opmaakprofiel6 3 3 4 5 4" xfId="29722"/>
    <cellStyle name="Table  - Opmaakprofiel6 3 3 4 5 5" xfId="38105"/>
    <cellStyle name="Table  - Opmaakprofiel6 3 3 4 5 6" xfId="50594"/>
    <cellStyle name="Table  - Opmaakprofiel6 3 3 4 6" xfId="6302"/>
    <cellStyle name="Table  - Opmaakprofiel6 3 3 4 6 2" xfId="11341"/>
    <cellStyle name="Table  - Opmaakprofiel6 3 3 4 6 2 2" xfId="23639"/>
    <cellStyle name="Table  - Opmaakprofiel6 3 3 4 6 2 3" xfId="35691"/>
    <cellStyle name="Table  - Opmaakprofiel6 3 3 4 6 2 4" xfId="31132"/>
    <cellStyle name="Table  - Opmaakprofiel6 3 3 4 6 2 5" xfId="56306"/>
    <cellStyle name="Table  - Opmaakprofiel6 3 3 4 6 3" xfId="17671"/>
    <cellStyle name="Table  - Opmaakprofiel6 3 3 4 6 4" xfId="29723"/>
    <cellStyle name="Table  - Opmaakprofiel6 3 3 4 6 5" xfId="38104"/>
    <cellStyle name="Table  - Opmaakprofiel6 3 3 4 6 6" xfId="50595"/>
    <cellStyle name="Table  - Opmaakprofiel6 3 3 4 7" xfId="6303"/>
    <cellStyle name="Table  - Opmaakprofiel6 3 3 4 7 2" xfId="17672"/>
    <cellStyle name="Table  - Opmaakprofiel6 3 3 4 7 3" xfId="29724"/>
    <cellStyle name="Table  - Opmaakprofiel6 3 3 4 7 4" xfId="44352"/>
    <cellStyle name="Table  - Opmaakprofiel6 3 3 4 7 5" xfId="50596"/>
    <cellStyle name="Table  - Opmaakprofiel6 3 3 4 8" xfId="7670"/>
    <cellStyle name="Table  - Opmaakprofiel6 3 3 4 8 2" xfId="19968"/>
    <cellStyle name="Table  - Opmaakprofiel6 3 3 4 8 3" xfId="41771"/>
    <cellStyle name="Table  - Opmaakprofiel6 3 3 4 8 4" xfId="43412"/>
    <cellStyle name="Table  - Opmaakprofiel6 3 3 4 8 5" xfId="52640"/>
    <cellStyle name="Table  - Opmaakprofiel6 3 3 4 9" xfId="17666"/>
    <cellStyle name="Table  - Opmaakprofiel6 3 3 5" xfId="1025"/>
    <cellStyle name="Table  - Opmaakprofiel6 3 3 5 2" xfId="2336"/>
    <cellStyle name="Table  - Opmaakprofiel6 3 3 5 2 2" xfId="11342"/>
    <cellStyle name="Table  - Opmaakprofiel6 3 3 5 2 2 2" xfId="23640"/>
    <cellStyle name="Table  - Opmaakprofiel6 3 3 5 2 2 3" xfId="35692"/>
    <cellStyle name="Table  - Opmaakprofiel6 3 3 5 2 2 4" xfId="41898"/>
    <cellStyle name="Table  - Opmaakprofiel6 3 3 5 2 2 5" xfId="56307"/>
    <cellStyle name="Table  - Opmaakprofiel6 3 3 5 2 3" xfId="17674"/>
    <cellStyle name="Table  - Opmaakprofiel6 3 3 5 2 4" xfId="29726"/>
    <cellStyle name="Table  - Opmaakprofiel6 3 3 5 2 5" xfId="38102"/>
    <cellStyle name="Table  - Opmaakprofiel6 3 3 5 2 6" xfId="50597"/>
    <cellStyle name="Table  - Opmaakprofiel6 3 3 5 3" xfId="3036"/>
    <cellStyle name="Table  - Opmaakprofiel6 3 3 5 3 2" xfId="11343"/>
    <cellStyle name="Table  - Opmaakprofiel6 3 3 5 3 2 2" xfId="23641"/>
    <cellStyle name="Table  - Opmaakprofiel6 3 3 5 3 2 3" xfId="35693"/>
    <cellStyle name="Table  - Opmaakprofiel6 3 3 5 3 2 4" xfId="31369"/>
    <cellStyle name="Table  - Opmaakprofiel6 3 3 5 3 2 5" xfId="56308"/>
    <cellStyle name="Table  - Opmaakprofiel6 3 3 5 3 3" xfId="17675"/>
    <cellStyle name="Table  - Opmaakprofiel6 3 3 5 3 4" xfId="29727"/>
    <cellStyle name="Table  - Opmaakprofiel6 3 3 5 3 5" xfId="44351"/>
    <cellStyle name="Table  - Opmaakprofiel6 3 3 5 3 6" xfId="50598"/>
    <cellStyle name="Table  - Opmaakprofiel6 3 3 5 4" xfId="3879"/>
    <cellStyle name="Table  - Opmaakprofiel6 3 3 5 4 2" xfId="11344"/>
    <cellStyle name="Table  - Opmaakprofiel6 3 3 5 4 2 2" xfId="23642"/>
    <cellStyle name="Table  - Opmaakprofiel6 3 3 5 4 2 3" xfId="35694"/>
    <cellStyle name="Table  - Opmaakprofiel6 3 3 5 4 2 4" xfId="32113"/>
    <cellStyle name="Table  - Opmaakprofiel6 3 3 5 4 2 5" xfId="56309"/>
    <cellStyle name="Table  - Opmaakprofiel6 3 3 5 4 3" xfId="17676"/>
    <cellStyle name="Table  - Opmaakprofiel6 3 3 5 4 4" xfId="29728"/>
    <cellStyle name="Table  - Opmaakprofiel6 3 3 5 4 5" xfId="38101"/>
    <cellStyle name="Table  - Opmaakprofiel6 3 3 5 4 6" xfId="50599"/>
    <cellStyle name="Table  - Opmaakprofiel6 3 3 5 5" xfId="6304"/>
    <cellStyle name="Table  - Opmaakprofiel6 3 3 5 5 2" xfId="11345"/>
    <cellStyle name="Table  - Opmaakprofiel6 3 3 5 5 2 2" xfId="23643"/>
    <cellStyle name="Table  - Opmaakprofiel6 3 3 5 5 2 3" xfId="35695"/>
    <cellStyle name="Table  - Opmaakprofiel6 3 3 5 5 2 4" xfId="31145"/>
    <cellStyle name="Table  - Opmaakprofiel6 3 3 5 5 2 5" xfId="56310"/>
    <cellStyle name="Table  - Opmaakprofiel6 3 3 5 5 3" xfId="17677"/>
    <cellStyle name="Table  - Opmaakprofiel6 3 3 5 5 4" xfId="29729"/>
    <cellStyle name="Table  - Opmaakprofiel6 3 3 5 5 5" xfId="38100"/>
    <cellStyle name="Table  - Opmaakprofiel6 3 3 5 5 6" xfId="50600"/>
    <cellStyle name="Table  - Opmaakprofiel6 3 3 5 6" xfId="6305"/>
    <cellStyle name="Table  - Opmaakprofiel6 3 3 5 6 2" xfId="11346"/>
    <cellStyle name="Table  - Opmaakprofiel6 3 3 5 6 2 2" xfId="23644"/>
    <cellStyle name="Table  - Opmaakprofiel6 3 3 5 6 2 3" xfId="35696"/>
    <cellStyle name="Table  - Opmaakprofiel6 3 3 5 6 2 4" xfId="32112"/>
    <cellStyle name="Table  - Opmaakprofiel6 3 3 5 6 2 5" xfId="56311"/>
    <cellStyle name="Table  - Opmaakprofiel6 3 3 5 6 3" xfId="17678"/>
    <cellStyle name="Table  - Opmaakprofiel6 3 3 5 6 4" xfId="29730"/>
    <cellStyle name="Table  - Opmaakprofiel6 3 3 5 6 5" xfId="38099"/>
    <cellStyle name="Table  - Opmaakprofiel6 3 3 5 6 6" xfId="50601"/>
    <cellStyle name="Table  - Opmaakprofiel6 3 3 5 7" xfId="6306"/>
    <cellStyle name="Table  - Opmaakprofiel6 3 3 5 7 2" xfId="17679"/>
    <cellStyle name="Table  - Opmaakprofiel6 3 3 5 7 3" xfId="29731"/>
    <cellStyle name="Table  - Opmaakprofiel6 3 3 5 7 4" xfId="38098"/>
    <cellStyle name="Table  - Opmaakprofiel6 3 3 5 7 5" xfId="50602"/>
    <cellStyle name="Table  - Opmaakprofiel6 3 3 5 8" xfId="9981"/>
    <cellStyle name="Table  - Opmaakprofiel6 3 3 5 8 2" xfId="22279"/>
    <cellStyle name="Table  - Opmaakprofiel6 3 3 5 8 3" xfId="44044"/>
    <cellStyle name="Table  - Opmaakprofiel6 3 3 5 8 4" xfId="32127"/>
    <cellStyle name="Table  - Opmaakprofiel6 3 3 5 8 5" xfId="54946"/>
    <cellStyle name="Table  - Opmaakprofiel6 3 3 5 9" xfId="17673"/>
    <cellStyle name="Table  - Opmaakprofiel6 3 3 6" xfId="1076"/>
    <cellStyle name="Table  - Opmaakprofiel6 3 3 6 2" xfId="2053"/>
    <cellStyle name="Table  - Opmaakprofiel6 3 3 6 2 2" xfId="11347"/>
    <cellStyle name="Table  - Opmaakprofiel6 3 3 6 2 2 2" xfId="23645"/>
    <cellStyle name="Table  - Opmaakprofiel6 3 3 6 2 2 3" xfId="35697"/>
    <cellStyle name="Table  - Opmaakprofiel6 3 3 6 2 2 4" xfId="31152"/>
    <cellStyle name="Table  - Opmaakprofiel6 3 3 6 2 2 5" xfId="56312"/>
    <cellStyle name="Table  - Opmaakprofiel6 3 3 6 2 3" xfId="17681"/>
    <cellStyle name="Table  - Opmaakprofiel6 3 3 6 2 4" xfId="29733"/>
    <cellStyle name="Table  - Opmaakprofiel6 3 3 6 2 5" xfId="38097"/>
    <cellStyle name="Table  - Opmaakprofiel6 3 3 6 2 6" xfId="50603"/>
    <cellStyle name="Table  - Opmaakprofiel6 3 3 6 3" xfId="3087"/>
    <cellStyle name="Table  - Opmaakprofiel6 3 3 6 3 2" xfId="11348"/>
    <cellStyle name="Table  - Opmaakprofiel6 3 3 6 3 2 2" xfId="23646"/>
    <cellStyle name="Table  - Opmaakprofiel6 3 3 6 3 2 3" xfId="35698"/>
    <cellStyle name="Table  - Opmaakprofiel6 3 3 6 3 2 4" xfId="34613"/>
    <cellStyle name="Table  - Opmaakprofiel6 3 3 6 3 2 5" xfId="56313"/>
    <cellStyle name="Table  - Opmaakprofiel6 3 3 6 3 3" xfId="17682"/>
    <cellStyle name="Table  - Opmaakprofiel6 3 3 6 3 4" xfId="29734"/>
    <cellStyle name="Table  - Opmaakprofiel6 3 3 6 3 5" xfId="38096"/>
    <cellStyle name="Table  - Opmaakprofiel6 3 3 6 3 6" xfId="50604"/>
    <cellStyle name="Table  - Opmaakprofiel6 3 3 6 4" xfId="3926"/>
    <cellStyle name="Table  - Opmaakprofiel6 3 3 6 4 2" xfId="11349"/>
    <cellStyle name="Table  - Opmaakprofiel6 3 3 6 4 2 2" xfId="23647"/>
    <cellStyle name="Table  - Opmaakprofiel6 3 3 6 4 2 3" xfId="35699"/>
    <cellStyle name="Table  - Opmaakprofiel6 3 3 6 4 2 4" xfId="31159"/>
    <cellStyle name="Table  - Opmaakprofiel6 3 3 6 4 2 5" xfId="56314"/>
    <cellStyle name="Table  - Opmaakprofiel6 3 3 6 4 3" xfId="17683"/>
    <cellStyle name="Table  - Opmaakprofiel6 3 3 6 4 4" xfId="29735"/>
    <cellStyle name="Table  - Opmaakprofiel6 3 3 6 4 5" xfId="44347"/>
    <cellStyle name="Table  - Opmaakprofiel6 3 3 6 4 6" xfId="50605"/>
    <cellStyle name="Table  - Opmaakprofiel6 3 3 6 5" xfId="6307"/>
    <cellStyle name="Table  - Opmaakprofiel6 3 3 6 5 2" xfId="11350"/>
    <cellStyle name="Table  - Opmaakprofiel6 3 3 6 5 2 2" xfId="23648"/>
    <cellStyle name="Table  - Opmaakprofiel6 3 3 6 5 2 3" xfId="35700"/>
    <cellStyle name="Table  - Opmaakprofiel6 3 3 6 5 2 4" xfId="32034"/>
    <cellStyle name="Table  - Opmaakprofiel6 3 3 6 5 2 5" xfId="56315"/>
    <cellStyle name="Table  - Opmaakprofiel6 3 3 6 5 3" xfId="17684"/>
    <cellStyle name="Table  - Opmaakprofiel6 3 3 6 5 4" xfId="29736"/>
    <cellStyle name="Table  - Opmaakprofiel6 3 3 6 5 5" xfId="38095"/>
    <cellStyle name="Table  - Opmaakprofiel6 3 3 6 5 6" xfId="50606"/>
    <cellStyle name="Table  - Opmaakprofiel6 3 3 6 6" xfId="6308"/>
    <cellStyle name="Table  - Opmaakprofiel6 3 3 6 6 2" xfId="11351"/>
    <cellStyle name="Table  - Opmaakprofiel6 3 3 6 6 2 2" xfId="23649"/>
    <cellStyle name="Table  - Opmaakprofiel6 3 3 6 6 2 3" xfId="35701"/>
    <cellStyle name="Table  - Opmaakprofiel6 3 3 6 6 2 4" xfId="31166"/>
    <cellStyle name="Table  - Opmaakprofiel6 3 3 6 6 2 5" xfId="56316"/>
    <cellStyle name="Table  - Opmaakprofiel6 3 3 6 6 3" xfId="17685"/>
    <cellStyle name="Table  - Opmaakprofiel6 3 3 6 6 4" xfId="29737"/>
    <cellStyle name="Table  - Opmaakprofiel6 3 3 6 6 5" xfId="38094"/>
    <cellStyle name="Table  - Opmaakprofiel6 3 3 6 6 6" xfId="50607"/>
    <cellStyle name="Table  - Opmaakprofiel6 3 3 6 7" xfId="6309"/>
    <cellStyle name="Table  - Opmaakprofiel6 3 3 6 7 2" xfId="17686"/>
    <cellStyle name="Table  - Opmaakprofiel6 3 3 6 7 3" xfId="29738"/>
    <cellStyle name="Table  - Opmaakprofiel6 3 3 6 7 4" xfId="38093"/>
    <cellStyle name="Table  - Opmaakprofiel6 3 3 6 7 5" xfId="50608"/>
    <cellStyle name="Table  - Opmaakprofiel6 3 3 6 8" xfId="9949"/>
    <cellStyle name="Table  - Opmaakprofiel6 3 3 6 8 2" xfId="22247"/>
    <cellStyle name="Table  - Opmaakprofiel6 3 3 6 8 3" xfId="44012"/>
    <cellStyle name="Table  - Opmaakprofiel6 3 3 6 8 4" xfId="28378"/>
    <cellStyle name="Table  - Opmaakprofiel6 3 3 6 8 5" xfId="54914"/>
    <cellStyle name="Table  - Opmaakprofiel6 3 3 6 9" xfId="17680"/>
    <cellStyle name="Table  - Opmaakprofiel6 3 3 7" xfId="852"/>
    <cellStyle name="Table  - Opmaakprofiel6 3 3 7 2" xfId="1447"/>
    <cellStyle name="Table  - Opmaakprofiel6 3 3 7 2 2" xfId="11352"/>
    <cellStyle name="Table  - Opmaakprofiel6 3 3 7 2 2 2" xfId="23650"/>
    <cellStyle name="Table  - Opmaakprofiel6 3 3 7 2 2 3" xfId="35702"/>
    <cellStyle name="Table  - Opmaakprofiel6 3 3 7 2 2 4" xfId="32010"/>
    <cellStyle name="Table  - Opmaakprofiel6 3 3 7 2 2 5" xfId="56317"/>
    <cellStyle name="Table  - Opmaakprofiel6 3 3 7 2 3" xfId="17688"/>
    <cellStyle name="Table  - Opmaakprofiel6 3 3 7 2 4" xfId="29740"/>
    <cellStyle name="Table  - Opmaakprofiel6 3 3 7 2 5" xfId="38092"/>
    <cellStyle name="Table  - Opmaakprofiel6 3 3 7 2 6" xfId="50609"/>
    <cellStyle name="Table  - Opmaakprofiel6 3 3 7 3" xfId="2863"/>
    <cellStyle name="Table  - Opmaakprofiel6 3 3 7 3 2" xfId="11353"/>
    <cellStyle name="Table  - Opmaakprofiel6 3 3 7 3 2 2" xfId="23651"/>
    <cellStyle name="Table  - Opmaakprofiel6 3 3 7 3 2 3" xfId="35703"/>
    <cellStyle name="Table  - Opmaakprofiel6 3 3 7 3 2 4" xfId="31173"/>
    <cellStyle name="Table  - Opmaakprofiel6 3 3 7 3 2 5" xfId="56318"/>
    <cellStyle name="Table  - Opmaakprofiel6 3 3 7 3 3" xfId="17689"/>
    <cellStyle name="Table  - Opmaakprofiel6 3 3 7 3 4" xfId="29741"/>
    <cellStyle name="Table  - Opmaakprofiel6 3 3 7 3 5" xfId="38091"/>
    <cellStyle name="Table  - Opmaakprofiel6 3 3 7 3 6" xfId="50610"/>
    <cellStyle name="Table  - Opmaakprofiel6 3 3 7 4" xfId="3716"/>
    <cellStyle name="Table  - Opmaakprofiel6 3 3 7 4 2" xfId="11354"/>
    <cellStyle name="Table  - Opmaakprofiel6 3 3 7 4 2 2" xfId="23652"/>
    <cellStyle name="Table  - Opmaakprofiel6 3 3 7 4 2 3" xfId="35704"/>
    <cellStyle name="Table  - Opmaakprofiel6 3 3 7 4 2 4" xfId="31726"/>
    <cellStyle name="Table  - Opmaakprofiel6 3 3 7 4 2 5" xfId="56319"/>
    <cellStyle name="Table  - Opmaakprofiel6 3 3 7 4 3" xfId="17690"/>
    <cellStyle name="Table  - Opmaakprofiel6 3 3 7 4 4" xfId="29742"/>
    <cellStyle name="Table  - Opmaakprofiel6 3 3 7 4 5" xfId="44344"/>
    <cellStyle name="Table  - Opmaakprofiel6 3 3 7 4 6" xfId="50611"/>
    <cellStyle name="Table  - Opmaakprofiel6 3 3 7 5" xfId="6310"/>
    <cellStyle name="Table  - Opmaakprofiel6 3 3 7 5 2" xfId="11355"/>
    <cellStyle name="Table  - Opmaakprofiel6 3 3 7 5 2 2" xfId="23653"/>
    <cellStyle name="Table  - Opmaakprofiel6 3 3 7 5 2 3" xfId="35705"/>
    <cellStyle name="Table  - Opmaakprofiel6 3 3 7 5 2 4" xfId="31180"/>
    <cellStyle name="Table  - Opmaakprofiel6 3 3 7 5 2 5" xfId="56320"/>
    <cellStyle name="Table  - Opmaakprofiel6 3 3 7 5 3" xfId="17691"/>
    <cellStyle name="Table  - Opmaakprofiel6 3 3 7 5 4" xfId="29743"/>
    <cellStyle name="Table  - Opmaakprofiel6 3 3 7 5 5" xfId="38090"/>
    <cellStyle name="Table  - Opmaakprofiel6 3 3 7 5 6" xfId="50612"/>
    <cellStyle name="Table  - Opmaakprofiel6 3 3 7 6" xfId="6311"/>
    <cellStyle name="Table  - Opmaakprofiel6 3 3 7 6 2" xfId="11356"/>
    <cellStyle name="Table  - Opmaakprofiel6 3 3 7 6 2 2" xfId="23654"/>
    <cellStyle name="Table  - Opmaakprofiel6 3 3 7 6 2 3" xfId="35706"/>
    <cellStyle name="Table  - Opmaakprofiel6 3 3 7 6 2 4" xfId="31896"/>
    <cellStyle name="Table  - Opmaakprofiel6 3 3 7 6 2 5" xfId="56321"/>
    <cellStyle name="Table  - Opmaakprofiel6 3 3 7 6 3" xfId="17692"/>
    <cellStyle name="Table  - Opmaakprofiel6 3 3 7 6 4" xfId="29744"/>
    <cellStyle name="Table  - Opmaakprofiel6 3 3 7 6 5" xfId="38089"/>
    <cellStyle name="Table  - Opmaakprofiel6 3 3 7 6 6" xfId="50613"/>
    <cellStyle name="Table  - Opmaakprofiel6 3 3 7 7" xfId="6312"/>
    <cellStyle name="Table  - Opmaakprofiel6 3 3 7 7 2" xfId="17693"/>
    <cellStyle name="Table  - Opmaakprofiel6 3 3 7 7 3" xfId="29745"/>
    <cellStyle name="Table  - Opmaakprofiel6 3 3 7 7 4" xfId="44343"/>
    <cellStyle name="Table  - Opmaakprofiel6 3 3 7 7 5" xfId="50614"/>
    <cellStyle name="Table  - Opmaakprofiel6 3 3 7 8" xfId="7411"/>
    <cellStyle name="Table  - Opmaakprofiel6 3 3 7 8 2" xfId="19709"/>
    <cellStyle name="Table  - Opmaakprofiel6 3 3 7 8 3" xfId="41512"/>
    <cellStyle name="Table  - Opmaakprofiel6 3 3 7 8 4" xfId="15572"/>
    <cellStyle name="Table  - Opmaakprofiel6 3 3 7 8 5" xfId="52381"/>
    <cellStyle name="Table  - Opmaakprofiel6 3 3 7 9" xfId="17687"/>
    <cellStyle name="Table  - Opmaakprofiel6 3 3 8" xfId="1330"/>
    <cellStyle name="Table  - Opmaakprofiel6 3 3 8 2" xfId="2166"/>
    <cellStyle name="Table  - Opmaakprofiel6 3 3 8 2 2" xfId="11357"/>
    <cellStyle name="Table  - Opmaakprofiel6 3 3 8 2 2 2" xfId="23655"/>
    <cellStyle name="Table  - Opmaakprofiel6 3 3 8 2 2 3" xfId="35707"/>
    <cellStyle name="Table  - Opmaakprofiel6 3 3 8 2 2 4" xfId="31187"/>
    <cellStyle name="Table  - Opmaakprofiel6 3 3 8 2 2 5" xfId="56322"/>
    <cellStyle name="Table  - Opmaakprofiel6 3 3 8 2 3" xfId="17695"/>
    <cellStyle name="Table  - Opmaakprofiel6 3 3 8 2 4" xfId="29747"/>
    <cellStyle name="Table  - Opmaakprofiel6 3 3 8 2 5" xfId="38088"/>
    <cellStyle name="Table  - Opmaakprofiel6 3 3 8 2 6" xfId="50615"/>
    <cellStyle name="Table  - Opmaakprofiel6 3 3 8 3" xfId="3341"/>
    <cellStyle name="Table  - Opmaakprofiel6 3 3 8 3 2" xfId="11358"/>
    <cellStyle name="Table  - Opmaakprofiel6 3 3 8 3 2 2" xfId="23656"/>
    <cellStyle name="Table  - Opmaakprofiel6 3 3 8 3 2 3" xfId="35708"/>
    <cellStyle name="Table  - Opmaakprofiel6 3 3 8 3 2 4" xfId="31906"/>
    <cellStyle name="Table  - Opmaakprofiel6 3 3 8 3 2 5" xfId="56323"/>
    <cellStyle name="Table  - Opmaakprofiel6 3 3 8 3 3" xfId="17696"/>
    <cellStyle name="Table  - Opmaakprofiel6 3 3 8 3 4" xfId="29748"/>
    <cellStyle name="Table  - Opmaakprofiel6 3 3 8 3 5" xfId="38087"/>
    <cellStyle name="Table  - Opmaakprofiel6 3 3 8 3 6" xfId="50616"/>
    <cellStyle name="Table  - Opmaakprofiel6 3 3 8 4" xfId="4122"/>
    <cellStyle name="Table  - Opmaakprofiel6 3 3 8 4 2" xfId="11359"/>
    <cellStyle name="Table  - Opmaakprofiel6 3 3 8 4 2 2" xfId="23657"/>
    <cellStyle name="Table  - Opmaakprofiel6 3 3 8 4 2 3" xfId="35709"/>
    <cellStyle name="Table  - Opmaakprofiel6 3 3 8 4 2 4" xfId="31194"/>
    <cellStyle name="Table  - Opmaakprofiel6 3 3 8 4 2 5" xfId="56324"/>
    <cellStyle name="Table  - Opmaakprofiel6 3 3 8 4 3" xfId="17697"/>
    <cellStyle name="Table  - Opmaakprofiel6 3 3 8 4 4" xfId="29749"/>
    <cellStyle name="Table  - Opmaakprofiel6 3 3 8 4 5" xfId="44341"/>
    <cellStyle name="Table  - Opmaakprofiel6 3 3 8 4 6" xfId="50617"/>
    <cellStyle name="Table  - Opmaakprofiel6 3 3 8 5" xfId="6313"/>
    <cellStyle name="Table  - Opmaakprofiel6 3 3 8 5 2" xfId="11360"/>
    <cellStyle name="Table  - Opmaakprofiel6 3 3 8 5 2 2" xfId="23658"/>
    <cellStyle name="Table  - Opmaakprofiel6 3 3 8 5 2 3" xfId="35710"/>
    <cellStyle name="Table  - Opmaakprofiel6 3 3 8 5 2 4" xfId="31415"/>
    <cellStyle name="Table  - Opmaakprofiel6 3 3 8 5 2 5" xfId="56325"/>
    <cellStyle name="Table  - Opmaakprofiel6 3 3 8 5 3" xfId="17698"/>
    <cellStyle name="Table  - Opmaakprofiel6 3 3 8 5 4" xfId="29750"/>
    <cellStyle name="Table  - Opmaakprofiel6 3 3 8 5 5" xfId="38086"/>
    <cellStyle name="Table  - Opmaakprofiel6 3 3 8 5 6" xfId="50618"/>
    <cellStyle name="Table  - Opmaakprofiel6 3 3 8 6" xfId="6314"/>
    <cellStyle name="Table  - Opmaakprofiel6 3 3 8 6 2" xfId="11361"/>
    <cellStyle name="Table  - Opmaakprofiel6 3 3 8 6 2 2" xfId="23659"/>
    <cellStyle name="Table  - Opmaakprofiel6 3 3 8 6 2 3" xfId="35711"/>
    <cellStyle name="Table  - Opmaakprofiel6 3 3 8 6 2 4" xfId="31201"/>
    <cellStyle name="Table  - Opmaakprofiel6 3 3 8 6 2 5" xfId="56326"/>
    <cellStyle name="Table  - Opmaakprofiel6 3 3 8 6 3" xfId="17699"/>
    <cellStyle name="Table  - Opmaakprofiel6 3 3 8 6 4" xfId="29751"/>
    <cellStyle name="Table  - Opmaakprofiel6 3 3 8 6 5" xfId="38085"/>
    <cellStyle name="Table  - Opmaakprofiel6 3 3 8 6 6" xfId="50619"/>
    <cellStyle name="Table  - Opmaakprofiel6 3 3 8 7" xfId="6315"/>
    <cellStyle name="Table  - Opmaakprofiel6 3 3 8 7 2" xfId="17700"/>
    <cellStyle name="Table  - Opmaakprofiel6 3 3 8 7 3" xfId="29752"/>
    <cellStyle name="Table  - Opmaakprofiel6 3 3 8 7 4" xfId="38084"/>
    <cellStyle name="Table  - Opmaakprofiel6 3 3 8 7 5" xfId="50620"/>
    <cellStyle name="Table  - Opmaakprofiel6 3 3 8 8" xfId="7050"/>
    <cellStyle name="Table  - Opmaakprofiel6 3 3 8 8 2" xfId="19348"/>
    <cellStyle name="Table  - Opmaakprofiel6 3 3 8 8 3" xfId="41151"/>
    <cellStyle name="Table  - Opmaakprofiel6 3 3 8 8 4" xfId="37004"/>
    <cellStyle name="Table  - Opmaakprofiel6 3 3 8 8 5" xfId="52021"/>
    <cellStyle name="Table  - Opmaakprofiel6 3 3 8 9" xfId="17694"/>
    <cellStyle name="Table  - Opmaakprofiel6 3 3 9" xfId="1386"/>
    <cellStyle name="Table  - Opmaakprofiel6 3 3 9 2" xfId="168"/>
    <cellStyle name="Table  - Opmaakprofiel6 3 3 9 2 2" xfId="11362"/>
    <cellStyle name="Table  - Opmaakprofiel6 3 3 9 2 2 2" xfId="23660"/>
    <cellStyle name="Table  - Opmaakprofiel6 3 3 9 2 2 3" xfId="35712"/>
    <cellStyle name="Table  - Opmaakprofiel6 3 3 9 2 2 4" xfId="31367"/>
    <cellStyle name="Table  - Opmaakprofiel6 3 3 9 2 2 5" xfId="56327"/>
    <cellStyle name="Table  - Opmaakprofiel6 3 3 9 2 3" xfId="17702"/>
    <cellStyle name="Table  - Opmaakprofiel6 3 3 9 2 4" xfId="29754"/>
    <cellStyle name="Table  - Opmaakprofiel6 3 3 9 2 5" xfId="38082"/>
    <cellStyle name="Table  - Opmaakprofiel6 3 3 9 2 6" xfId="50621"/>
    <cellStyle name="Table  - Opmaakprofiel6 3 3 9 3" xfId="3397"/>
    <cellStyle name="Table  - Opmaakprofiel6 3 3 9 3 2" xfId="11363"/>
    <cellStyle name="Table  - Opmaakprofiel6 3 3 9 3 2 2" xfId="23661"/>
    <cellStyle name="Table  - Opmaakprofiel6 3 3 9 3 2 3" xfId="35713"/>
    <cellStyle name="Table  - Opmaakprofiel6 3 3 9 3 2 4" xfId="31208"/>
    <cellStyle name="Table  - Opmaakprofiel6 3 3 9 3 2 5" xfId="56328"/>
    <cellStyle name="Table  - Opmaakprofiel6 3 3 9 3 3" xfId="17703"/>
    <cellStyle name="Table  - Opmaakprofiel6 3 3 9 3 4" xfId="29755"/>
    <cellStyle name="Table  - Opmaakprofiel6 3 3 9 3 5" xfId="44337"/>
    <cellStyle name="Table  - Opmaakprofiel6 3 3 9 3 6" xfId="50622"/>
    <cellStyle name="Table  - Opmaakprofiel6 3 3 9 4" xfId="4158"/>
    <cellStyle name="Table  - Opmaakprofiel6 3 3 9 4 2" xfId="11364"/>
    <cellStyle name="Table  - Opmaakprofiel6 3 3 9 4 2 2" xfId="23662"/>
    <cellStyle name="Table  - Opmaakprofiel6 3 3 9 4 2 3" xfId="35714"/>
    <cellStyle name="Table  - Opmaakprofiel6 3 3 9 4 2 4" xfId="31929"/>
    <cellStyle name="Table  - Opmaakprofiel6 3 3 9 4 2 5" xfId="56329"/>
    <cellStyle name="Table  - Opmaakprofiel6 3 3 9 4 3" xfId="17704"/>
    <cellStyle name="Table  - Opmaakprofiel6 3 3 9 4 4" xfId="29756"/>
    <cellStyle name="Table  - Opmaakprofiel6 3 3 9 4 5" xfId="38081"/>
    <cellStyle name="Table  - Opmaakprofiel6 3 3 9 4 6" xfId="50623"/>
    <cellStyle name="Table  - Opmaakprofiel6 3 3 9 5" xfId="6316"/>
    <cellStyle name="Table  - Opmaakprofiel6 3 3 9 5 2" xfId="11365"/>
    <cellStyle name="Table  - Opmaakprofiel6 3 3 9 5 2 2" xfId="23663"/>
    <cellStyle name="Table  - Opmaakprofiel6 3 3 9 5 2 3" xfId="35715"/>
    <cellStyle name="Table  - Opmaakprofiel6 3 3 9 5 2 4" xfId="31215"/>
    <cellStyle name="Table  - Opmaakprofiel6 3 3 9 5 2 5" xfId="56330"/>
    <cellStyle name="Table  - Opmaakprofiel6 3 3 9 5 3" xfId="17705"/>
    <cellStyle name="Table  - Opmaakprofiel6 3 3 9 5 4" xfId="29757"/>
    <cellStyle name="Table  - Opmaakprofiel6 3 3 9 5 5" xfId="38080"/>
    <cellStyle name="Table  - Opmaakprofiel6 3 3 9 5 6" xfId="50624"/>
    <cellStyle name="Table  - Opmaakprofiel6 3 3 9 6" xfId="6317"/>
    <cellStyle name="Table  - Opmaakprofiel6 3 3 9 6 2" xfId="11366"/>
    <cellStyle name="Table  - Opmaakprofiel6 3 3 9 6 2 2" xfId="23664"/>
    <cellStyle name="Table  - Opmaakprofiel6 3 3 9 6 2 3" xfId="35716"/>
    <cellStyle name="Table  - Opmaakprofiel6 3 3 9 6 2 4" xfId="31960"/>
    <cellStyle name="Table  - Opmaakprofiel6 3 3 9 6 2 5" xfId="56331"/>
    <cellStyle name="Table  - Opmaakprofiel6 3 3 9 6 3" xfId="17706"/>
    <cellStyle name="Table  - Opmaakprofiel6 3 3 9 6 4" xfId="29758"/>
    <cellStyle name="Table  - Opmaakprofiel6 3 3 9 6 5" xfId="44336"/>
    <cellStyle name="Table  - Opmaakprofiel6 3 3 9 6 6" xfId="50625"/>
    <cellStyle name="Table  - Opmaakprofiel6 3 3 9 7" xfId="6318"/>
    <cellStyle name="Table  - Opmaakprofiel6 3 3 9 7 2" xfId="17707"/>
    <cellStyle name="Table  - Opmaakprofiel6 3 3 9 7 3" xfId="29759"/>
    <cellStyle name="Table  - Opmaakprofiel6 3 3 9 7 4" xfId="38079"/>
    <cellStyle name="Table  - Opmaakprofiel6 3 3 9 7 5" xfId="50626"/>
    <cellStyle name="Table  - Opmaakprofiel6 3 3 9 8" xfId="7002"/>
    <cellStyle name="Table  - Opmaakprofiel6 3 3 9 8 2" xfId="19300"/>
    <cellStyle name="Table  - Opmaakprofiel6 3 3 9 8 3" xfId="41103"/>
    <cellStyle name="Table  - Opmaakprofiel6 3 3 9 8 4" xfId="37033"/>
    <cellStyle name="Table  - Opmaakprofiel6 3 3 9 8 5" xfId="51973"/>
    <cellStyle name="Table  - Opmaakprofiel6 3 3 9 9" xfId="17701"/>
    <cellStyle name="Table  - Opmaakprofiel6 3 4" xfId="380"/>
    <cellStyle name="Table  - Opmaakprofiel6 3 4 10" xfId="1938"/>
    <cellStyle name="Table  - Opmaakprofiel6 3 4 10 2" xfId="11367"/>
    <cellStyle name="Table  - Opmaakprofiel6 3 4 10 2 2" xfId="23665"/>
    <cellStyle name="Table  - Opmaakprofiel6 3 4 10 2 3" xfId="35717"/>
    <cellStyle name="Table  - Opmaakprofiel6 3 4 10 2 4" xfId="31222"/>
    <cellStyle name="Table  - Opmaakprofiel6 3 4 10 2 5" xfId="56332"/>
    <cellStyle name="Table  - Opmaakprofiel6 3 4 10 3" xfId="17709"/>
    <cellStyle name="Table  - Opmaakprofiel6 3 4 10 4" xfId="29761"/>
    <cellStyle name="Table  - Opmaakprofiel6 3 4 10 5" xfId="44335"/>
    <cellStyle name="Table  - Opmaakprofiel6 3 4 10 6" xfId="50627"/>
    <cellStyle name="Table  - Opmaakprofiel6 3 4 11" xfId="2480"/>
    <cellStyle name="Table  - Opmaakprofiel6 3 4 11 2" xfId="11368"/>
    <cellStyle name="Table  - Opmaakprofiel6 3 4 11 2 2" xfId="23666"/>
    <cellStyle name="Table  - Opmaakprofiel6 3 4 11 2 3" xfId="35718"/>
    <cellStyle name="Table  - Opmaakprofiel6 3 4 11 2 4" xfId="31970"/>
    <cellStyle name="Table  - Opmaakprofiel6 3 4 11 2 5" xfId="56333"/>
    <cellStyle name="Table  - Opmaakprofiel6 3 4 11 3" xfId="17710"/>
    <cellStyle name="Table  - Opmaakprofiel6 3 4 11 4" xfId="29762"/>
    <cellStyle name="Table  - Opmaakprofiel6 3 4 11 5" xfId="38077"/>
    <cellStyle name="Table  - Opmaakprofiel6 3 4 11 6" xfId="50628"/>
    <cellStyle name="Table  - Opmaakprofiel6 3 4 12" xfId="1729"/>
    <cellStyle name="Table  - Opmaakprofiel6 3 4 12 2" xfId="11369"/>
    <cellStyle name="Table  - Opmaakprofiel6 3 4 12 2 2" xfId="23667"/>
    <cellStyle name="Table  - Opmaakprofiel6 3 4 12 2 3" xfId="35719"/>
    <cellStyle name="Table  - Opmaakprofiel6 3 4 12 2 4" xfId="31229"/>
    <cellStyle name="Table  - Opmaakprofiel6 3 4 12 2 5" xfId="56334"/>
    <cellStyle name="Table  - Opmaakprofiel6 3 4 12 3" xfId="17711"/>
    <cellStyle name="Table  - Opmaakprofiel6 3 4 12 4" xfId="29763"/>
    <cellStyle name="Table  - Opmaakprofiel6 3 4 12 5" xfId="38076"/>
    <cellStyle name="Table  - Opmaakprofiel6 3 4 12 6" xfId="50629"/>
    <cellStyle name="Table  - Opmaakprofiel6 3 4 13" xfId="6319"/>
    <cellStyle name="Table  - Opmaakprofiel6 3 4 13 2" xfId="11370"/>
    <cellStyle name="Table  - Opmaakprofiel6 3 4 13 2 2" xfId="23668"/>
    <cellStyle name="Table  - Opmaakprofiel6 3 4 13 2 3" xfId="35720"/>
    <cellStyle name="Table  - Opmaakprofiel6 3 4 13 2 4" xfId="31957"/>
    <cellStyle name="Table  - Opmaakprofiel6 3 4 13 2 5" xfId="56335"/>
    <cellStyle name="Table  - Opmaakprofiel6 3 4 13 3" xfId="17712"/>
    <cellStyle name="Table  - Opmaakprofiel6 3 4 13 4" xfId="29764"/>
    <cellStyle name="Table  - Opmaakprofiel6 3 4 13 5" xfId="38075"/>
    <cellStyle name="Table  - Opmaakprofiel6 3 4 13 6" xfId="50630"/>
    <cellStyle name="Table  - Opmaakprofiel6 3 4 14" xfId="6320"/>
    <cellStyle name="Table  - Opmaakprofiel6 3 4 14 2" xfId="11371"/>
    <cellStyle name="Table  - Opmaakprofiel6 3 4 14 2 2" xfId="23669"/>
    <cellStyle name="Table  - Opmaakprofiel6 3 4 14 2 3" xfId="35721"/>
    <cellStyle name="Table  - Opmaakprofiel6 3 4 14 2 4" xfId="31236"/>
    <cellStyle name="Table  - Opmaakprofiel6 3 4 14 2 5" xfId="56336"/>
    <cellStyle name="Table  - Opmaakprofiel6 3 4 14 3" xfId="17713"/>
    <cellStyle name="Table  - Opmaakprofiel6 3 4 14 4" xfId="29765"/>
    <cellStyle name="Table  - Opmaakprofiel6 3 4 14 5" xfId="44333"/>
    <cellStyle name="Table  - Opmaakprofiel6 3 4 14 6" xfId="50631"/>
    <cellStyle name="Table  - Opmaakprofiel6 3 4 15" xfId="6321"/>
    <cellStyle name="Table  - Opmaakprofiel6 3 4 15 2" xfId="17714"/>
    <cellStyle name="Table  - Opmaakprofiel6 3 4 15 3" xfId="29766"/>
    <cellStyle name="Table  - Opmaakprofiel6 3 4 15 4" xfId="38074"/>
    <cellStyle name="Table  - Opmaakprofiel6 3 4 15 5" xfId="50632"/>
    <cellStyle name="Table  - Opmaakprofiel6 3 4 16" xfId="7727"/>
    <cellStyle name="Table  - Opmaakprofiel6 3 4 16 2" xfId="20025"/>
    <cellStyle name="Table  - Opmaakprofiel6 3 4 16 3" xfId="41828"/>
    <cellStyle name="Table  - Opmaakprofiel6 3 4 16 4" xfId="25150"/>
    <cellStyle name="Table  - Opmaakprofiel6 3 4 16 5" xfId="52697"/>
    <cellStyle name="Table  - Opmaakprofiel6 3 4 17" xfId="17708"/>
    <cellStyle name="Table  - Opmaakprofiel6 3 4 2" xfId="654"/>
    <cellStyle name="Table  - Opmaakprofiel6 3 4 2 2" xfId="2272"/>
    <cellStyle name="Table  - Opmaakprofiel6 3 4 2 2 2" xfId="11372"/>
    <cellStyle name="Table  - Opmaakprofiel6 3 4 2 2 2 2" xfId="23670"/>
    <cellStyle name="Table  - Opmaakprofiel6 3 4 2 2 2 3" xfId="35722"/>
    <cellStyle name="Table  - Opmaakprofiel6 3 4 2 2 2 4" xfId="34657"/>
    <cellStyle name="Table  - Opmaakprofiel6 3 4 2 2 2 5" xfId="56337"/>
    <cellStyle name="Table  - Opmaakprofiel6 3 4 2 2 3" xfId="17716"/>
    <cellStyle name="Table  - Opmaakprofiel6 3 4 2 2 4" xfId="29768"/>
    <cellStyle name="Table  - Opmaakprofiel6 3 4 2 2 5" xfId="38072"/>
    <cellStyle name="Table  - Opmaakprofiel6 3 4 2 2 6" xfId="50633"/>
    <cellStyle name="Table  - Opmaakprofiel6 3 4 2 3" xfId="2720"/>
    <cellStyle name="Table  - Opmaakprofiel6 3 4 2 3 2" xfId="11373"/>
    <cellStyle name="Table  - Opmaakprofiel6 3 4 2 3 2 2" xfId="23671"/>
    <cellStyle name="Table  - Opmaakprofiel6 3 4 2 3 2 3" xfId="35723"/>
    <cellStyle name="Table  - Opmaakprofiel6 3 4 2 3 2 4" xfId="31243"/>
    <cellStyle name="Table  - Opmaakprofiel6 3 4 2 3 2 5" xfId="56338"/>
    <cellStyle name="Table  - Opmaakprofiel6 3 4 2 3 3" xfId="17717"/>
    <cellStyle name="Table  - Opmaakprofiel6 3 4 2 3 4" xfId="29769"/>
    <cellStyle name="Table  - Opmaakprofiel6 3 4 2 3 5" xfId="38071"/>
    <cellStyle name="Table  - Opmaakprofiel6 3 4 2 3 6" xfId="50634"/>
    <cellStyle name="Table  - Opmaakprofiel6 3 4 2 4" xfId="3587"/>
    <cellStyle name="Table  - Opmaakprofiel6 3 4 2 4 2" xfId="11374"/>
    <cellStyle name="Table  - Opmaakprofiel6 3 4 2 4 2 2" xfId="23672"/>
    <cellStyle name="Table  - Opmaakprofiel6 3 4 2 4 2 3" xfId="35724"/>
    <cellStyle name="Table  - Opmaakprofiel6 3 4 2 4 2 4" xfId="31943"/>
    <cellStyle name="Table  - Opmaakprofiel6 3 4 2 4 2 5" xfId="56339"/>
    <cellStyle name="Table  - Opmaakprofiel6 3 4 2 4 3" xfId="17718"/>
    <cellStyle name="Table  - Opmaakprofiel6 3 4 2 4 4" xfId="29770"/>
    <cellStyle name="Table  - Opmaakprofiel6 3 4 2 4 5" xfId="38070"/>
    <cellStyle name="Table  - Opmaakprofiel6 3 4 2 4 6" xfId="50635"/>
    <cellStyle name="Table  - Opmaakprofiel6 3 4 2 5" xfId="6322"/>
    <cellStyle name="Table  - Opmaakprofiel6 3 4 2 5 2" xfId="11375"/>
    <cellStyle name="Table  - Opmaakprofiel6 3 4 2 5 2 2" xfId="23673"/>
    <cellStyle name="Table  - Opmaakprofiel6 3 4 2 5 2 3" xfId="35725"/>
    <cellStyle name="Table  - Opmaakprofiel6 3 4 2 5 2 4" xfId="31250"/>
    <cellStyle name="Table  - Opmaakprofiel6 3 4 2 5 2 5" xfId="56340"/>
    <cellStyle name="Table  - Opmaakprofiel6 3 4 2 5 3" xfId="17719"/>
    <cellStyle name="Table  - Opmaakprofiel6 3 4 2 5 4" xfId="29771"/>
    <cellStyle name="Table  - Opmaakprofiel6 3 4 2 5 5" xfId="38069"/>
    <cellStyle name="Table  - Opmaakprofiel6 3 4 2 5 6" xfId="50636"/>
    <cellStyle name="Table  - Opmaakprofiel6 3 4 2 6" xfId="6323"/>
    <cellStyle name="Table  - Opmaakprofiel6 3 4 2 6 2" xfId="11376"/>
    <cellStyle name="Table  - Opmaakprofiel6 3 4 2 6 2 2" xfId="23674"/>
    <cellStyle name="Table  - Opmaakprofiel6 3 4 2 6 2 3" xfId="35726"/>
    <cellStyle name="Table  - Opmaakprofiel6 3 4 2 6 2 4" xfId="31417"/>
    <cellStyle name="Table  - Opmaakprofiel6 3 4 2 6 2 5" xfId="56341"/>
    <cellStyle name="Table  - Opmaakprofiel6 3 4 2 6 3" xfId="17720"/>
    <cellStyle name="Table  - Opmaakprofiel6 3 4 2 6 4" xfId="29772"/>
    <cellStyle name="Table  - Opmaakprofiel6 3 4 2 6 5" xfId="44328"/>
    <cellStyle name="Table  - Opmaakprofiel6 3 4 2 6 6" xfId="50637"/>
    <cellStyle name="Table  - Opmaakprofiel6 3 4 2 7" xfId="6324"/>
    <cellStyle name="Table  - Opmaakprofiel6 3 4 2 7 2" xfId="17721"/>
    <cellStyle name="Table  - Opmaakprofiel6 3 4 2 7 3" xfId="29773"/>
    <cellStyle name="Table  - Opmaakprofiel6 3 4 2 7 4" xfId="38068"/>
    <cellStyle name="Table  - Opmaakprofiel6 3 4 2 7 5" xfId="50638"/>
    <cellStyle name="Table  - Opmaakprofiel6 3 4 2 8" xfId="10216"/>
    <cellStyle name="Table  - Opmaakprofiel6 3 4 2 8 2" xfId="22514"/>
    <cellStyle name="Table  - Opmaakprofiel6 3 4 2 8 3" xfId="44276"/>
    <cellStyle name="Table  - Opmaakprofiel6 3 4 2 8 4" xfId="42367"/>
    <cellStyle name="Table  - Opmaakprofiel6 3 4 2 8 5" xfId="55181"/>
    <cellStyle name="Table  - Opmaakprofiel6 3 4 2 9" xfId="17715"/>
    <cellStyle name="Table  - Opmaakprofiel6 3 4 3" xfId="831"/>
    <cellStyle name="Table  - Opmaakprofiel6 3 4 3 2" xfId="1460"/>
    <cellStyle name="Table  - Opmaakprofiel6 3 4 3 2 2" xfId="11377"/>
    <cellStyle name="Table  - Opmaakprofiel6 3 4 3 2 2 2" xfId="23675"/>
    <cellStyle name="Table  - Opmaakprofiel6 3 4 3 2 2 3" xfId="35727"/>
    <cellStyle name="Table  - Opmaakprofiel6 3 4 3 2 2 4" xfId="31257"/>
    <cellStyle name="Table  - Opmaakprofiel6 3 4 3 2 2 5" xfId="56342"/>
    <cellStyle name="Table  - Opmaakprofiel6 3 4 3 2 3" xfId="17723"/>
    <cellStyle name="Table  - Opmaakprofiel6 3 4 3 2 4" xfId="29775"/>
    <cellStyle name="Table  - Opmaakprofiel6 3 4 3 2 5" xfId="44327"/>
    <cellStyle name="Table  - Opmaakprofiel6 3 4 3 2 6" xfId="50639"/>
    <cellStyle name="Table  - Opmaakprofiel6 3 4 3 3" xfId="2842"/>
    <cellStyle name="Table  - Opmaakprofiel6 3 4 3 3 2" xfId="11378"/>
    <cellStyle name="Table  - Opmaakprofiel6 3 4 3 3 2 2" xfId="23676"/>
    <cellStyle name="Table  - Opmaakprofiel6 3 4 3 3 2 3" xfId="35728"/>
    <cellStyle name="Table  - Opmaakprofiel6 3 4 3 3 2 4" xfId="32091"/>
    <cellStyle name="Table  - Opmaakprofiel6 3 4 3 3 2 5" xfId="56343"/>
    <cellStyle name="Table  - Opmaakprofiel6 3 4 3 3 3" xfId="17724"/>
    <cellStyle name="Table  - Opmaakprofiel6 3 4 3 3 4" xfId="29776"/>
    <cellStyle name="Table  - Opmaakprofiel6 3 4 3 3 5" xfId="38066"/>
    <cellStyle name="Table  - Opmaakprofiel6 3 4 3 3 6" xfId="50640"/>
    <cellStyle name="Table  - Opmaakprofiel6 3 4 3 4" xfId="3698"/>
    <cellStyle name="Table  - Opmaakprofiel6 3 4 3 4 2" xfId="11379"/>
    <cellStyle name="Table  - Opmaakprofiel6 3 4 3 4 2 2" xfId="23677"/>
    <cellStyle name="Table  - Opmaakprofiel6 3 4 3 4 2 3" xfId="35729"/>
    <cellStyle name="Table  - Opmaakprofiel6 3 4 3 4 2 4" xfId="31264"/>
    <cellStyle name="Table  - Opmaakprofiel6 3 4 3 4 2 5" xfId="56344"/>
    <cellStyle name="Table  - Opmaakprofiel6 3 4 3 4 3" xfId="17725"/>
    <cellStyle name="Table  - Opmaakprofiel6 3 4 3 4 4" xfId="29777"/>
    <cellStyle name="Table  - Opmaakprofiel6 3 4 3 4 5" xfId="38065"/>
    <cellStyle name="Table  - Opmaakprofiel6 3 4 3 4 6" xfId="50641"/>
    <cellStyle name="Table  - Opmaakprofiel6 3 4 3 5" xfId="6325"/>
    <cellStyle name="Table  - Opmaakprofiel6 3 4 3 5 2" xfId="11380"/>
    <cellStyle name="Table  - Opmaakprofiel6 3 4 3 5 2 2" xfId="23678"/>
    <cellStyle name="Table  - Opmaakprofiel6 3 4 3 5 2 3" xfId="35730"/>
    <cellStyle name="Table  - Opmaakprofiel6 3 4 3 5 2 4" xfId="31907"/>
    <cellStyle name="Table  - Opmaakprofiel6 3 4 3 5 2 5" xfId="56345"/>
    <cellStyle name="Table  - Opmaakprofiel6 3 4 3 5 3" xfId="17726"/>
    <cellStyle name="Table  - Opmaakprofiel6 3 4 3 5 4" xfId="29778"/>
    <cellStyle name="Table  - Opmaakprofiel6 3 4 3 5 5" xfId="38064"/>
    <cellStyle name="Table  - Opmaakprofiel6 3 4 3 5 6" xfId="50642"/>
    <cellStyle name="Table  - Opmaakprofiel6 3 4 3 6" xfId="6326"/>
    <cellStyle name="Table  - Opmaakprofiel6 3 4 3 6 2" xfId="11381"/>
    <cellStyle name="Table  - Opmaakprofiel6 3 4 3 6 2 2" xfId="23679"/>
    <cellStyle name="Table  - Opmaakprofiel6 3 4 3 6 2 3" xfId="35731"/>
    <cellStyle name="Table  - Opmaakprofiel6 3 4 3 6 2 4" xfId="31271"/>
    <cellStyle name="Table  - Opmaakprofiel6 3 4 3 6 2 5" xfId="56346"/>
    <cellStyle name="Table  - Opmaakprofiel6 3 4 3 6 3" xfId="17727"/>
    <cellStyle name="Table  - Opmaakprofiel6 3 4 3 6 4" xfId="29779"/>
    <cellStyle name="Table  - Opmaakprofiel6 3 4 3 6 5" xfId="38063"/>
    <cellStyle name="Table  - Opmaakprofiel6 3 4 3 6 6" xfId="50643"/>
    <cellStyle name="Table  - Opmaakprofiel6 3 4 3 7" xfId="6327"/>
    <cellStyle name="Table  - Opmaakprofiel6 3 4 3 7 2" xfId="17728"/>
    <cellStyle name="Table  - Opmaakprofiel6 3 4 3 7 3" xfId="29780"/>
    <cellStyle name="Table  - Opmaakprofiel6 3 4 3 7 4" xfId="44324"/>
    <cellStyle name="Table  - Opmaakprofiel6 3 4 3 7 5" xfId="50644"/>
    <cellStyle name="Table  - Opmaakprofiel6 3 4 3 8" xfId="10117"/>
    <cellStyle name="Table  - Opmaakprofiel6 3 4 3 8 2" xfId="22415"/>
    <cellStyle name="Table  - Opmaakprofiel6 3 4 3 8 3" xfId="44179"/>
    <cellStyle name="Table  - Opmaakprofiel6 3 4 3 8 4" xfId="28644"/>
    <cellStyle name="Table  - Opmaakprofiel6 3 4 3 8 5" xfId="55082"/>
    <cellStyle name="Table  - Opmaakprofiel6 3 4 3 9" xfId="17722"/>
    <cellStyle name="Table  - Opmaakprofiel6 3 4 4" xfId="507"/>
    <cellStyle name="Table  - Opmaakprofiel6 3 4 4 2" xfId="2064"/>
    <cellStyle name="Table  - Opmaakprofiel6 3 4 4 2 2" xfId="11382"/>
    <cellStyle name="Table  - Opmaakprofiel6 3 4 4 2 2 2" xfId="23680"/>
    <cellStyle name="Table  - Opmaakprofiel6 3 4 4 2 2 3" xfId="35732"/>
    <cellStyle name="Table  - Opmaakprofiel6 3 4 4 2 2 4" xfId="34731"/>
    <cellStyle name="Table  - Opmaakprofiel6 3 4 4 2 2 5" xfId="56347"/>
    <cellStyle name="Table  - Opmaakprofiel6 3 4 4 2 3" xfId="17730"/>
    <cellStyle name="Table  - Opmaakprofiel6 3 4 4 2 4" xfId="29782"/>
    <cellStyle name="Table  - Opmaakprofiel6 3 4 4 2 5" xfId="38061"/>
    <cellStyle name="Table  - Opmaakprofiel6 3 4 4 2 6" xfId="50645"/>
    <cellStyle name="Table  - Opmaakprofiel6 3 4 4 3" xfId="2578"/>
    <cellStyle name="Table  - Opmaakprofiel6 3 4 4 3 2" xfId="11383"/>
    <cellStyle name="Table  - Opmaakprofiel6 3 4 4 3 2 2" xfId="23681"/>
    <cellStyle name="Table  - Opmaakprofiel6 3 4 4 3 2 3" xfId="35733"/>
    <cellStyle name="Table  - Opmaakprofiel6 3 4 4 3 2 4" xfId="31278"/>
    <cellStyle name="Table  - Opmaakprofiel6 3 4 4 3 2 5" xfId="56348"/>
    <cellStyle name="Table  - Opmaakprofiel6 3 4 4 3 3" xfId="17731"/>
    <cellStyle name="Table  - Opmaakprofiel6 3 4 4 3 4" xfId="29783"/>
    <cellStyle name="Table  - Opmaakprofiel6 3 4 4 3 5" xfId="44323"/>
    <cellStyle name="Table  - Opmaakprofiel6 3 4 4 3 6" xfId="50646"/>
    <cellStyle name="Table  - Opmaakprofiel6 3 4 4 4" xfId="3461"/>
    <cellStyle name="Table  - Opmaakprofiel6 3 4 4 4 2" xfId="11384"/>
    <cellStyle name="Table  - Opmaakprofiel6 3 4 4 4 2 2" xfId="23682"/>
    <cellStyle name="Table  - Opmaakprofiel6 3 4 4 4 2 3" xfId="35734"/>
    <cellStyle name="Table  - Opmaakprofiel6 3 4 4 4 2 4" xfId="32025"/>
    <cellStyle name="Table  - Opmaakprofiel6 3 4 4 4 2 5" xfId="56349"/>
    <cellStyle name="Table  - Opmaakprofiel6 3 4 4 4 3" xfId="17732"/>
    <cellStyle name="Table  - Opmaakprofiel6 3 4 4 4 4" xfId="29784"/>
    <cellStyle name="Table  - Opmaakprofiel6 3 4 4 4 5" xfId="38060"/>
    <cellStyle name="Table  - Opmaakprofiel6 3 4 4 4 6" xfId="50647"/>
    <cellStyle name="Table  - Opmaakprofiel6 3 4 4 5" xfId="6328"/>
    <cellStyle name="Table  - Opmaakprofiel6 3 4 4 5 2" xfId="11385"/>
    <cellStyle name="Table  - Opmaakprofiel6 3 4 4 5 2 2" xfId="23683"/>
    <cellStyle name="Table  - Opmaakprofiel6 3 4 4 5 2 3" xfId="35735"/>
    <cellStyle name="Table  - Opmaakprofiel6 3 4 4 5 2 4" xfId="31285"/>
    <cellStyle name="Table  - Opmaakprofiel6 3 4 4 5 2 5" xfId="56350"/>
    <cellStyle name="Table  - Opmaakprofiel6 3 4 4 5 3" xfId="17733"/>
    <cellStyle name="Table  - Opmaakprofiel6 3 4 4 5 4" xfId="29785"/>
    <cellStyle name="Table  - Opmaakprofiel6 3 4 4 5 5" xfId="38059"/>
    <cellStyle name="Table  - Opmaakprofiel6 3 4 4 5 6" xfId="50648"/>
    <cellStyle name="Table  - Opmaakprofiel6 3 4 4 6" xfId="6329"/>
    <cellStyle name="Table  - Opmaakprofiel6 3 4 4 6 2" xfId="11386"/>
    <cellStyle name="Table  - Opmaakprofiel6 3 4 4 6 2 2" xfId="23684"/>
    <cellStyle name="Table  - Opmaakprofiel6 3 4 4 6 2 3" xfId="35736"/>
    <cellStyle name="Table  - Opmaakprofiel6 3 4 4 6 2 4" xfId="34259"/>
    <cellStyle name="Table  - Opmaakprofiel6 3 4 4 6 2 5" xfId="56351"/>
    <cellStyle name="Table  - Opmaakprofiel6 3 4 4 6 3" xfId="17734"/>
    <cellStyle name="Table  - Opmaakprofiel6 3 4 4 6 4" xfId="29786"/>
    <cellStyle name="Table  - Opmaakprofiel6 3 4 4 6 5" xfId="38058"/>
    <cellStyle name="Table  - Opmaakprofiel6 3 4 4 6 6" xfId="50649"/>
    <cellStyle name="Table  - Opmaakprofiel6 3 4 4 7" xfId="6330"/>
    <cellStyle name="Table  - Opmaakprofiel6 3 4 4 7 2" xfId="17735"/>
    <cellStyle name="Table  - Opmaakprofiel6 3 4 4 7 3" xfId="29787"/>
    <cellStyle name="Table  - Opmaakprofiel6 3 4 4 7 4" xfId="38057"/>
    <cellStyle name="Table  - Opmaakprofiel6 3 4 4 7 5" xfId="50650"/>
    <cellStyle name="Table  - Opmaakprofiel6 3 4 4 8" xfId="10331"/>
    <cellStyle name="Table  - Opmaakprofiel6 3 4 4 8 2" xfId="22629"/>
    <cellStyle name="Table  - Opmaakprofiel6 3 4 4 8 3" xfId="44390"/>
    <cellStyle name="Table  - Opmaakprofiel6 3 4 4 8 4" xfId="32046"/>
    <cellStyle name="Table  - Opmaakprofiel6 3 4 4 8 5" xfId="55296"/>
    <cellStyle name="Table  - Opmaakprofiel6 3 4 4 9" xfId="17729"/>
    <cellStyle name="Table  - Opmaakprofiel6 3 4 5" xfId="1151"/>
    <cellStyle name="Table  - Opmaakprofiel6 3 4 5 2" xfId="2013"/>
    <cellStyle name="Table  - Opmaakprofiel6 3 4 5 2 2" xfId="11387"/>
    <cellStyle name="Table  - Opmaakprofiel6 3 4 5 2 2 2" xfId="23685"/>
    <cellStyle name="Table  - Opmaakprofiel6 3 4 5 2 2 3" xfId="35737"/>
    <cellStyle name="Table  - Opmaakprofiel6 3 4 5 2 2 4" xfId="31292"/>
    <cellStyle name="Table  - Opmaakprofiel6 3 4 5 2 2 5" xfId="56352"/>
    <cellStyle name="Table  - Opmaakprofiel6 3 4 5 2 3" xfId="17737"/>
    <cellStyle name="Table  - Opmaakprofiel6 3 4 5 2 4" xfId="29789"/>
    <cellStyle name="Table  - Opmaakprofiel6 3 4 5 2 5" xfId="38056"/>
    <cellStyle name="Table  - Opmaakprofiel6 3 4 5 2 6" xfId="50651"/>
    <cellStyle name="Table  - Opmaakprofiel6 3 4 5 3" xfId="3162"/>
    <cellStyle name="Table  - Opmaakprofiel6 3 4 5 3 2" xfId="11388"/>
    <cellStyle name="Table  - Opmaakprofiel6 3 4 5 3 2 2" xfId="23686"/>
    <cellStyle name="Table  - Opmaakprofiel6 3 4 5 3 2 3" xfId="35738"/>
    <cellStyle name="Table  - Opmaakprofiel6 3 4 5 3 2 4" xfId="31888"/>
    <cellStyle name="Table  - Opmaakprofiel6 3 4 5 3 2 5" xfId="56353"/>
    <cellStyle name="Table  - Opmaakprofiel6 3 4 5 3 3" xfId="17738"/>
    <cellStyle name="Table  - Opmaakprofiel6 3 4 5 3 4" xfId="29790"/>
    <cellStyle name="Table  - Opmaakprofiel6 3 4 5 3 5" xfId="38055"/>
    <cellStyle name="Table  - Opmaakprofiel6 3 4 5 3 6" xfId="50652"/>
    <cellStyle name="Table  - Opmaakprofiel6 3 4 5 4" xfId="3984"/>
    <cellStyle name="Table  - Opmaakprofiel6 3 4 5 4 2" xfId="11389"/>
    <cellStyle name="Table  - Opmaakprofiel6 3 4 5 4 2 2" xfId="23687"/>
    <cellStyle name="Table  - Opmaakprofiel6 3 4 5 4 2 3" xfId="35739"/>
    <cellStyle name="Table  - Opmaakprofiel6 3 4 5 4 2 4" xfId="31299"/>
    <cellStyle name="Table  - Opmaakprofiel6 3 4 5 4 2 5" xfId="56354"/>
    <cellStyle name="Table  - Opmaakprofiel6 3 4 5 4 3" xfId="17739"/>
    <cellStyle name="Table  - Opmaakprofiel6 3 4 5 4 4" xfId="29791"/>
    <cellStyle name="Table  - Opmaakprofiel6 3 4 5 4 5" xfId="44319"/>
    <cellStyle name="Table  - Opmaakprofiel6 3 4 5 4 6" xfId="50653"/>
    <cellStyle name="Table  - Opmaakprofiel6 3 4 5 5" xfId="6331"/>
    <cellStyle name="Table  - Opmaakprofiel6 3 4 5 5 2" xfId="11390"/>
    <cellStyle name="Table  - Opmaakprofiel6 3 4 5 5 2 2" xfId="23688"/>
    <cellStyle name="Table  - Opmaakprofiel6 3 4 5 5 2 3" xfId="35740"/>
    <cellStyle name="Table  - Opmaakprofiel6 3 4 5 5 2 4" xfId="34742"/>
    <cellStyle name="Table  - Opmaakprofiel6 3 4 5 5 2 5" xfId="56355"/>
    <cellStyle name="Table  - Opmaakprofiel6 3 4 5 5 3" xfId="17740"/>
    <cellStyle name="Table  - Opmaakprofiel6 3 4 5 5 4" xfId="29792"/>
    <cellStyle name="Table  - Opmaakprofiel6 3 4 5 5 5" xfId="38054"/>
    <cellStyle name="Table  - Opmaakprofiel6 3 4 5 5 6" xfId="50654"/>
    <cellStyle name="Table  - Opmaakprofiel6 3 4 5 6" xfId="6332"/>
    <cellStyle name="Table  - Opmaakprofiel6 3 4 5 6 2" xfId="11391"/>
    <cellStyle name="Table  - Opmaakprofiel6 3 4 5 6 2 2" xfId="23689"/>
    <cellStyle name="Table  - Opmaakprofiel6 3 4 5 6 2 3" xfId="35741"/>
    <cellStyle name="Table  - Opmaakprofiel6 3 4 5 6 2 4" xfId="31306"/>
    <cellStyle name="Table  - Opmaakprofiel6 3 4 5 6 2 5" xfId="56356"/>
    <cellStyle name="Table  - Opmaakprofiel6 3 4 5 6 3" xfId="17741"/>
    <cellStyle name="Table  - Opmaakprofiel6 3 4 5 6 4" xfId="29793"/>
    <cellStyle name="Table  - Opmaakprofiel6 3 4 5 6 5" xfId="38053"/>
    <cellStyle name="Table  - Opmaakprofiel6 3 4 5 6 6" xfId="50655"/>
    <cellStyle name="Table  - Opmaakprofiel6 3 4 5 7" xfId="6333"/>
    <cellStyle name="Table  - Opmaakprofiel6 3 4 5 7 2" xfId="17742"/>
    <cellStyle name="Table  - Opmaakprofiel6 3 4 5 7 3" xfId="29794"/>
    <cellStyle name="Table  - Opmaakprofiel6 3 4 5 7 4" xfId="38052"/>
    <cellStyle name="Table  - Opmaakprofiel6 3 4 5 7 5" xfId="50656"/>
    <cellStyle name="Table  - Opmaakprofiel6 3 4 5 8" xfId="7208"/>
    <cellStyle name="Table  - Opmaakprofiel6 3 4 5 8 2" xfId="19506"/>
    <cellStyle name="Table  - Opmaakprofiel6 3 4 5 8 3" xfId="41309"/>
    <cellStyle name="Table  - Opmaakprofiel6 3 4 5 8 4" xfId="43605"/>
    <cellStyle name="Table  - Opmaakprofiel6 3 4 5 8 5" xfId="52178"/>
    <cellStyle name="Table  - Opmaakprofiel6 3 4 5 9" xfId="17736"/>
    <cellStyle name="Table  - Opmaakprofiel6 3 4 6" xfId="554"/>
    <cellStyle name="Table  - Opmaakprofiel6 3 4 6 2" xfId="1651"/>
    <cellStyle name="Table  - Opmaakprofiel6 3 4 6 2 2" xfId="11392"/>
    <cellStyle name="Table  - Opmaakprofiel6 3 4 6 2 2 2" xfId="23690"/>
    <cellStyle name="Table  - Opmaakprofiel6 3 4 6 2 2 3" xfId="35742"/>
    <cellStyle name="Table  - Opmaakprofiel6 3 4 6 2 2 4" xfId="31403"/>
    <cellStyle name="Table  - Opmaakprofiel6 3 4 6 2 2 5" xfId="56357"/>
    <cellStyle name="Table  - Opmaakprofiel6 3 4 6 2 3" xfId="17744"/>
    <cellStyle name="Table  - Opmaakprofiel6 3 4 6 2 4" xfId="29796"/>
    <cellStyle name="Table  - Opmaakprofiel6 3 4 6 2 5" xfId="44316"/>
    <cellStyle name="Table  - Opmaakprofiel6 3 4 6 2 6" xfId="50657"/>
    <cellStyle name="Table  - Opmaakprofiel6 3 4 6 3" xfId="2625"/>
    <cellStyle name="Table  - Opmaakprofiel6 3 4 6 3 2" xfId="11393"/>
    <cellStyle name="Table  - Opmaakprofiel6 3 4 6 3 2 2" xfId="23691"/>
    <cellStyle name="Table  - Opmaakprofiel6 3 4 6 3 2 3" xfId="35743"/>
    <cellStyle name="Table  - Opmaakprofiel6 3 4 6 3 2 4" xfId="31313"/>
    <cellStyle name="Table  - Opmaakprofiel6 3 4 6 3 2 5" xfId="56358"/>
    <cellStyle name="Table  - Opmaakprofiel6 3 4 6 3 3" xfId="17745"/>
    <cellStyle name="Table  - Opmaakprofiel6 3 4 6 3 4" xfId="29797"/>
    <cellStyle name="Table  - Opmaakprofiel6 3 4 6 3 5" xfId="38051"/>
    <cellStyle name="Table  - Opmaakprofiel6 3 4 6 3 6" xfId="50658"/>
    <cellStyle name="Table  - Opmaakprofiel6 3 4 6 4" xfId="3503"/>
    <cellStyle name="Table  - Opmaakprofiel6 3 4 6 4 2" xfId="11394"/>
    <cellStyle name="Table  - Opmaakprofiel6 3 4 6 4 2 2" xfId="23692"/>
    <cellStyle name="Table  - Opmaakprofiel6 3 4 6 4 2 3" xfId="35744"/>
    <cellStyle name="Table  - Opmaakprofiel6 3 4 6 4 2 4" xfId="31355"/>
    <cellStyle name="Table  - Opmaakprofiel6 3 4 6 4 2 5" xfId="56359"/>
    <cellStyle name="Table  - Opmaakprofiel6 3 4 6 4 3" xfId="17746"/>
    <cellStyle name="Table  - Opmaakprofiel6 3 4 6 4 4" xfId="29798"/>
    <cellStyle name="Table  - Opmaakprofiel6 3 4 6 4 5" xfId="38050"/>
    <cellStyle name="Table  - Opmaakprofiel6 3 4 6 4 6" xfId="50659"/>
    <cellStyle name="Table  - Opmaakprofiel6 3 4 6 5" xfId="6334"/>
    <cellStyle name="Table  - Opmaakprofiel6 3 4 6 5 2" xfId="11395"/>
    <cellStyle name="Table  - Opmaakprofiel6 3 4 6 5 2 2" xfId="23693"/>
    <cellStyle name="Table  - Opmaakprofiel6 3 4 6 5 2 3" xfId="35745"/>
    <cellStyle name="Table  - Opmaakprofiel6 3 4 6 5 2 4" xfId="19287"/>
    <cellStyle name="Table  - Opmaakprofiel6 3 4 6 5 2 5" xfId="56360"/>
    <cellStyle name="Table  - Opmaakprofiel6 3 4 6 5 3" xfId="17747"/>
    <cellStyle name="Table  - Opmaakprofiel6 3 4 6 5 4" xfId="29799"/>
    <cellStyle name="Table  - Opmaakprofiel6 3 4 6 5 5" xfId="44315"/>
    <cellStyle name="Table  - Opmaakprofiel6 3 4 6 5 6" xfId="50660"/>
    <cellStyle name="Table  - Opmaakprofiel6 3 4 6 6" xfId="6335"/>
    <cellStyle name="Table  - Opmaakprofiel6 3 4 6 6 2" xfId="11396"/>
    <cellStyle name="Table  - Opmaakprofiel6 3 4 6 6 2 2" xfId="23694"/>
    <cellStyle name="Table  - Opmaakprofiel6 3 4 6 6 2 3" xfId="35746"/>
    <cellStyle name="Table  - Opmaakprofiel6 3 4 6 6 2 4" xfId="19282"/>
    <cellStyle name="Table  - Opmaakprofiel6 3 4 6 6 2 5" xfId="56361"/>
    <cellStyle name="Table  - Opmaakprofiel6 3 4 6 6 3" xfId="17748"/>
    <cellStyle name="Table  - Opmaakprofiel6 3 4 6 6 4" xfId="29800"/>
    <cellStyle name="Table  - Opmaakprofiel6 3 4 6 6 5" xfId="38049"/>
    <cellStyle name="Table  - Opmaakprofiel6 3 4 6 6 6" xfId="50661"/>
    <cellStyle name="Table  - Opmaakprofiel6 3 4 6 7" xfId="6336"/>
    <cellStyle name="Table  - Opmaakprofiel6 3 4 6 7 2" xfId="17749"/>
    <cellStyle name="Table  - Opmaakprofiel6 3 4 6 7 3" xfId="29801"/>
    <cellStyle name="Table  - Opmaakprofiel6 3 4 6 7 4" xfId="38048"/>
    <cellStyle name="Table  - Opmaakprofiel6 3 4 6 7 5" xfId="50662"/>
    <cellStyle name="Table  - Opmaakprofiel6 3 4 6 8" xfId="10303"/>
    <cellStyle name="Table  - Opmaakprofiel6 3 4 6 8 2" xfId="22601"/>
    <cellStyle name="Table  - Opmaakprofiel6 3 4 6 8 3" xfId="44362"/>
    <cellStyle name="Table  - Opmaakprofiel6 3 4 6 8 4" xfId="29022"/>
    <cellStyle name="Table  - Opmaakprofiel6 3 4 6 8 5" xfId="55268"/>
    <cellStyle name="Table  - Opmaakprofiel6 3 4 6 9" xfId="17743"/>
    <cellStyle name="Table  - Opmaakprofiel6 3 4 7" xfId="1217"/>
    <cellStyle name="Table  - Opmaakprofiel6 3 4 7 2" xfId="1800"/>
    <cellStyle name="Table  - Opmaakprofiel6 3 4 7 2 2" xfId="11397"/>
    <cellStyle name="Table  - Opmaakprofiel6 3 4 7 2 2 2" xfId="23695"/>
    <cellStyle name="Table  - Opmaakprofiel6 3 4 7 2 2 3" xfId="35747"/>
    <cellStyle name="Table  - Opmaakprofiel6 3 4 7 2 2 4" xfId="31325"/>
    <cellStyle name="Table  - Opmaakprofiel6 3 4 7 2 2 5" xfId="56362"/>
    <cellStyle name="Table  - Opmaakprofiel6 3 4 7 2 3" xfId="17751"/>
    <cellStyle name="Table  - Opmaakprofiel6 3 4 7 2 4" xfId="29803"/>
    <cellStyle name="Table  - Opmaakprofiel6 3 4 7 2 5" xfId="38046"/>
    <cellStyle name="Table  - Opmaakprofiel6 3 4 7 2 6" xfId="50663"/>
    <cellStyle name="Table  - Opmaakprofiel6 3 4 7 3" xfId="3228"/>
    <cellStyle name="Table  - Opmaakprofiel6 3 4 7 3 2" xfId="11398"/>
    <cellStyle name="Table  - Opmaakprofiel6 3 4 7 3 2 2" xfId="23696"/>
    <cellStyle name="Table  - Opmaakprofiel6 3 4 7 3 2 3" xfId="35748"/>
    <cellStyle name="Table  - Opmaakprofiel6 3 4 7 3 2 4" xfId="31326"/>
    <cellStyle name="Table  - Opmaakprofiel6 3 4 7 3 2 5" xfId="56363"/>
    <cellStyle name="Table  - Opmaakprofiel6 3 4 7 3 3" xfId="17752"/>
    <cellStyle name="Table  - Opmaakprofiel6 3 4 7 3 4" xfId="29804"/>
    <cellStyle name="Table  - Opmaakprofiel6 3 4 7 3 5" xfId="44312"/>
    <cellStyle name="Table  - Opmaakprofiel6 3 4 7 3 6" xfId="50664"/>
    <cellStyle name="Table  - Opmaakprofiel6 3 4 7 4" xfId="4043"/>
    <cellStyle name="Table  - Opmaakprofiel6 3 4 7 4 2" xfId="11399"/>
    <cellStyle name="Table  - Opmaakprofiel6 3 4 7 4 2 2" xfId="23697"/>
    <cellStyle name="Table  - Opmaakprofiel6 3 4 7 4 2 3" xfId="35749"/>
    <cellStyle name="Table  - Opmaakprofiel6 3 4 7 4 2 4" xfId="31327"/>
    <cellStyle name="Table  - Opmaakprofiel6 3 4 7 4 2 5" xfId="56364"/>
    <cellStyle name="Table  - Opmaakprofiel6 3 4 7 4 3" xfId="17753"/>
    <cellStyle name="Table  - Opmaakprofiel6 3 4 7 4 4" xfId="29805"/>
    <cellStyle name="Table  - Opmaakprofiel6 3 4 7 4 5" xfId="38045"/>
    <cellStyle name="Table  - Opmaakprofiel6 3 4 7 4 6" xfId="50665"/>
    <cellStyle name="Table  - Opmaakprofiel6 3 4 7 5" xfId="6337"/>
    <cellStyle name="Table  - Opmaakprofiel6 3 4 7 5 2" xfId="11400"/>
    <cellStyle name="Table  - Opmaakprofiel6 3 4 7 5 2 2" xfId="23698"/>
    <cellStyle name="Table  - Opmaakprofiel6 3 4 7 5 2 3" xfId="35750"/>
    <cellStyle name="Table  - Opmaakprofiel6 3 4 7 5 2 4" xfId="31328"/>
    <cellStyle name="Table  - Opmaakprofiel6 3 4 7 5 2 5" xfId="56365"/>
    <cellStyle name="Table  - Opmaakprofiel6 3 4 7 5 3" xfId="17754"/>
    <cellStyle name="Table  - Opmaakprofiel6 3 4 7 5 4" xfId="29806"/>
    <cellStyle name="Table  - Opmaakprofiel6 3 4 7 5 5" xfId="38044"/>
    <cellStyle name="Table  - Opmaakprofiel6 3 4 7 5 6" xfId="50666"/>
    <cellStyle name="Table  - Opmaakprofiel6 3 4 7 6" xfId="6338"/>
    <cellStyle name="Table  - Opmaakprofiel6 3 4 7 6 2" xfId="11401"/>
    <cellStyle name="Table  - Opmaakprofiel6 3 4 7 6 2 2" xfId="23699"/>
    <cellStyle name="Table  - Opmaakprofiel6 3 4 7 6 2 3" xfId="35751"/>
    <cellStyle name="Table  - Opmaakprofiel6 3 4 7 6 2 4" xfId="31329"/>
    <cellStyle name="Table  - Opmaakprofiel6 3 4 7 6 2 5" xfId="56366"/>
    <cellStyle name="Table  - Opmaakprofiel6 3 4 7 6 3" xfId="17755"/>
    <cellStyle name="Table  - Opmaakprofiel6 3 4 7 6 4" xfId="29807"/>
    <cellStyle name="Table  - Opmaakprofiel6 3 4 7 6 5" xfId="44311"/>
    <cellStyle name="Table  - Opmaakprofiel6 3 4 7 6 6" xfId="50667"/>
    <cellStyle name="Table  - Opmaakprofiel6 3 4 7 7" xfId="6339"/>
    <cellStyle name="Table  - Opmaakprofiel6 3 4 7 7 2" xfId="17756"/>
    <cellStyle name="Table  - Opmaakprofiel6 3 4 7 7 3" xfId="29808"/>
    <cellStyle name="Table  - Opmaakprofiel6 3 4 7 7 4" xfId="38043"/>
    <cellStyle name="Table  - Opmaakprofiel6 3 4 7 7 5" xfId="50668"/>
    <cellStyle name="Table  - Opmaakprofiel6 3 4 7 8" xfId="7157"/>
    <cellStyle name="Table  - Opmaakprofiel6 3 4 7 8 2" xfId="19455"/>
    <cellStyle name="Table  - Opmaakprofiel6 3 4 7 8 3" xfId="41258"/>
    <cellStyle name="Table  - Opmaakprofiel6 3 4 7 8 4" xfId="36942"/>
    <cellStyle name="Table  - Opmaakprofiel6 3 4 7 8 5" xfId="52127"/>
    <cellStyle name="Table  - Opmaakprofiel6 3 4 7 9" xfId="17750"/>
    <cellStyle name="Table  - Opmaakprofiel6 3 4 8" xfId="1328"/>
    <cellStyle name="Table  - Opmaakprofiel6 3 4 8 2" xfId="2374"/>
    <cellStyle name="Table  - Opmaakprofiel6 3 4 8 2 2" xfId="11402"/>
    <cellStyle name="Table  - Opmaakprofiel6 3 4 8 2 2 2" xfId="23700"/>
    <cellStyle name="Table  - Opmaakprofiel6 3 4 8 2 2 3" xfId="35752"/>
    <cellStyle name="Table  - Opmaakprofiel6 3 4 8 2 2 4" xfId="46475"/>
    <cellStyle name="Table  - Opmaakprofiel6 3 4 8 2 2 5" xfId="56367"/>
    <cellStyle name="Table  - Opmaakprofiel6 3 4 8 2 3" xfId="17758"/>
    <cellStyle name="Table  - Opmaakprofiel6 3 4 8 2 4" xfId="29810"/>
    <cellStyle name="Table  - Opmaakprofiel6 3 4 8 2 5" xfId="38041"/>
    <cellStyle name="Table  - Opmaakprofiel6 3 4 8 2 6" xfId="50669"/>
    <cellStyle name="Table  - Opmaakprofiel6 3 4 8 3" xfId="3339"/>
    <cellStyle name="Table  - Opmaakprofiel6 3 4 8 3 2" xfId="11403"/>
    <cellStyle name="Table  - Opmaakprofiel6 3 4 8 3 2 2" xfId="23701"/>
    <cellStyle name="Table  - Opmaakprofiel6 3 4 8 3 2 3" xfId="35753"/>
    <cellStyle name="Table  - Opmaakprofiel6 3 4 8 3 2 4" xfId="46476"/>
    <cellStyle name="Table  - Opmaakprofiel6 3 4 8 3 2 5" xfId="56368"/>
    <cellStyle name="Table  - Opmaakprofiel6 3 4 8 3 3" xfId="17759"/>
    <cellStyle name="Table  - Opmaakprofiel6 3 4 8 3 4" xfId="29811"/>
    <cellStyle name="Table  - Opmaakprofiel6 3 4 8 3 5" xfId="38040"/>
    <cellStyle name="Table  - Opmaakprofiel6 3 4 8 3 6" xfId="50670"/>
    <cellStyle name="Table  - Opmaakprofiel6 3 4 8 4" xfId="4120"/>
    <cellStyle name="Table  - Opmaakprofiel6 3 4 8 4 2" xfId="11404"/>
    <cellStyle name="Table  - Opmaakprofiel6 3 4 8 4 2 2" xfId="23702"/>
    <cellStyle name="Table  - Opmaakprofiel6 3 4 8 4 2 3" xfId="35754"/>
    <cellStyle name="Table  - Opmaakprofiel6 3 4 8 4 2 4" xfId="46477"/>
    <cellStyle name="Table  - Opmaakprofiel6 3 4 8 4 2 5" xfId="56369"/>
    <cellStyle name="Table  - Opmaakprofiel6 3 4 8 4 3" xfId="17760"/>
    <cellStyle name="Table  - Opmaakprofiel6 3 4 8 4 4" xfId="29812"/>
    <cellStyle name="Table  - Opmaakprofiel6 3 4 8 4 5" xfId="44308"/>
    <cellStyle name="Table  - Opmaakprofiel6 3 4 8 4 6" xfId="50671"/>
    <cellStyle name="Table  - Opmaakprofiel6 3 4 8 5" xfId="6340"/>
    <cellStyle name="Table  - Opmaakprofiel6 3 4 8 5 2" xfId="11405"/>
    <cellStyle name="Table  - Opmaakprofiel6 3 4 8 5 2 2" xfId="23703"/>
    <cellStyle name="Table  - Opmaakprofiel6 3 4 8 5 2 3" xfId="35755"/>
    <cellStyle name="Table  - Opmaakprofiel6 3 4 8 5 2 4" xfId="46478"/>
    <cellStyle name="Table  - Opmaakprofiel6 3 4 8 5 2 5" xfId="56370"/>
    <cellStyle name="Table  - Opmaakprofiel6 3 4 8 5 3" xfId="17761"/>
    <cellStyle name="Table  - Opmaakprofiel6 3 4 8 5 4" xfId="29813"/>
    <cellStyle name="Table  - Opmaakprofiel6 3 4 8 5 5" xfId="38039"/>
    <cellStyle name="Table  - Opmaakprofiel6 3 4 8 5 6" xfId="50672"/>
    <cellStyle name="Table  - Opmaakprofiel6 3 4 8 6" xfId="6341"/>
    <cellStyle name="Table  - Opmaakprofiel6 3 4 8 6 2" xfId="11406"/>
    <cellStyle name="Table  - Opmaakprofiel6 3 4 8 6 2 2" xfId="23704"/>
    <cellStyle name="Table  - Opmaakprofiel6 3 4 8 6 2 3" xfId="35756"/>
    <cellStyle name="Table  - Opmaakprofiel6 3 4 8 6 2 4" xfId="46479"/>
    <cellStyle name="Table  - Opmaakprofiel6 3 4 8 6 2 5" xfId="56371"/>
    <cellStyle name="Table  - Opmaakprofiel6 3 4 8 6 3" xfId="17762"/>
    <cellStyle name="Table  - Opmaakprofiel6 3 4 8 6 4" xfId="29814"/>
    <cellStyle name="Table  - Opmaakprofiel6 3 4 8 6 5" xfId="38038"/>
    <cellStyle name="Table  - Opmaakprofiel6 3 4 8 6 6" xfId="50673"/>
    <cellStyle name="Table  - Opmaakprofiel6 3 4 8 7" xfId="6342"/>
    <cellStyle name="Table  - Opmaakprofiel6 3 4 8 7 2" xfId="17763"/>
    <cellStyle name="Table  - Opmaakprofiel6 3 4 8 7 3" xfId="29815"/>
    <cellStyle name="Table  - Opmaakprofiel6 3 4 8 7 4" xfId="44307"/>
    <cellStyle name="Table  - Opmaakprofiel6 3 4 8 7 5" xfId="50674"/>
    <cellStyle name="Table  - Opmaakprofiel6 3 4 8 8" xfId="7051"/>
    <cellStyle name="Table  - Opmaakprofiel6 3 4 8 8 2" xfId="19349"/>
    <cellStyle name="Table  - Opmaakprofiel6 3 4 8 8 3" xfId="41152"/>
    <cellStyle name="Table  - Opmaakprofiel6 3 4 8 8 4" xfId="43671"/>
    <cellStyle name="Table  - Opmaakprofiel6 3 4 8 8 5" xfId="52022"/>
    <cellStyle name="Table  - Opmaakprofiel6 3 4 8 9" xfId="17757"/>
    <cellStyle name="Table  - Opmaakprofiel6 3 4 9" xfId="1384"/>
    <cellStyle name="Table  - Opmaakprofiel6 3 4 9 2" xfId="221"/>
    <cellStyle name="Table  - Opmaakprofiel6 3 4 9 2 2" xfId="11407"/>
    <cellStyle name="Table  - Opmaakprofiel6 3 4 9 2 2 2" xfId="23705"/>
    <cellStyle name="Table  - Opmaakprofiel6 3 4 9 2 2 3" xfId="35757"/>
    <cellStyle name="Table  - Opmaakprofiel6 3 4 9 2 2 4" xfId="46480"/>
    <cellStyle name="Table  - Opmaakprofiel6 3 4 9 2 2 5" xfId="56372"/>
    <cellStyle name="Table  - Opmaakprofiel6 3 4 9 2 3" xfId="17765"/>
    <cellStyle name="Table  - Opmaakprofiel6 3 4 9 2 4" xfId="29817"/>
    <cellStyle name="Table  - Opmaakprofiel6 3 4 9 2 5" xfId="38036"/>
    <cellStyle name="Table  - Opmaakprofiel6 3 4 9 2 6" xfId="50675"/>
    <cellStyle name="Table  - Opmaakprofiel6 3 4 9 3" xfId="3395"/>
    <cellStyle name="Table  - Opmaakprofiel6 3 4 9 3 2" xfId="11408"/>
    <cellStyle name="Table  - Opmaakprofiel6 3 4 9 3 2 2" xfId="23706"/>
    <cellStyle name="Table  - Opmaakprofiel6 3 4 9 3 2 3" xfId="35758"/>
    <cellStyle name="Table  - Opmaakprofiel6 3 4 9 3 2 4" xfId="46481"/>
    <cellStyle name="Table  - Opmaakprofiel6 3 4 9 3 2 5" xfId="56373"/>
    <cellStyle name="Table  - Opmaakprofiel6 3 4 9 3 3" xfId="17766"/>
    <cellStyle name="Table  - Opmaakprofiel6 3 4 9 3 4" xfId="29818"/>
    <cellStyle name="Table  - Opmaakprofiel6 3 4 9 3 5" xfId="38035"/>
    <cellStyle name="Table  - Opmaakprofiel6 3 4 9 3 6" xfId="50676"/>
    <cellStyle name="Table  - Opmaakprofiel6 3 4 9 4" xfId="4156"/>
    <cellStyle name="Table  - Opmaakprofiel6 3 4 9 4 2" xfId="11409"/>
    <cellStyle name="Table  - Opmaakprofiel6 3 4 9 4 2 2" xfId="23707"/>
    <cellStyle name="Table  - Opmaakprofiel6 3 4 9 4 2 3" xfId="35759"/>
    <cellStyle name="Table  - Opmaakprofiel6 3 4 9 4 2 4" xfId="46482"/>
    <cellStyle name="Table  - Opmaakprofiel6 3 4 9 4 2 5" xfId="56374"/>
    <cellStyle name="Table  - Opmaakprofiel6 3 4 9 4 3" xfId="17767"/>
    <cellStyle name="Table  - Opmaakprofiel6 3 4 9 4 4" xfId="29819"/>
    <cellStyle name="Table  - Opmaakprofiel6 3 4 9 4 5" xfId="38034"/>
    <cellStyle name="Table  - Opmaakprofiel6 3 4 9 4 6" xfId="50677"/>
    <cellStyle name="Table  - Opmaakprofiel6 3 4 9 5" xfId="6343"/>
    <cellStyle name="Table  - Opmaakprofiel6 3 4 9 5 2" xfId="11410"/>
    <cellStyle name="Table  - Opmaakprofiel6 3 4 9 5 2 2" xfId="23708"/>
    <cellStyle name="Table  - Opmaakprofiel6 3 4 9 5 2 3" xfId="35760"/>
    <cellStyle name="Table  - Opmaakprofiel6 3 4 9 5 2 4" xfId="46483"/>
    <cellStyle name="Table  - Opmaakprofiel6 3 4 9 5 2 5" xfId="56375"/>
    <cellStyle name="Table  - Opmaakprofiel6 3 4 9 5 3" xfId="17768"/>
    <cellStyle name="Table  - Opmaakprofiel6 3 4 9 5 4" xfId="29820"/>
    <cellStyle name="Table  - Opmaakprofiel6 3 4 9 5 5" xfId="44304"/>
    <cellStyle name="Table  - Opmaakprofiel6 3 4 9 5 6" xfId="50678"/>
    <cellStyle name="Table  - Opmaakprofiel6 3 4 9 6" xfId="6344"/>
    <cellStyle name="Table  - Opmaakprofiel6 3 4 9 6 2" xfId="11411"/>
    <cellStyle name="Table  - Opmaakprofiel6 3 4 9 6 2 2" xfId="23709"/>
    <cellStyle name="Table  - Opmaakprofiel6 3 4 9 6 2 3" xfId="35761"/>
    <cellStyle name="Table  - Opmaakprofiel6 3 4 9 6 2 4" xfId="46484"/>
    <cellStyle name="Table  - Opmaakprofiel6 3 4 9 6 2 5" xfId="56376"/>
    <cellStyle name="Table  - Opmaakprofiel6 3 4 9 6 3" xfId="17769"/>
    <cellStyle name="Table  - Opmaakprofiel6 3 4 9 6 4" xfId="29821"/>
    <cellStyle name="Table  - Opmaakprofiel6 3 4 9 6 5" xfId="38033"/>
    <cellStyle name="Table  - Opmaakprofiel6 3 4 9 6 6" xfId="50679"/>
    <cellStyle name="Table  - Opmaakprofiel6 3 4 9 7" xfId="6345"/>
    <cellStyle name="Table  - Opmaakprofiel6 3 4 9 7 2" xfId="17770"/>
    <cellStyle name="Table  - Opmaakprofiel6 3 4 9 7 3" xfId="29822"/>
    <cellStyle name="Table  - Opmaakprofiel6 3 4 9 7 4" xfId="38032"/>
    <cellStyle name="Table  - Opmaakprofiel6 3 4 9 7 5" xfId="50680"/>
    <cellStyle name="Table  - Opmaakprofiel6 3 4 9 8" xfId="7003"/>
    <cellStyle name="Table  - Opmaakprofiel6 3 4 9 8 2" xfId="19301"/>
    <cellStyle name="Table  - Opmaakprofiel6 3 4 9 8 3" xfId="41104"/>
    <cellStyle name="Table  - Opmaakprofiel6 3 4 9 8 4" xfId="43690"/>
    <cellStyle name="Table  - Opmaakprofiel6 3 4 9 8 5" xfId="51974"/>
    <cellStyle name="Table  - Opmaakprofiel6 3 4 9 9" xfId="17764"/>
    <cellStyle name="Table  - Opmaakprofiel6 3 5" xfId="318"/>
    <cellStyle name="Table  - Opmaakprofiel6 3 5 10" xfId="1536"/>
    <cellStyle name="Table  - Opmaakprofiel6 3 5 10 2" xfId="11412"/>
    <cellStyle name="Table  - Opmaakprofiel6 3 5 10 2 2" xfId="23710"/>
    <cellStyle name="Table  - Opmaakprofiel6 3 5 10 2 3" xfId="35762"/>
    <cellStyle name="Table  - Opmaakprofiel6 3 5 10 2 4" xfId="46485"/>
    <cellStyle name="Table  - Opmaakprofiel6 3 5 10 2 5" xfId="56377"/>
    <cellStyle name="Table  - Opmaakprofiel6 3 5 10 3" xfId="17772"/>
    <cellStyle name="Table  - Opmaakprofiel6 3 5 10 4" xfId="29824"/>
    <cellStyle name="Table  - Opmaakprofiel6 3 5 10 5" xfId="38031"/>
    <cellStyle name="Table  - Opmaakprofiel6 3 5 10 6" xfId="50681"/>
    <cellStyle name="Table  - Opmaakprofiel6 3 5 11" xfId="6346"/>
    <cellStyle name="Table  - Opmaakprofiel6 3 5 11 2" xfId="11413"/>
    <cellStyle name="Table  - Opmaakprofiel6 3 5 11 2 2" xfId="23711"/>
    <cellStyle name="Table  - Opmaakprofiel6 3 5 11 2 3" xfId="35763"/>
    <cellStyle name="Table  - Opmaakprofiel6 3 5 11 2 4" xfId="46486"/>
    <cellStyle name="Table  - Opmaakprofiel6 3 5 11 2 5" xfId="56378"/>
    <cellStyle name="Table  - Opmaakprofiel6 3 5 11 3" xfId="17773"/>
    <cellStyle name="Table  - Opmaakprofiel6 3 5 11 4" xfId="29825"/>
    <cellStyle name="Table  - Opmaakprofiel6 3 5 11 5" xfId="38030"/>
    <cellStyle name="Table  - Opmaakprofiel6 3 5 11 6" xfId="50682"/>
    <cellStyle name="Table  - Opmaakprofiel6 3 5 12" xfId="6347"/>
    <cellStyle name="Table  - Opmaakprofiel6 3 5 12 2" xfId="11414"/>
    <cellStyle name="Table  - Opmaakprofiel6 3 5 12 2 2" xfId="23712"/>
    <cellStyle name="Table  - Opmaakprofiel6 3 5 12 2 3" xfId="35764"/>
    <cellStyle name="Table  - Opmaakprofiel6 3 5 12 2 4" xfId="46487"/>
    <cellStyle name="Table  - Opmaakprofiel6 3 5 12 2 5" xfId="56379"/>
    <cellStyle name="Table  - Opmaakprofiel6 3 5 12 3" xfId="17774"/>
    <cellStyle name="Table  - Opmaakprofiel6 3 5 12 4" xfId="29826"/>
    <cellStyle name="Table  - Opmaakprofiel6 3 5 12 5" xfId="44303"/>
    <cellStyle name="Table  - Opmaakprofiel6 3 5 12 6" xfId="50683"/>
    <cellStyle name="Table  - Opmaakprofiel6 3 5 13" xfId="6348"/>
    <cellStyle name="Table  - Opmaakprofiel6 3 5 13 2" xfId="17775"/>
    <cellStyle name="Table  - Opmaakprofiel6 3 5 13 3" xfId="29827"/>
    <cellStyle name="Table  - Opmaakprofiel6 3 5 13 4" xfId="38029"/>
    <cellStyle name="Table  - Opmaakprofiel6 3 5 13 5" xfId="50684"/>
    <cellStyle name="Table  - Opmaakprofiel6 3 5 14" xfId="7764"/>
    <cellStyle name="Table  - Opmaakprofiel6 3 5 14 2" xfId="20062"/>
    <cellStyle name="Table  - Opmaakprofiel6 3 5 14 3" xfId="41865"/>
    <cellStyle name="Table  - Opmaakprofiel6 3 5 14 4" xfId="43373"/>
    <cellStyle name="Table  - Opmaakprofiel6 3 5 14 5" xfId="52734"/>
    <cellStyle name="Table  - Opmaakprofiel6 3 5 15" xfId="17771"/>
    <cellStyle name="Table  - Opmaakprofiel6 3 5 2" xfId="600"/>
    <cellStyle name="Table  - Opmaakprofiel6 3 5 2 2" xfId="2171"/>
    <cellStyle name="Table  - Opmaakprofiel6 3 5 2 2 2" xfId="11415"/>
    <cellStyle name="Table  - Opmaakprofiel6 3 5 2 2 2 2" xfId="23713"/>
    <cellStyle name="Table  - Opmaakprofiel6 3 5 2 2 2 3" xfId="35765"/>
    <cellStyle name="Table  - Opmaakprofiel6 3 5 2 2 2 4" xfId="46488"/>
    <cellStyle name="Table  - Opmaakprofiel6 3 5 2 2 2 5" xfId="56380"/>
    <cellStyle name="Table  - Opmaakprofiel6 3 5 2 2 3" xfId="17777"/>
    <cellStyle name="Table  - Opmaakprofiel6 3 5 2 2 4" xfId="29829"/>
    <cellStyle name="Table  - Opmaakprofiel6 3 5 2 2 5" xfId="38027"/>
    <cellStyle name="Table  - Opmaakprofiel6 3 5 2 2 6" xfId="50685"/>
    <cellStyle name="Table  - Opmaakprofiel6 3 5 2 3" xfId="2671"/>
    <cellStyle name="Table  - Opmaakprofiel6 3 5 2 3 2" xfId="11416"/>
    <cellStyle name="Table  - Opmaakprofiel6 3 5 2 3 2 2" xfId="23714"/>
    <cellStyle name="Table  - Opmaakprofiel6 3 5 2 3 2 3" xfId="35766"/>
    <cellStyle name="Table  - Opmaakprofiel6 3 5 2 3 2 4" xfId="46489"/>
    <cellStyle name="Table  - Opmaakprofiel6 3 5 2 3 2 5" xfId="56381"/>
    <cellStyle name="Table  - Opmaakprofiel6 3 5 2 3 3" xfId="17778"/>
    <cellStyle name="Table  - Opmaakprofiel6 3 5 2 3 4" xfId="29830"/>
    <cellStyle name="Table  - Opmaakprofiel6 3 5 2 3 5" xfId="44301"/>
    <cellStyle name="Table  - Opmaakprofiel6 3 5 2 3 6" xfId="50686"/>
    <cellStyle name="Table  - Opmaakprofiel6 3 5 2 4" xfId="3543"/>
    <cellStyle name="Table  - Opmaakprofiel6 3 5 2 4 2" xfId="11417"/>
    <cellStyle name="Table  - Opmaakprofiel6 3 5 2 4 2 2" xfId="23715"/>
    <cellStyle name="Table  - Opmaakprofiel6 3 5 2 4 2 3" xfId="35767"/>
    <cellStyle name="Table  - Opmaakprofiel6 3 5 2 4 2 4" xfId="46490"/>
    <cellStyle name="Table  - Opmaakprofiel6 3 5 2 4 2 5" xfId="56382"/>
    <cellStyle name="Table  - Opmaakprofiel6 3 5 2 4 3" xfId="17779"/>
    <cellStyle name="Table  - Opmaakprofiel6 3 5 2 4 4" xfId="29831"/>
    <cellStyle name="Table  - Opmaakprofiel6 3 5 2 4 5" xfId="38026"/>
    <cellStyle name="Table  - Opmaakprofiel6 3 5 2 4 6" xfId="50687"/>
    <cellStyle name="Table  - Opmaakprofiel6 3 5 2 5" xfId="6349"/>
    <cellStyle name="Table  - Opmaakprofiel6 3 5 2 5 2" xfId="11418"/>
    <cellStyle name="Table  - Opmaakprofiel6 3 5 2 5 2 2" xfId="23716"/>
    <cellStyle name="Table  - Opmaakprofiel6 3 5 2 5 2 3" xfId="35768"/>
    <cellStyle name="Table  - Opmaakprofiel6 3 5 2 5 2 4" xfId="46491"/>
    <cellStyle name="Table  - Opmaakprofiel6 3 5 2 5 2 5" xfId="56383"/>
    <cellStyle name="Table  - Opmaakprofiel6 3 5 2 5 3" xfId="17780"/>
    <cellStyle name="Table  - Opmaakprofiel6 3 5 2 5 4" xfId="29832"/>
    <cellStyle name="Table  - Opmaakprofiel6 3 5 2 5 5" xfId="38025"/>
    <cellStyle name="Table  - Opmaakprofiel6 3 5 2 5 6" xfId="50688"/>
    <cellStyle name="Table  - Opmaakprofiel6 3 5 2 6" xfId="6350"/>
    <cellStyle name="Table  - Opmaakprofiel6 3 5 2 6 2" xfId="11419"/>
    <cellStyle name="Table  - Opmaakprofiel6 3 5 2 6 2 2" xfId="23717"/>
    <cellStyle name="Table  - Opmaakprofiel6 3 5 2 6 2 3" xfId="35769"/>
    <cellStyle name="Table  - Opmaakprofiel6 3 5 2 6 2 4" xfId="46492"/>
    <cellStyle name="Table  - Opmaakprofiel6 3 5 2 6 2 5" xfId="56384"/>
    <cellStyle name="Table  - Opmaakprofiel6 3 5 2 6 3" xfId="17781"/>
    <cellStyle name="Table  - Opmaakprofiel6 3 5 2 6 4" xfId="29833"/>
    <cellStyle name="Table  - Opmaakprofiel6 3 5 2 6 5" xfId="38024"/>
    <cellStyle name="Table  - Opmaakprofiel6 3 5 2 6 6" xfId="50689"/>
    <cellStyle name="Table  - Opmaakprofiel6 3 5 2 7" xfId="6351"/>
    <cellStyle name="Table  - Opmaakprofiel6 3 5 2 7 2" xfId="17782"/>
    <cellStyle name="Table  - Opmaakprofiel6 3 5 2 7 3" xfId="29834"/>
    <cellStyle name="Table  - Opmaakprofiel6 3 5 2 7 4" xfId="38023"/>
    <cellStyle name="Table  - Opmaakprofiel6 3 5 2 7 5" xfId="50690"/>
    <cellStyle name="Table  - Opmaakprofiel6 3 5 2 8" xfId="10273"/>
    <cellStyle name="Table  - Opmaakprofiel6 3 5 2 8 2" xfId="22571"/>
    <cellStyle name="Table  - Opmaakprofiel6 3 5 2 8 3" xfId="44332"/>
    <cellStyle name="Table  - Opmaakprofiel6 3 5 2 8 4" xfId="31612"/>
    <cellStyle name="Table  - Opmaakprofiel6 3 5 2 8 5" xfId="55238"/>
    <cellStyle name="Table  - Opmaakprofiel6 3 5 2 9" xfId="17776"/>
    <cellStyle name="Table  - Opmaakprofiel6 3 5 3" xfId="531"/>
    <cellStyle name="Table  - Opmaakprofiel6 3 5 3 2" xfId="1851"/>
    <cellStyle name="Table  - Opmaakprofiel6 3 5 3 2 2" xfId="11420"/>
    <cellStyle name="Table  - Opmaakprofiel6 3 5 3 2 2 2" xfId="23718"/>
    <cellStyle name="Table  - Opmaakprofiel6 3 5 3 2 2 3" xfId="35770"/>
    <cellStyle name="Table  - Opmaakprofiel6 3 5 3 2 2 4" xfId="46493"/>
    <cellStyle name="Table  - Opmaakprofiel6 3 5 3 2 2 5" xfId="56385"/>
    <cellStyle name="Table  - Opmaakprofiel6 3 5 3 2 3" xfId="17784"/>
    <cellStyle name="Table  - Opmaakprofiel6 3 5 3 2 4" xfId="29836"/>
    <cellStyle name="Table  - Opmaakprofiel6 3 5 3 2 5" xfId="44297"/>
    <cellStyle name="Table  - Opmaakprofiel6 3 5 3 2 6" xfId="50691"/>
    <cellStyle name="Table  - Opmaakprofiel6 3 5 3 3" xfId="2602"/>
    <cellStyle name="Table  - Opmaakprofiel6 3 5 3 3 2" xfId="11421"/>
    <cellStyle name="Table  - Opmaakprofiel6 3 5 3 3 2 2" xfId="23719"/>
    <cellStyle name="Table  - Opmaakprofiel6 3 5 3 3 2 3" xfId="35771"/>
    <cellStyle name="Table  - Opmaakprofiel6 3 5 3 3 2 4" xfId="46494"/>
    <cellStyle name="Table  - Opmaakprofiel6 3 5 3 3 2 5" xfId="56386"/>
    <cellStyle name="Table  - Opmaakprofiel6 3 5 3 3 3" xfId="17785"/>
    <cellStyle name="Table  - Opmaakprofiel6 3 5 3 3 4" xfId="29837"/>
    <cellStyle name="Table  - Opmaakprofiel6 3 5 3 3 5" xfId="38021"/>
    <cellStyle name="Table  - Opmaakprofiel6 3 5 3 3 6" xfId="50692"/>
    <cellStyle name="Table  - Opmaakprofiel6 3 5 3 4" xfId="3482"/>
    <cellStyle name="Table  - Opmaakprofiel6 3 5 3 4 2" xfId="11422"/>
    <cellStyle name="Table  - Opmaakprofiel6 3 5 3 4 2 2" xfId="23720"/>
    <cellStyle name="Table  - Opmaakprofiel6 3 5 3 4 2 3" xfId="35772"/>
    <cellStyle name="Table  - Opmaakprofiel6 3 5 3 4 2 4" xfId="46495"/>
    <cellStyle name="Table  - Opmaakprofiel6 3 5 3 4 2 5" xfId="56387"/>
    <cellStyle name="Table  - Opmaakprofiel6 3 5 3 4 3" xfId="17786"/>
    <cellStyle name="Table  - Opmaakprofiel6 3 5 3 4 4" xfId="29838"/>
    <cellStyle name="Table  - Opmaakprofiel6 3 5 3 4 5" xfId="38020"/>
    <cellStyle name="Table  - Opmaakprofiel6 3 5 3 4 6" xfId="50693"/>
    <cellStyle name="Table  - Opmaakprofiel6 3 5 3 5" xfId="6352"/>
    <cellStyle name="Table  - Opmaakprofiel6 3 5 3 5 2" xfId="11423"/>
    <cellStyle name="Table  - Opmaakprofiel6 3 5 3 5 2 2" xfId="23721"/>
    <cellStyle name="Table  - Opmaakprofiel6 3 5 3 5 2 3" xfId="35773"/>
    <cellStyle name="Table  - Opmaakprofiel6 3 5 3 5 2 4" xfId="46496"/>
    <cellStyle name="Table  - Opmaakprofiel6 3 5 3 5 2 5" xfId="56388"/>
    <cellStyle name="Table  - Opmaakprofiel6 3 5 3 5 3" xfId="17787"/>
    <cellStyle name="Table  - Opmaakprofiel6 3 5 3 5 4" xfId="29839"/>
    <cellStyle name="Table  - Opmaakprofiel6 3 5 3 5 5" xfId="44296"/>
    <cellStyle name="Table  - Opmaakprofiel6 3 5 3 5 6" xfId="50694"/>
    <cellStyle name="Table  - Opmaakprofiel6 3 5 3 6" xfId="6353"/>
    <cellStyle name="Table  - Opmaakprofiel6 3 5 3 6 2" xfId="11424"/>
    <cellStyle name="Table  - Opmaakprofiel6 3 5 3 6 2 2" xfId="23722"/>
    <cellStyle name="Table  - Opmaakprofiel6 3 5 3 6 2 3" xfId="35774"/>
    <cellStyle name="Table  - Opmaakprofiel6 3 5 3 6 2 4" xfId="46497"/>
    <cellStyle name="Table  - Opmaakprofiel6 3 5 3 6 2 5" xfId="56389"/>
    <cellStyle name="Table  - Opmaakprofiel6 3 5 3 6 3" xfId="17788"/>
    <cellStyle name="Table  - Opmaakprofiel6 3 5 3 6 4" xfId="29840"/>
    <cellStyle name="Table  - Opmaakprofiel6 3 5 3 6 5" xfId="38019"/>
    <cellStyle name="Table  - Opmaakprofiel6 3 5 3 6 6" xfId="50695"/>
    <cellStyle name="Table  - Opmaakprofiel6 3 5 3 7" xfId="6354"/>
    <cellStyle name="Table  - Opmaakprofiel6 3 5 3 7 2" xfId="17789"/>
    <cellStyle name="Table  - Opmaakprofiel6 3 5 3 7 3" xfId="29841"/>
    <cellStyle name="Table  - Opmaakprofiel6 3 5 3 7 4" xfId="38018"/>
    <cellStyle name="Table  - Opmaakprofiel6 3 5 3 7 5" xfId="50696"/>
    <cellStyle name="Table  - Opmaakprofiel6 3 5 3 8" xfId="7629"/>
    <cellStyle name="Table  - Opmaakprofiel6 3 5 3 8 2" xfId="19927"/>
    <cellStyle name="Table  - Opmaakprofiel6 3 5 3 8 3" xfId="41730"/>
    <cellStyle name="Table  - Opmaakprofiel6 3 5 3 8 4" xfId="24947"/>
    <cellStyle name="Table  - Opmaakprofiel6 3 5 3 8 5" xfId="52599"/>
    <cellStyle name="Table  - Opmaakprofiel6 3 5 3 9" xfId="17783"/>
    <cellStyle name="Table  - Opmaakprofiel6 3 5 4" xfId="669"/>
    <cellStyle name="Table  - Opmaakprofiel6 3 5 4 2" xfId="2368"/>
    <cellStyle name="Table  - Opmaakprofiel6 3 5 4 2 2" xfId="11425"/>
    <cellStyle name="Table  - Opmaakprofiel6 3 5 4 2 2 2" xfId="23723"/>
    <cellStyle name="Table  - Opmaakprofiel6 3 5 4 2 2 3" xfId="35775"/>
    <cellStyle name="Table  - Opmaakprofiel6 3 5 4 2 2 4" xfId="46498"/>
    <cellStyle name="Table  - Opmaakprofiel6 3 5 4 2 2 5" xfId="56390"/>
    <cellStyle name="Table  - Opmaakprofiel6 3 5 4 2 3" xfId="17791"/>
    <cellStyle name="Table  - Opmaakprofiel6 3 5 4 2 4" xfId="29843"/>
    <cellStyle name="Table  - Opmaakprofiel6 3 5 4 2 5" xfId="44294"/>
    <cellStyle name="Table  - Opmaakprofiel6 3 5 4 2 6" xfId="50697"/>
    <cellStyle name="Table  - Opmaakprofiel6 3 5 4 3" xfId="2735"/>
    <cellStyle name="Table  - Opmaakprofiel6 3 5 4 3 2" xfId="11426"/>
    <cellStyle name="Table  - Opmaakprofiel6 3 5 4 3 2 2" xfId="23724"/>
    <cellStyle name="Table  - Opmaakprofiel6 3 5 4 3 2 3" xfId="35776"/>
    <cellStyle name="Table  - Opmaakprofiel6 3 5 4 3 2 4" xfId="46499"/>
    <cellStyle name="Table  - Opmaakprofiel6 3 5 4 3 2 5" xfId="56391"/>
    <cellStyle name="Table  - Opmaakprofiel6 3 5 4 3 3" xfId="17792"/>
    <cellStyle name="Table  - Opmaakprofiel6 3 5 4 3 4" xfId="29844"/>
    <cellStyle name="Table  - Opmaakprofiel6 3 5 4 3 5" xfId="38016"/>
    <cellStyle name="Table  - Opmaakprofiel6 3 5 4 3 6" xfId="50698"/>
    <cellStyle name="Table  - Opmaakprofiel6 3 5 4 4" xfId="3602"/>
    <cellStyle name="Table  - Opmaakprofiel6 3 5 4 4 2" xfId="11427"/>
    <cellStyle name="Table  - Opmaakprofiel6 3 5 4 4 2 2" xfId="23725"/>
    <cellStyle name="Table  - Opmaakprofiel6 3 5 4 4 2 3" xfId="35777"/>
    <cellStyle name="Table  - Opmaakprofiel6 3 5 4 4 2 4" xfId="46500"/>
    <cellStyle name="Table  - Opmaakprofiel6 3 5 4 4 2 5" xfId="56392"/>
    <cellStyle name="Table  - Opmaakprofiel6 3 5 4 4 3" xfId="17793"/>
    <cellStyle name="Table  - Opmaakprofiel6 3 5 4 4 4" xfId="29845"/>
    <cellStyle name="Table  - Opmaakprofiel6 3 5 4 4 5" xfId="38015"/>
    <cellStyle name="Table  - Opmaakprofiel6 3 5 4 4 6" xfId="50699"/>
    <cellStyle name="Table  - Opmaakprofiel6 3 5 4 5" xfId="6355"/>
    <cellStyle name="Table  - Opmaakprofiel6 3 5 4 5 2" xfId="11428"/>
    <cellStyle name="Table  - Opmaakprofiel6 3 5 4 5 2 2" xfId="23726"/>
    <cellStyle name="Table  - Opmaakprofiel6 3 5 4 5 2 3" xfId="35778"/>
    <cellStyle name="Table  - Opmaakprofiel6 3 5 4 5 2 4" xfId="46501"/>
    <cellStyle name="Table  - Opmaakprofiel6 3 5 4 5 2 5" xfId="56393"/>
    <cellStyle name="Table  - Opmaakprofiel6 3 5 4 5 3" xfId="17794"/>
    <cellStyle name="Table  - Opmaakprofiel6 3 5 4 5 4" xfId="29846"/>
    <cellStyle name="Table  - Opmaakprofiel6 3 5 4 5 5" xfId="44293"/>
    <cellStyle name="Table  - Opmaakprofiel6 3 5 4 5 6" xfId="50700"/>
    <cellStyle name="Table  - Opmaakprofiel6 3 5 4 6" xfId="6356"/>
    <cellStyle name="Table  - Opmaakprofiel6 3 5 4 6 2" xfId="11429"/>
    <cellStyle name="Table  - Opmaakprofiel6 3 5 4 6 2 2" xfId="23727"/>
    <cellStyle name="Table  - Opmaakprofiel6 3 5 4 6 2 3" xfId="35779"/>
    <cellStyle name="Table  - Opmaakprofiel6 3 5 4 6 2 4" xfId="46502"/>
    <cellStyle name="Table  - Opmaakprofiel6 3 5 4 6 2 5" xfId="56394"/>
    <cellStyle name="Table  - Opmaakprofiel6 3 5 4 6 3" xfId="17795"/>
    <cellStyle name="Table  - Opmaakprofiel6 3 5 4 6 4" xfId="29847"/>
    <cellStyle name="Table  - Opmaakprofiel6 3 5 4 6 5" xfId="38014"/>
    <cellStyle name="Table  - Opmaakprofiel6 3 5 4 6 6" xfId="50701"/>
    <cellStyle name="Table  - Opmaakprofiel6 3 5 4 7" xfId="6357"/>
    <cellStyle name="Table  - Opmaakprofiel6 3 5 4 7 2" xfId="17796"/>
    <cellStyle name="Table  - Opmaakprofiel6 3 5 4 7 3" xfId="29848"/>
    <cellStyle name="Table  - Opmaakprofiel6 3 5 4 7 4" xfId="38013"/>
    <cellStyle name="Table  - Opmaakprofiel6 3 5 4 7 5" xfId="50702"/>
    <cellStyle name="Table  - Opmaakprofiel6 3 5 4 8" xfId="7536"/>
    <cellStyle name="Table  - Opmaakprofiel6 3 5 4 8 2" xfId="19834"/>
    <cellStyle name="Table  - Opmaakprofiel6 3 5 4 8 3" xfId="41637"/>
    <cellStyle name="Table  - Opmaakprofiel6 3 5 4 8 4" xfId="43468"/>
    <cellStyle name="Table  - Opmaakprofiel6 3 5 4 8 5" xfId="52506"/>
    <cellStyle name="Table  - Opmaakprofiel6 3 5 4 9" xfId="17790"/>
    <cellStyle name="Table  - Opmaakprofiel6 3 5 5" xfId="467"/>
    <cellStyle name="Table  - Opmaakprofiel6 3 5 5 2" xfId="2120"/>
    <cellStyle name="Table  - Opmaakprofiel6 3 5 5 2 2" xfId="11430"/>
    <cellStyle name="Table  - Opmaakprofiel6 3 5 5 2 2 2" xfId="23728"/>
    <cellStyle name="Table  - Opmaakprofiel6 3 5 5 2 2 3" xfId="35780"/>
    <cellStyle name="Table  - Opmaakprofiel6 3 5 5 2 2 4" xfId="46503"/>
    <cellStyle name="Table  - Opmaakprofiel6 3 5 5 2 2 5" xfId="56395"/>
    <cellStyle name="Table  - Opmaakprofiel6 3 5 5 2 3" xfId="17798"/>
    <cellStyle name="Table  - Opmaakprofiel6 3 5 5 2 4" xfId="29850"/>
    <cellStyle name="Table  - Opmaakprofiel6 3 5 5 2 5" xfId="44291"/>
    <cellStyle name="Table  - Opmaakprofiel6 3 5 5 2 6" xfId="50703"/>
    <cellStyle name="Table  - Opmaakprofiel6 3 5 5 3" xfId="2538"/>
    <cellStyle name="Table  - Opmaakprofiel6 3 5 5 3 2" xfId="11431"/>
    <cellStyle name="Table  - Opmaakprofiel6 3 5 5 3 2 2" xfId="23729"/>
    <cellStyle name="Table  - Opmaakprofiel6 3 5 5 3 2 3" xfId="35781"/>
    <cellStyle name="Table  - Opmaakprofiel6 3 5 5 3 2 4" xfId="46504"/>
    <cellStyle name="Table  - Opmaakprofiel6 3 5 5 3 2 5" xfId="56396"/>
    <cellStyle name="Table  - Opmaakprofiel6 3 5 5 3 3" xfId="17799"/>
    <cellStyle name="Table  - Opmaakprofiel6 3 5 5 3 4" xfId="29851"/>
    <cellStyle name="Table  - Opmaakprofiel6 3 5 5 3 5" xfId="38011"/>
    <cellStyle name="Table  - Opmaakprofiel6 3 5 5 3 6" xfId="50704"/>
    <cellStyle name="Table  - Opmaakprofiel6 3 5 5 4" xfId="3425"/>
    <cellStyle name="Table  - Opmaakprofiel6 3 5 5 4 2" xfId="11432"/>
    <cellStyle name="Table  - Opmaakprofiel6 3 5 5 4 2 2" xfId="23730"/>
    <cellStyle name="Table  - Opmaakprofiel6 3 5 5 4 2 3" xfId="35782"/>
    <cellStyle name="Table  - Opmaakprofiel6 3 5 5 4 2 4" xfId="46505"/>
    <cellStyle name="Table  - Opmaakprofiel6 3 5 5 4 2 5" xfId="56397"/>
    <cellStyle name="Table  - Opmaakprofiel6 3 5 5 4 3" xfId="17800"/>
    <cellStyle name="Table  - Opmaakprofiel6 3 5 5 4 4" xfId="29852"/>
    <cellStyle name="Table  - Opmaakprofiel6 3 5 5 4 5" xfId="38010"/>
    <cellStyle name="Table  - Opmaakprofiel6 3 5 5 4 6" xfId="50705"/>
    <cellStyle name="Table  - Opmaakprofiel6 3 5 5 5" xfId="6358"/>
    <cellStyle name="Table  - Opmaakprofiel6 3 5 5 5 2" xfId="11433"/>
    <cellStyle name="Table  - Opmaakprofiel6 3 5 5 5 2 2" xfId="23731"/>
    <cellStyle name="Table  - Opmaakprofiel6 3 5 5 5 2 3" xfId="35783"/>
    <cellStyle name="Table  - Opmaakprofiel6 3 5 5 5 2 4" xfId="46506"/>
    <cellStyle name="Table  - Opmaakprofiel6 3 5 5 5 2 5" xfId="56398"/>
    <cellStyle name="Table  - Opmaakprofiel6 3 5 5 5 3" xfId="17801"/>
    <cellStyle name="Table  - Opmaakprofiel6 3 5 5 5 4" xfId="29853"/>
    <cellStyle name="Table  - Opmaakprofiel6 3 5 5 5 5" xfId="38009"/>
    <cellStyle name="Table  - Opmaakprofiel6 3 5 5 5 6" xfId="50706"/>
    <cellStyle name="Table  - Opmaakprofiel6 3 5 5 6" xfId="6359"/>
    <cellStyle name="Table  - Opmaakprofiel6 3 5 5 6 2" xfId="11434"/>
    <cellStyle name="Table  - Opmaakprofiel6 3 5 5 6 2 2" xfId="23732"/>
    <cellStyle name="Table  - Opmaakprofiel6 3 5 5 6 2 3" xfId="35784"/>
    <cellStyle name="Table  - Opmaakprofiel6 3 5 5 6 2 4" xfId="46507"/>
    <cellStyle name="Table  - Opmaakprofiel6 3 5 5 6 2 5" xfId="56399"/>
    <cellStyle name="Table  - Opmaakprofiel6 3 5 5 6 3" xfId="17802"/>
    <cellStyle name="Table  - Opmaakprofiel6 3 5 5 6 4" xfId="29854"/>
    <cellStyle name="Table  - Opmaakprofiel6 3 5 5 6 5" xfId="38008"/>
    <cellStyle name="Table  - Opmaakprofiel6 3 5 5 6 6" xfId="50707"/>
    <cellStyle name="Table  - Opmaakprofiel6 3 5 5 7" xfId="6360"/>
    <cellStyle name="Table  - Opmaakprofiel6 3 5 5 7 2" xfId="17803"/>
    <cellStyle name="Table  - Opmaakprofiel6 3 5 5 7 3" xfId="29855"/>
    <cellStyle name="Table  - Opmaakprofiel6 3 5 5 7 4" xfId="44288"/>
    <cellStyle name="Table  - Opmaakprofiel6 3 5 5 7 5" xfId="50708"/>
    <cellStyle name="Table  - Opmaakprofiel6 3 5 5 8" xfId="7671"/>
    <cellStyle name="Table  - Opmaakprofiel6 3 5 5 8 2" xfId="19969"/>
    <cellStyle name="Table  - Opmaakprofiel6 3 5 5 8 3" xfId="41772"/>
    <cellStyle name="Table  - Opmaakprofiel6 3 5 5 8 4" xfId="31919"/>
    <cellStyle name="Table  - Opmaakprofiel6 3 5 5 8 5" xfId="52641"/>
    <cellStyle name="Table  - Opmaakprofiel6 3 5 5 9" xfId="17797"/>
    <cellStyle name="Table  - Opmaakprofiel6 3 5 6" xfId="638"/>
    <cellStyle name="Table  - Opmaakprofiel6 3 5 6 2" xfId="2377"/>
    <cellStyle name="Table  - Opmaakprofiel6 3 5 6 2 2" xfId="11435"/>
    <cellStyle name="Table  - Opmaakprofiel6 3 5 6 2 2 2" xfId="23733"/>
    <cellStyle name="Table  - Opmaakprofiel6 3 5 6 2 2 3" xfId="35785"/>
    <cellStyle name="Table  - Opmaakprofiel6 3 5 6 2 2 4" xfId="46508"/>
    <cellStyle name="Table  - Opmaakprofiel6 3 5 6 2 2 5" xfId="56400"/>
    <cellStyle name="Table  - Opmaakprofiel6 3 5 6 2 3" xfId="17805"/>
    <cellStyle name="Table  - Opmaakprofiel6 3 5 6 2 4" xfId="29857"/>
    <cellStyle name="Table  - Opmaakprofiel6 3 5 6 2 5" xfId="38006"/>
    <cellStyle name="Table  - Opmaakprofiel6 3 5 6 2 6" xfId="50709"/>
    <cellStyle name="Table  - Opmaakprofiel6 3 5 6 3" xfId="2704"/>
    <cellStyle name="Table  - Opmaakprofiel6 3 5 6 3 2" xfId="11436"/>
    <cellStyle name="Table  - Opmaakprofiel6 3 5 6 3 2 2" xfId="23734"/>
    <cellStyle name="Table  - Opmaakprofiel6 3 5 6 3 2 3" xfId="35786"/>
    <cellStyle name="Table  - Opmaakprofiel6 3 5 6 3 2 4" xfId="46509"/>
    <cellStyle name="Table  - Opmaakprofiel6 3 5 6 3 2 5" xfId="56401"/>
    <cellStyle name="Table  - Opmaakprofiel6 3 5 6 3 3" xfId="17806"/>
    <cellStyle name="Table  - Opmaakprofiel6 3 5 6 3 4" xfId="29858"/>
    <cellStyle name="Table  - Opmaakprofiel6 3 5 6 3 5" xfId="44287"/>
    <cellStyle name="Table  - Opmaakprofiel6 3 5 6 3 6" xfId="50710"/>
    <cellStyle name="Table  - Opmaakprofiel6 3 5 6 4" xfId="3575"/>
    <cellStyle name="Table  - Opmaakprofiel6 3 5 6 4 2" xfId="11437"/>
    <cellStyle name="Table  - Opmaakprofiel6 3 5 6 4 2 2" xfId="23735"/>
    <cellStyle name="Table  - Opmaakprofiel6 3 5 6 4 2 3" xfId="35787"/>
    <cellStyle name="Table  - Opmaakprofiel6 3 5 6 4 2 4" xfId="46510"/>
    <cellStyle name="Table  - Opmaakprofiel6 3 5 6 4 2 5" xfId="56402"/>
    <cellStyle name="Table  - Opmaakprofiel6 3 5 6 4 3" xfId="17807"/>
    <cellStyle name="Table  - Opmaakprofiel6 3 5 6 4 4" xfId="29859"/>
    <cellStyle name="Table  - Opmaakprofiel6 3 5 6 4 5" xfId="38005"/>
    <cellStyle name="Table  - Opmaakprofiel6 3 5 6 4 6" xfId="50711"/>
    <cellStyle name="Table  - Opmaakprofiel6 3 5 6 5" xfId="6361"/>
    <cellStyle name="Table  - Opmaakprofiel6 3 5 6 5 2" xfId="11438"/>
    <cellStyle name="Table  - Opmaakprofiel6 3 5 6 5 2 2" xfId="23736"/>
    <cellStyle name="Table  - Opmaakprofiel6 3 5 6 5 2 3" xfId="35788"/>
    <cellStyle name="Table  - Opmaakprofiel6 3 5 6 5 2 4" xfId="46511"/>
    <cellStyle name="Table  - Opmaakprofiel6 3 5 6 5 2 5" xfId="56403"/>
    <cellStyle name="Table  - Opmaakprofiel6 3 5 6 5 3" xfId="17808"/>
    <cellStyle name="Table  - Opmaakprofiel6 3 5 6 5 4" xfId="29860"/>
    <cellStyle name="Table  - Opmaakprofiel6 3 5 6 5 5" xfId="38004"/>
    <cellStyle name="Table  - Opmaakprofiel6 3 5 6 5 6" xfId="50712"/>
    <cellStyle name="Table  - Opmaakprofiel6 3 5 6 6" xfId="6362"/>
    <cellStyle name="Table  - Opmaakprofiel6 3 5 6 6 2" xfId="11439"/>
    <cellStyle name="Table  - Opmaakprofiel6 3 5 6 6 2 2" xfId="23737"/>
    <cellStyle name="Table  - Opmaakprofiel6 3 5 6 6 2 3" xfId="35789"/>
    <cellStyle name="Table  - Opmaakprofiel6 3 5 6 6 2 4" xfId="46512"/>
    <cellStyle name="Table  - Opmaakprofiel6 3 5 6 6 2 5" xfId="56404"/>
    <cellStyle name="Table  - Opmaakprofiel6 3 5 6 6 3" xfId="17809"/>
    <cellStyle name="Table  - Opmaakprofiel6 3 5 6 6 4" xfId="29861"/>
    <cellStyle name="Table  - Opmaakprofiel6 3 5 6 6 5" xfId="38003"/>
    <cellStyle name="Table  - Opmaakprofiel6 3 5 6 6 6" xfId="50713"/>
    <cellStyle name="Table  - Opmaakprofiel6 3 5 6 7" xfId="6363"/>
    <cellStyle name="Table  - Opmaakprofiel6 3 5 6 7 2" xfId="17810"/>
    <cellStyle name="Table  - Opmaakprofiel6 3 5 6 7 3" xfId="29862"/>
    <cellStyle name="Table  - Opmaakprofiel6 3 5 6 7 4" xfId="44285"/>
    <cellStyle name="Table  - Opmaakprofiel6 3 5 6 7 5" xfId="50714"/>
    <cellStyle name="Table  - Opmaakprofiel6 3 5 6 8" xfId="10247"/>
    <cellStyle name="Table  - Opmaakprofiel6 3 5 6 8 2" xfId="22545"/>
    <cellStyle name="Table  - Opmaakprofiel6 3 5 6 8 3" xfId="44306"/>
    <cellStyle name="Table  - Opmaakprofiel6 3 5 6 8 4" xfId="28913"/>
    <cellStyle name="Table  - Opmaakprofiel6 3 5 6 8 5" xfId="55212"/>
    <cellStyle name="Table  - Opmaakprofiel6 3 5 6 9" xfId="17804"/>
    <cellStyle name="Table  - Opmaakprofiel6 3 5 7" xfId="519"/>
    <cellStyle name="Table  - Opmaakprofiel6 3 5 7 2" xfId="2234"/>
    <cellStyle name="Table  - Opmaakprofiel6 3 5 7 2 2" xfId="11440"/>
    <cellStyle name="Table  - Opmaakprofiel6 3 5 7 2 2 2" xfId="23738"/>
    <cellStyle name="Table  - Opmaakprofiel6 3 5 7 2 2 3" xfId="35790"/>
    <cellStyle name="Table  - Opmaakprofiel6 3 5 7 2 2 4" xfId="46513"/>
    <cellStyle name="Table  - Opmaakprofiel6 3 5 7 2 2 5" xfId="56405"/>
    <cellStyle name="Table  - Opmaakprofiel6 3 5 7 2 3" xfId="17812"/>
    <cellStyle name="Table  - Opmaakprofiel6 3 5 7 2 4" xfId="29864"/>
    <cellStyle name="Table  - Opmaakprofiel6 3 5 7 2 5" xfId="38001"/>
    <cellStyle name="Table  - Opmaakprofiel6 3 5 7 2 6" xfId="50715"/>
    <cellStyle name="Table  - Opmaakprofiel6 3 5 7 3" xfId="2590"/>
    <cellStyle name="Table  - Opmaakprofiel6 3 5 7 3 2" xfId="11441"/>
    <cellStyle name="Table  - Opmaakprofiel6 3 5 7 3 2 2" xfId="23739"/>
    <cellStyle name="Table  - Opmaakprofiel6 3 5 7 3 2 3" xfId="35791"/>
    <cellStyle name="Table  - Opmaakprofiel6 3 5 7 3 2 4" xfId="46514"/>
    <cellStyle name="Table  - Opmaakprofiel6 3 5 7 3 2 5" xfId="56406"/>
    <cellStyle name="Table  - Opmaakprofiel6 3 5 7 3 3" xfId="17813"/>
    <cellStyle name="Table  - Opmaakprofiel6 3 5 7 3 4" xfId="29865"/>
    <cellStyle name="Table  - Opmaakprofiel6 3 5 7 3 5" xfId="38000"/>
    <cellStyle name="Table  - Opmaakprofiel6 3 5 7 3 6" xfId="50716"/>
    <cellStyle name="Table  - Opmaakprofiel6 3 5 7 4" xfId="3471"/>
    <cellStyle name="Table  - Opmaakprofiel6 3 5 7 4 2" xfId="11442"/>
    <cellStyle name="Table  - Opmaakprofiel6 3 5 7 4 2 2" xfId="23740"/>
    <cellStyle name="Table  - Opmaakprofiel6 3 5 7 4 2 3" xfId="35792"/>
    <cellStyle name="Table  - Opmaakprofiel6 3 5 7 4 2 4" xfId="46515"/>
    <cellStyle name="Table  - Opmaakprofiel6 3 5 7 4 2 5" xfId="56407"/>
    <cellStyle name="Table  - Opmaakprofiel6 3 5 7 4 3" xfId="17814"/>
    <cellStyle name="Table  - Opmaakprofiel6 3 5 7 4 4" xfId="29866"/>
    <cellStyle name="Table  - Opmaakprofiel6 3 5 7 4 5" xfId="37999"/>
    <cellStyle name="Table  - Opmaakprofiel6 3 5 7 4 6" xfId="50717"/>
    <cellStyle name="Table  - Opmaakprofiel6 3 5 7 5" xfId="6364"/>
    <cellStyle name="Table  - Opmaakprofiel6 3 5 7 5 2" xfId="11443"/>
    <cellStyle name="Table  - Opmaakprofiel6 3 5 7 5 2 2" xfId="23741"/>
    <cellStyle name="Table  - Opmaakprofiel6 3 5 7 5 2 3" xfId="35793"/>
    <cellStyle name="Table  - Opmaakprofiel6 3 5 7 5 2 4" xfId="46516"/>
    <cellStyle name="Table  - Opmaakprofiel6 3 5 7 5 2 5" xfId="56408"/>
    <cellStyle name="Table  - Opmaakprofiel6 3 5 7 5 3" xfId="17815"/>
    <cellStyle name="Table  - Opmaakprofiel6 3 5 7 5 4" xfId="29867"/>
    <cellStyle name="Table  - Opmaakprofiel6 3 5 7 5 5" xfId="44282"/>
    <cellStyle name="Table  - Opmaakprofiel6 3 5 7 5 6" xfId="50718"/>
    <cellStyle name="Table  - Opmaakprofiel6 3 5 7 6" xfId="6365"/>
    <cellStyle name="Table  - Opmaakprofiel6 3 5 7 6 2" xfId="11444"/>
    <cellStyle name="Table  - Opmaakprofiel6 3 5 7 6 2 2" xfId="23742"/>
    <cellStyle name="Table  - Opmaakprofiel6 3 5 7 6 2 3" xfId="35794"/>
    <cellStyle name="Table  - Opmaakprofiel6 3 5 7 6 2 4" xfId="46517"/>
    <cellStyle name="Table  - Opmaakprofiel6 3 5 7 6 2 5" xfId="56409"/>
    <cellStyle name="Table  - Opmaakprofiel6 3 5 7 6 3" xfId="17816"/>
    <cellStyle name="Table  - Opmaakprofiel6 3 5 7 6 4" xfId="29868"/>
    <cellStyle name="Table  - Opmaakprofiel6 3 5 7 6 5" xfId="37998"/>
    <cellStyle name="Table  - Opmaakprofiel6 3 5 7 6 6" xfId="50719"/>
    <cellStyle name="Table  - Opmaakprofiel6 3 5 7 7" xfId="6366"/>
    <cellStyle name="Table  - Opmaakprofiel6 3 5 7 7 2" xfId="17817"/>
    <cellStyle name="Table  - Opmaakprofiel6 3 5 7 7 3" xfId="29869"/>
    <cellStyle name="Table  - Opmaakprofiel6 3 5 7 7 4" xfId="37997"/>
    <cellStyle name="Table  - Opmaakprofiel6 3 5 7 7 5" xfId="50720"/>
    <cellStyle name="Table  - Opmaakprofiel6 3 5 7 8" xfId="7637"/>
    <cellStyle name="Table  - Opmaakprofiel6 3 5 7 8 2" xfId="19935"/>
    <cellStyle name="Table  - Opmaakprofiel6 3 5 7 8 3" xfId="41738"/>
    <cellStyle name="Table  - Opmaakprofiel6 3 5 7 8 4" xfId="34311"/>
    <cellStyle name="Table  - Opmaakprofiel6 3 5 7 8 5" xfId="52607"/>
    <cellStyle name="Table  - Opmaakprofiel6 3 5 7 9" xfId="17811"/>
    <cellStyle name="Table  - Opmaakprofiel6 3 5 8" xfId="1859"/>
    <cellStyle name="Table  - Opmaakprofiel6 3 5 8 2" xfId="11445"/>
    <cellStyle name="Table  - Opmaakprofiel6 3 5 8 2 2" xfId="23743"/>
    <cellStyle name="Table  - Opmaakprofiel6 3 5 8 2 3" xfId="35795"/>
    <cellStyle name="Table  - Opmaakprofiel6 3 5 8 2 4" xfId="46518"/>
    <cellStyle name="Table  - Opmaakprofiel6 3 5 8 2 5" xfId="56410"/>
    <cellStyle name="Table  - Opmaakprofiel6 3 5 8 3" xfId="17818"/>
    <cellStyle name="Table  - Opmaakprofiel6 3 5 8 4" xfId="29870"/>
    <cellStyle name="Table  - Opmaakprofiel6 3 5 8 5" xfId="44281"/>
    <cellStyle name="Table  - Opmaakprofiel6 3 5 8 6" xfId="50721"/>
    <cellStyle name="Table  - Opmaakprofiel6 3 5 9" xfId="1927"/>
    <cellStyle name="Table  - Opmaakprofiel6 3 5 9 2" xfId="11446"/>
    <cellStyle name="Table  - Opmaakprofiel6 3 5 9 2 2" xfId="23744"/>
    <cellStyle name="Table  - Opmaakprofiel6 3 5 9 2 3" xfId="35796"/>
    <cellStyle name="Table  - Opmaakprofiel6 3 5 9 2 4" xfId="46519"/>
    <cellStyle name="Table  - Opmaakprofiel6 3 5 9 2 5" xfId="56411"/>
    <cellStyle name="Table  - Opmaakprofiel6 3 5 9 3" xfId="17819"/>
    <cellStyle name="Table  - Opmaakprofiel6 3 5 9 4" xfId="29871"/>
    <cellStyle name="Table  - Opmaakprofiel6 3 5 9 5" xfId="37996"/>
    <cellStyle name="Table  - Opmaakprofiel6 3 5 9 6" xfId="50722"/>
    <cellStyle name="Table  - Opmaakprofiel6 3 6" xfId="540"/>
    <cellStyle name="Table  - Opmaakprofiel6 3 6 2" xfId="1941"/>
    <cellStyle name="Table  - Opmaakprofiel6 3 6 2 2" xfId="11447"/>
    <cellStyle name="Table  - Opmaakprofiel6 3 6 2 2 2" xfId="23745"/>
    <cellStyle name="Table  - Opmaakprofiel6 3 6 2 2 3" xfId="35797"/>
    <cellStyle name="Table  - Opmaakprofiel6 3 6 2 2 4" xfId="46520"/>
    <cellStyle name="Table  - Opmaakprofiel6 3 6 2 2 5" xfId="56412"/>
    <cellStyle name="Table  - Opmaakprofiel6 3 6 2 3" xfId="17821"/>
    <cellStyle name="Table  - Opmaakprofiel6 3 6 2 4" xfId="29873"/>
    <cellStyle name="Table  - Opmaakprofiel6 3 6 2 5" xfId="37994"/>
    <cellStyle name="Table  - Opmaakprofiel6 3 6 2 6" xfId="50723"/>
    <cellStyle name="Table  - Opmaakprofiel6 3 6 3" xfId="2611"/>
    <cellStyle name="Table  - Opmaakprofiel6 3 6 3 2" xfId="11448"/>
    <cellStyle name="Table  - Opmaakprofiel6 3 6 3 2 2" xfId="23746"/>
    <cellStyle name="Table  - Opmaakprofiel6 3 6 3 2 3" xfId="35798"/>
    <cellStyle name="Table  - Opmaakprofiel6 3 6 3 2 4" xfId="46521"/>
    <cellStyle name="Table  - Opmaakprofiel6 3 6 3 2 5" xfId="56413"/>
    <cellStyle name="Table  - Opmaakprofiel6 3 6 3 3" xfId="17822"/>
    <cellStyle name="Table  - Opmaakprofiel6 3 6 3 4" xfId="29874"/>
    <cellStyle name="Table  - Opmaakprofiel6 3 6 3 5" xfId="44279"/>
    <cellStyle name="Table  - Opmaakprofiel6 3 6 3 6" xfId="50724"/>
    <cellStyle name="Table  - Opmaakprofiel6 3 6 4" xfId="3490"/>
    <cellStyle name="Table  - Opmaakprofiel6 3 6 4 2" xfId="11449"/>
    <cellStyle name="Table  - Opmaakprofiel6 3 6 4 2 2" xfId="23747"/>
    <cellStyle name="Table  - Opmaakprofiel6 3 6 4 2 3" xfId="35799"/>
    <cellStyle name="Table  - Opmaakprofiel6 3 6 4 2 4" xfId="46522"/>
    <cellStyle name="Table  - Opmaakprofiel6 3 6 4 2 5" xfId="56414"/>
    <cellStyle name="Table  - Opmaakprofiel6 3 6 4 3" xfId="17823"/>
    <cellStyle name="Table  - Opmaakprofiel6 3 6 4 4" xfId="29875"/>
    <cellStyle name="Table  - Opmaakprofiel6 3 6 4 5" xfId="37993"/>
    <cellStyle name="Table  - Opmaakprofiel6 3 6 4 6" xfId="50725"/>
    <cellStyle name="Table  - Opmaakprofiel6 3 6 5" xfId="6367"/>
    <cellStyle name="Table  - Opmaakprofiel6 3 6 5 2" xfId="11450"/>
    <cellStyle name="Table  - Opmaakprofiel6 3 6 5 2 2" xfId="23748"/>
    <cellStyle name="Table  - Opmaakprofiel6 3 6 5 2 3" xfId="35800"/>
    <cellStyle name="Table  - Opmaakprofiel6 3 6 5 2 4" xfId="46523"/>
    <cellStyle name="Table  - Opmaakprofiel6 3 6 5 2 5" xfId="56415"/>
    <cellStyle name="Table  - Opmaakprofiel6 3 6 5 3" xfId="17824"/>
    <cellStyle name="Table  - Opmaakprofiel6 3 6 5 4" xfId="29876"/>
    <cellStyle name="Table  - Opmaakprofiel6 3 6 5 5" xfId="37992"/>
    <cellStyle name="Table  - Opmaakprofiel6 3 6 5 6" xfId="50726"/>
    <cellStyle name="Table  - Opmaakprofiel6 3 6 6" xfId="6368"/>
    <cellStyle name="Table  - Opmaakprofiel6 3 6 6 2" xfId="11451"/>
    <cellStyle name="Table  - Opmaakprofiel6 3 6 6 2 2" xfId="23749"/>
    <cellStyle name="Table  - Opmaakprofiel6 3 6 6 2 3" xfId="35801"/>
    <cellStyle name="Table  - Opmaakprofiel6 3 6 6 2 4" xfId="46524"/>
    <cellStyle name="Table  - Opmaakprofiel6 3 6 6 2 5" xfId="56416"/>
    <cellStyle name="Table  - Opmaakprofiel6 3 6 6 3" xfId="17825"/>
    <cellStyle name="Table  - Opmaakprofiel6 3 6 6 4" xfId="29877"/>
    <cellStyle name="Table  - Opmaakprofiel6 3 6 6 5" xfId="37991"/>
    <cellStyle name="Table  - Opmaakprofiel6 3 6 6 6" xfId="50727"/>
    <cellStyle name="Table  - Opmaakprofiel6 3 6 7" xfId="6369"/>
    <cellStyle name="Table  - Opmaakprofiel6 3 6 7 2" xfId="17826"/>
    <cellStyle name="Table  - Opmaakprofiel6 3 6 7 3" xfId="29878"/>
    <cellStyle name="Table  - Opmaakprofiel6 3 6 7 4" xfId="37990"/>
    <cellStyle name="Table  - Opmaakprofiel6 3 6 7 5" xfId="50728"/>
    <cellStyle name="Table  - Opmaakprofiel6 3 6 8" xfId="10310"/>
    <cellStyle name="Table  - Opmaakprofiel6 3 6 8 2" xfId="22608"/>
    <cellStyle name="Table  - Opmaakprofiel6 3 6 8 3" xfId="44369"/>
    <cellStyle name="Table  - Opmaakprofiel6 3 6 8 4" xfId="42328"/>
    <cellStyle name="Table  - Opmaakprofiel6 3 6 8 5" xfId="55275"/>
    <cellStyle name="Table  - Opmaakprofiel6 3 6 9" xfId="17820"/>
    <cellStyle name="Table  - Opmaakprofiel6 3 7" xfId="481"/>
    <cellStyle name="Table  - Opmaakprofiel6 3 7 2" xfId="2031"/>
    <cellStyle name="Table  - Opmaakprofiel6 3 7 2 2" xfId="11452"/>
    <cellStyle name="Table  - Opmaakprofiel6 3 7 2 2 2" xfId="23750"/>
    <cellStyle name="Table  - Opmaakprofiel6 3 7 2 2 3" xfId="35802"/>
    <cellStyle name="Table  - Opmaakprofiel6 3 7 2 2 4" xfId="46525"/>
    <cellStyle name="Table  - Opmaakprofiel6 3 7 2 2 5" xfId="56417"/>
    <cellStyle name="Table  - Opmaakprofiel6 3 7 2 3" xfId="17828"/>
    <cellStyle name="Table  - Opmaakprofiel6 3 7 2 4" xfId="29880"/>
    <cellStyle name="Table  - Opmaakprofiel6 3 7 2 5" xfId="44275"/>
    <cellStyle name="Table  - Opmaakprofiel6 3 7 2 6" xfId="50729"/>
    <cellStyle name="Table  - Opmaakprofiel6 3 7 3" xfId="2552"/>
    <cellStyle name="Table  - Opmaakprofiel6 3 7 3 2" xfId="11453"/>
    <cellStyle name="Table  - Opmaakprofiel6 3 7 3 2 2" xfId="23751"/>
    <cellStyle name="Table  - Opmaakprofiel6 3 7 3 2 3" xfId="35803"/>
    <cellStyle name="Table  - Opmaakprofiel6 3 7 3 2 4" xfId="46526"/>
    <cellStyle name="Table  - Opmaakprofiel6 3 7 3 2 5" xfId="56418"/>
    <cellStyle name="Table  - Opmaakprofiel6 3 7 3 3" xfId="17829"/>
    <cellStyle name="Table  - Opmaakprofiel6 3 7 3 4" xfId="29881"/>
    <cellStyle name="Table  - Opmaakprofiel6 3 7 3 5" xfId="37988"/>
    <cellStyle name="Table  - Opmaakprofiel6 3 7 3 6" xfId="50730"/>
    <cellStyle name="Table  - Opmaakprofiel6 3 7 4" xfId="3437"/>
    <cellStyle name="Table  - Opmaakprofiel6 3 7 4 2" xfId="11454"/>
    <cellStyle name="Table  - Opmaakprofiel6 3 7 4 2 2" xfId="23752"/>
    <cellStyle name="Table  - Opmaakprofiel6 3 7 4 2 3" xfId="35804"/>
    <cellStyle name="Table  - Opmaakprofiel6 3 7 4 2 4" xfId="46527"/>
    <cellStyle name="Table  - Opmaakprofiel6 3 7 4 2 5" xfId="56419"/>
    <cellStyle name="Table  - Opmaakprofiel6 3 7 4 3" xfId="17830"/>
    <cellStyle name="Table  - Opmaakprofiel6 3 7 4 4" xfId="29882"/>
    <cellStyle name="Table  - Opmaakprofiel6 3 7 4 5" xfId="44274"/>
    <cellStyle name="Table  - Opmaakprofiel6 3 7 4 6" xfId="50731"/>
    <cellStyle name="Table  - Opmaakprofiel6 3 7 5" xfId="6370"/>
    <cellStyle name="Table  - Opmaakprofiel6 3 7 5 2" xfId="11455"/>
    <cellStyle name="Table  - Opmaakprofiel6 3 7 5 2 2" xfId="23753"/>
    <cellStyle name="Table  - Opmaakprofiel6 3 7 5 2 3" xfId="35805"/>
    <cellStyle name="Table  - Opmaakprofiel6 3 7 5 2 4" xfId="46528"/>
    <cellStyle name="Table  - Opmaakprofiel6 3 7 5 2 5" xfId="56420"/>
    <cellStyle name="Table  - Opmaakprofiel6 3 7 5 3" xfId="17831"/>
    <cellStyle name="Table  - Opmaakprofiel6 3 7 5 4" xfId="29883"/>
    <cellStyle name="Table  - Opmaakprofiel6 3 7 5 5" xfId="37987"/>
    <cellStyle name="Table  - Opmaakprofiel6 3 7 5 6" xfId="50732"/>
    <cellStyle name="Table  - Opmaakprofiel6 3 7 6" xfId="6371"/>
    <cellStyle name="Table  - Opmaakprofiel6 3 7 6 2" xfId="11456"/>
    <cellStyle name="Table  - Opmaakprofiel6 3 7 6 2 2" xfId="23754"/>
    <cellStyle name="Table  - Opmaakprofiel6 3 7 6 2 3" xfId="35806"/>
    <cellStyle name="Table  - Opmaakprofiel6 3 7 6 2 4" xfId="46529"/>
    <cellStyle name="Table  - Opmaakprofiel6 3 7 6 2 5" xfId="56421"/>
    <cellStyle name="Table  - Opmaakprofiel6 3 7 6 3" xfId="17832"/>
    <cellStyle name="Table  - Opmaakprofiel6 3 7 6 4" xfId="29884"/>
    <cellStyle name="Table  - Opmaakprofiel6 3 7 6 5" xfId="44273"/>
    <cellStyle name="Table  - Opmaakprofiel6 3 7 6 6" xfId="50733"/>
    <cellStyle name="Table  - Opmaakprofiel6 3 7 7" xfId="6372"/>
    <cellStyle name="Table  - Opmaakprofiel6 3 7 7 2" xfId="17833"/>
    <cellStyle name="Table  - Opmaakprofiel6 3 7 7 3" xfId="29885"/>
    <cellStyle name="Table  - Opmaakprofiel6 3 7 7 4" xfId="37986"/>
    <cellStyle name="Table  - Opmaakprofiel6 3 7 7 5" xfId="50734"/>
    <cellStyle name="Table  - Opmaakprofiel6 3 7 8" xfId="7662"/>
    <cellStyle name="Table  - Opmaakprofiel6 3 7 8 2" xfId="19960"/>
    <cellStyle name="Table  - Opmaakprofiel6 3 7 8 3" xfId="41763"/>
    <cellStyle name="Table  - Opmaakprofiel6 3 7 8 4" xfId="31375"/>
    <cellStyle name="Table  - Opmaakprofiel6 3 7 8 5" xfId="52632"/>
    <cellStyle name="Table  - Opmaakprofiel6 3 7 9" xfId="17827"/>
    <cellStyle name="Table  - Opmaakprofiel6 3 8" xfId="541"/>
    <cellStyle name="Table  - Opmaakprofiel6 3 8 2" xfId="2436"/>
    <cellStyle name="Table  - Opmaakprofiel6 3 8 2 2" xfId="11457"/>
    <cellStyle name="Table  - Opmaakprofiel6 3 8 2 2 2" xfId="23755"/>
    <cellStyle name="Table  - Opmaakprofiel6 3 8 2 2 3" xfId="35807"/>
    <cellStyle name="Table  - Opmaakprofiel6 3 8 2 2 4" xfId="46530"/>
    <cellStyle name="Table  - Opmaakprofiel6 3 8 2 2 5" xfId="56422"/>
    <cellStyle name="Table  - Opmaakprofiel6 3 8 2 3" xfId="17835"/>
    <cellStyle name="Table  - Opmaakprofiel6 3 8 2 4" xfId="29887"/>
    <cellStyle name="Table  - Opmaakprofiel6 3 8 2 5" xfId="41889"/>
    <cellStyle name="Table  - Opmaakprofiel6 3 8 2 6" xfId="50735"/>
    <cellStyle name="Table  - Opmaakprofiel6 3 8 3" xfId="2612"/>
    <cellStyle name="Table  - Opmaakprofiel6 3 8 3 2" xfId="11458"/>
    <cellStyle name="Table  - Opmaakprofiel6 3 8 3 2 2" xfId="23756"/>
    <cellStyle name="Table  - Opmaakprofiel6 3 8 3 2 3" xfId="35808"/>
    <cellStyle name="Table  - Opmaakprofiel6 3 8 3 2 4" xfId="46531"/>
    <cellStyle name="Table  - Opmaakprofiel6 3 8 3 2 5" xfId="56423"/>
    <cellStyle name="Table  - Opmaakprofiel6 3 8 3 3" xfId="17836"/>
    <cellStyle name="Table  - Opmaakprofiel6 3 8 3 4" xfId="29888"/>
    <cellStyle name="Table  - Opmaakprofiel6 3 8 3 5" xfId="37984"/>
    <cellStyle name="Table  - Opmaakprofiel6 3 8 3 6" xfId="50736"/>
    <cellStyle name="Table  - Opmaakprofiel6 3 8 4" xfId="3491"/>
    <cellStyle name="Table  - Opmaakprofiel6 3 8 4 2" xfId="11459"/>
    <cellStyle name="Table  - Opmaakprofiel6 3 8 4 2 2" xfId="23757"/>
    <cellStyle name="Table  - Opmaakprofiel6 3 8 4 2 3" xfId="35809"/>
    <cellStyle name="Table  - Opmaakprofiel6 3 8 4 2 4" xfId="46532"/>
    <cellStyle name="Table  - Opmaakprofiel6 3 8 4 2 5" xfId="56424"/>
    <cellStyle name="Table  - Opmaakprofiel6 3 8 4 3" xfId="17837"/>
    <cellStyle name="Table  - Opmaakprofiel6 3 8 4 4" xfId="29889"/>
    <cellStyle name="Table  - Opmaakprofiel6 3 8 4 5" xfId="44271"/>
    <cellStyle name="Table  - Opmaakprofiel6 3 8 4 6" xfId="50737"/>
    <cellStyle name="Table  - Opmaakprofiel6 3 8 5" xfId="6373"/>
    <cellStyle name="Table  - Opmaakprofiel6 3 8 5 2" xfId="11460"/>
    <cellStyle name="Table  - Opmaakprofiel6 3 8 5 2 2" xfId="23758"/>
    <cellStyle name="Table  - Opmaakprofiel6 3 8 5 2 3" xfId="35810"/>
    <cellStyle name="Table  - Opmaakprofiel6 3 8 5 2 4" xfId="46533"/>
    <cellStyle name="Table  - Opmaakprofiel6 3 8 5 2 5" xfId="56425"/>
    <cellStyle name="Table  - Opmaakprofiel6 3 8 5 3" xfId="17838"/>
    <cellStyle name="Table  - Opmaakprofiel6 3 8 5 4" xfId="29890"/>
    <cellStyle name="Table  - Opmaakprofiel6 3 8 5 5" xfId="37983"/>
    <cellStyle name="Table  - Opmaakprofiel6 3 8 5 6" xfId="50738"/>
    <cellStyle name="Table  - Opmaakprofiel6 3 8 6" xfId="6374"/>
    <cellStyle name="Table  - Opmaakprofiel6 3 8 6 2" xfId="11461"/>
    <cellStyle name="Table  - Opmaakprofiel6 3 8 6 2 2" xfId="23759"/>
    <cellStyle name="Table  - Opmaakprofiel6 3 8 6 2 3" xfId="35811"/>
    <cellStyle name="Table  - Opmaakprofiel6 3 8 6 2 4" xfId="46534"/>
    <cellStyle name="Table  - Opmaakprofiel6 3 8 6 2 5" xfId="56426"/>
    <cellStyle name="Table  - Opmaakprofiel6 3 8 6 3" xfId="17839"/>
    <cellStyle name="Table  - Opmaakprofiel6 3 8 6 4" xfId="29891"/>
    <cellStyle name="Table  - Opmaakprofiel6 3 8 6 5" xfId="44270"/>
    <cellStyle name="Table  - Opmaakprofiel6 3 8 6 6" xfId="50739"/>
    <cellStyle name="Table  - Opmaakprofiel6 3 8 7" xfId="6375"/>
    <cellStyle name="Table  - Opmaakprofiel6 3 8 7 2" xfId="17840"/>
    <cellStyle name="Table  - Opmaakprofiel6 3 8 7 3" xfId="29892"/>
    <cellStyle name="Table  - Opmaakprofiel6 3 8 7 4" xfId="37982"/>
    <cellStyle name="Table  - Opmaakprofiel6 3 8 7 5" xfId="50740"/>
    <cellStyle name="Table  - Opmaakprofiel6 3 8 8" xfId="7621"/>
    <cellStyle name="Table  - Opmaakprofiel6 3 8 8 2" xfId="19919"/>
    <cellStyle name="Table  - Opmaakprofiel6 3 8 8 3" xfId="41722"/>
    <cellStyle name="Table  - Opmaakprofiel6 3 8 8 4" xfId="24933"/>
    <cellStyle name="Table  - Opmaakprofiel6 3 8 8 5" xfId="52591"/>
    <cellStyle name="Table  - Opmaakprofiel6 3 8 9" xfId="17834"/>
    <cellStyle name="Table  - Opmaakprofiel6 3 9" xfId="560"/>
    <cellStyle name="Table  - Opmaakprofiel6 3 9 2" xfId="1901"/>
    <cellStyle name="Table  - Opmaakprofiel6 3 9 2 2" xfId="11462"/>
    <cellStyle name="Table  - Opmaakprofiel6 3 9 2 2 2" xfId="23760"/>
    <cellStyle name="Table  - Opmaakprofiel6 3 9 2 2 3" xfId="35812"/>
    <cellStyle name="Table  - Opmaakprofiel6 3 9 2 2 4" xfId="46535"/>
    <cellStyle name="Table  - Opmaakprofiel6 3 9 2 2 5" xfId="56427"/>
    <cellStyle name="Table  - Opmaakprofiel6 3 9 2 3" xfId="17842"/>
    <cellStyle name="Table  - Opmaakprofiel6 3 9 2 4" xfId="29894"/>
    <cellStyle name="Table  - Opmaakprofiel6 3 9 2 5" xfId="37981"/>
    <cellStyle name="Table  - Opmaakprofiel6 3 9 2 6" xfId="50741"/>
    <cellStyle name="Table  - Opmaakprofiel6 3 9 3" xfId="2631"/>
    <cellStyle name="Table  - Opmaakprofiel6 3 9 3 2" xfId="11463"/>
    <cellStyle name="Table  - Opmaakprofiel6 3 9 3 2 2" xfId="23761"/>
    <cellStyle name="Table  - Opmaakprofiel6 3 9 3 2 3" xfId="35813"/>
    <cellStyle name="Table  - Opmaakprofiel6 3 9 3 2 4" xfId="46536"/>
    <cellStyle name="Table  - Opmaakprofiel6 3 9 3 2 5" xfId="56428"/>
    <cellStyle name="Table  - Opmaakprofiel6 3 9 3 3" xfId="17843"/>
    <cellStyle name="Table  - Opmaakprofiel6 3 9 3 4" xfId="29895"/>
    <cellStyle name="Table  - Opmaakprofiel6 3 9 3 5" xfId="44269"/>
    <cellStyle name="Table  - Opmaakprofiel6 3 9 3 6" xfId="50742"/>
    <cellStyle name="Table  - Opmaakprofiel6 3 9 4" xfId="3509"/>
    <cellStyle name="Table  - Opmaakprofiel6 3 9 4 2" xfId="11464"/>
    <cellStyle name="Table  - Opmaakprofiel6 3 9 4 2 2" xfId="23762"/>
    <cellStyle name="Table  - Opmaakprofiel6 3 9 4 2 3" xfId="35814"/>
    <cellStyle name="Table  - Opmaakprofiel6 3 9 4 2 4" xfId="46537"/>
    <cellStyle name="Table  - Opmaakprofiel6 3 9 4 2 5" xfId="56429"/>
    <cellStyle name="Table  - Opmaakprofiel6 3 9 4 3" xfId="17844"/>
    <cellStyle name="Table  - Opmaakprofiel6 3 9 4 4" xfId="29896"/>
    <cellStyle name="Table  - Opmaakprofiel6 3 9 4 5" xfId="37980"/>
    <cellStyle name="Table  - Opmaakprofiel6 3 9 4 6" xfId="50743"/>
    <cellStyle name="Table  - Opmaakprofiel6 3 9 5" xfId="6376"/>
    <cellStyle name="Table  - Opmaakprofiel6 3 9 5 2" xfId="11465"/>
    <cellStyle name="Table  - Opmaakprofiel6 3 9 5 2 2" xfId="23763"/>
    <cellStyle name="Table  - Opmaakprofiel6 3 9 5 2 3" xfId="35815"/>
    <cellStyle name="Table  - Opmaakprofiel6 3 9 5 2 4" xfId="46538"/>
    <cellStyle name="Table  - Opmaakprofiel6 3 9 5 2 5" xfId="56430"/>
    <cellStyle name="Table  - Opmaakprofiel6 3 9 5 3" xfId="17845"/>
    <cellStyle name="Table  - Opmaakprofiel6 3 9 5 4" xfId="29897"/>
    <cellStyle name="Table  - Opmaakprofiel6 3 9 5 5" xfId="37979"/>
    <cellStyle name="Table  - Opmaakprofiel6 3 9 5 6" xfId="50744"/>
    <cellStyle name="Table  - Opmaakprofiel6 3 9 6" xfId="6377"/>
    <cellStyle name="Table  - Opmaakprofiel6 3 9 6 2" xfId="11466"/>
    <cellStyle name="Table  - Opmaakprofiel6 3 9 6 2 2" xfId="23764"/>
    <cellStyle name="Table  - Opmaakprofiel6 3 9 6 2 3" xfId="35816"/>
    <cellStyle name="Table  - Opmaakprofiel6 3 9 6 2 4" xfId="46539"/>
    <cellStyle name="Table  - Opmaakprofiel6 3 9 6 2 5" xfId="56431"/>
    <cellStyle name="Table  - Opmaakprofiel6 3 9 6 3" xfId="17846"/>
    <cellStyle name="Table  - Opmaakprofiel6 3 9 6 4" xfId="29898"/>
    <cellStyle name="Table  - Opmaakprofiel6 3 9 6 5" xfId="37978"/>
    <cellStyle name="Table  - Opmaakprofiel6 3 9 6 6" xfId="50745"/>
    <cellStyle name="Table  - Opmaakprofiel6 3 9 7" xfId="6378"/>
    <cellStyle name="Table  - Opmaakprofiel6 3 9 7 2" xfId="17847"/>
    <cellStyle name="Table  - Opmaakprofiel6 3 9 7 3" xfId="29899"/>
    <cellStyle name="Table  - Opmaakprofiel6 3 9 7 4" xfId="44267"/>
    <cellStyle name="Table  - Opmaakprofiel6 3 9 7 5" xfId="50746"/>
    <cellStyle name="Table  - Opmaakprofiel6 3 9 8" xfId="10299"/>
    <cellStyle name="Table  - Opmaakprofiel6 3 9 8 2" xfId="22597"/>
    <cellStyle name="Table  - Opmaakprofiel6 3 9 8 3" xfId="44358"/>
    <cellStyle name="Table  - Opmaakprofiel6 3 9 8 4" xfId="29018"/>
    <cellStyle name="Table  - Opmaakprofiel6 3 9 8 5" xfId="55264"/>
    <cellStyle name="Table  - Opmaakprofiel6 3 9 9" xfId="17841"/>
    <cellStyle name="Table  - Opmaakprofiel6 4" xfId="345"/>
    <cellStyle name="Table  - Opmaakprofiel6 4 10" xfId="2265"/>
    <cellStyle name="Table  - Opmaakprofiel6 4 10 2" xfId="11467"/>
    <cellStyle name="Table  - Opmaakprofiel6 4 10 2 2" xfId="23765"/>
    <cellStyle name="Table  - Opmaakprofiel6 4 10 2 3" xfId="35817"/>
    <cellStyle name="Table  - Opmaakprofiel6 4 10 2 4" xfId="46540"/>
    <cellStyle name="Table  - Opmaakprofiel6 4 10 2 5" xfId="56432"/>
    <cellStyle name="Table  - Opmaakprofiel6 4 10 3" xfId="17849"/>
    <cellStyle name="Table  - Opmaakprofiel6 4 10 4" xfId="29901"/>
    <cellStyle name="Table  - Opmaakprofiel6 4 10 5" xfId="37976"/>
    <cellStyle name="Table  - Opmaakprofiel6 4 10 6" xfId="50747"/>
    <cellStyle name="Table  - Opmaakprofiel6 4 11" xfId="2411"/>
    <cellStyle name="Table  - Opmaakprofiel6 4 11 2" xfId="11468"/>
    <cellStyle name="Table  - Opmaakprofiel6 4 11 2 2" xfId="23766"/>
    <cellStyle name="Table  - Opmaakprofiel6 4 11 2 3" xfId="35818"/>
    <cellStyle name="Table  - Opmaakprofiel6 4 11 2 4" xfId="46541"/>
    <cellStyle name="Table  - Opmaakprofiel6 4 11 2 5" xfId="56433"/>
    <cellStyle name="Table  - Opmaakprofiel6 4 11 3" xfId="17850"/>
    <cellStyle name="Table  - Opmaakprofiel6 4 11 4" xfId="29902"/>
    <cellStyle name="Table  - Opmaakprofiel6 4 11 5" xfId="44266"/>
    <cellStyle name="Table  - Opmaakprofiel6 4 11 6" xfId="50748"/>
    <cellStyle name="Table  - Opmaakprofiel6 4 12" xfId="2072"/>
    <cellStyle name="Table  - Opmaakprofiel6 4 12 2" xfId="11469"/>
    <cellStyle name="Table  - Opmaakprofiel6 4 12 2 2" xfId="23767"/>
    <cellStyle name="Table  - Opmaakprofiel6 4 12 2 3" xfId="35819"/>
    <cellStyle name="Table  - Opmaakprofiel6 4 12 2 4" xfId="46542"/>
    <cellStyle name="Table  - Opmaakprofiel6 4 12 2 5" xfId="56434"/>
    <cellStyle name="Table  - Opmaakprofiel6 4 12 3" xfId="17851"/>
    <cellStyle name="Table  - Opmaakprofiel6 4 12 4" xfId="29903"/>
    <cellStyle name="Table  - Opmaakprofiel6 4 12 5" xfId="37975"/>
    <cellStyle name="Table  - Opmaakprofiel6 4 12 6" xfId="50749"/>
    <cellStyle name="Table  - Opmaakprofiel6 4 13" xfId="6379"/>
    <cellStyle name="Table  - Opmaakprofiel6 4 13 2" xfId="11470"/>
    <cellStyle name="Table  - Opmaakprofiel6 4 13 2 2" xfId="23768"/>
    <cellStyle name="Table  - Opmaakprofiel6 4 13 2 3" xfId="35820"/>
    <cellStyle name="Table  - Opmaakprofiel6 4 13 2 4" xfId="46543"/>
    <cellStyle name="Table  - Opmaakprofiel6 4 13 2 5" xfId="56435"/>
    <cellStyle name="Table  - Opmaakprofiel6 4 13 3" xfId="17852"/>
    <cellStyle name="Table  - Opmaakprofiel6 4 13 4" xfId="29904"/>
    <cellStyle name="Table  - Opmaakprofiel6 4 13 5" xfId="37974"/>
    <cellStyle name="Table  - Opmaakprofiel6 4 13 6" xfId="50750"/>
    <cellStyle name="Table  - Opmaakprofiel6 4 14" xfId="6380"/>
    <cellStyle name="Table  - Opmaakprofiel6 4 14 2" xfId="11471"/>
    <cellStyle name="Table  - Opmaakprofiel6 4 14 2 2" xfId="23769"/>
    <cellStyle name="Table  - Opmaakprofiel6 4 14 2 3" xfId="35821"/>
    <cellStyle name="Table  - Opmaakprofiel6 4 14 2 4" xfId="46544"/>
    <cellStyle name="Table  - Opmaakprofiel6 4 14 2 5" xfId="56436"/>
    <cellStyle name="Table  - Opmaakprofiel6 4 14 3" xfId="17853"/>
    <cellStyle name="Table  - Opmaakprofiel6 4 14 4" xfId="29905"/>
    <cellStyle name="Table  - Opmaakprofiel6 4 14 5" xfId="37973"/>
    <cellStyle name="Table  - Opmaakprofiel6 4 14 6" xfId="50751"/>
    <cellStyle name="Table  - Opmaakprofiel6 4 15" xfId="6381"/>
    <cellStyle name="Table  - Opmaakprofiel6 4 15 2" xfId="17854"/>
    <cellStyle name="Table  - Opmaakprofiel6 4 15 3" xfId="29906"/>
    <cellStyle name="Table  - Opmaakprofiel6 4 15 4" xfId="37972"/>
    <cellStyle name="Table  - Opmaakprofiel6 4 15 5" xfId="50752"/>
    <cellStyle name="Table  - Opmaakprofiel6 4 16" xfId="7754"/>
    <cellStyle name="Table  - Opmaakprofiel6 4 16 2" xfId="20052"/>
    <cellStyle name="Table  - Opmaakprofiel6 4 16 3" xfId="41855"/>
    <cellStyle name="Table  - Opmaakprofiel6 4 16 4" xfId="43377"/>
    <cellStyle name="Table  - Opmaakprofiel6 4 16 5" xfId="52724"/>
    <cellStyle name="Table  - Opmaakprofiel6 4 17" xfId="17848"/>
    <cellStyle name="Table  - Opmaakprofiel6 4 2" xfId="623"/>
    <cellStyle name="Table  - Opmaakprofiel6 4 2 2" xfId="1669"/>
    <cellStyle name="Table  - Opmaakprofiel6 4 2 2 2" xfId="11472"/>
    <cellStyle name="Table  - Opmaakprofiel6 4 2 2 2 2" xfId="23770"/>
    <cellStyle name="Table  - Opmaakprofiel6 4 2 2 2 3" xfId="35822"/>
    <cellStyle name="Table  - Opmaakprofiel6 4 2 2 2 4" xfId="46545"/>
    <cellStyle name="Table  - Opmaakprofiel6 4 2 2 2 5" xfId="56437"/>
    <cellStyle name="Table  - Opmaakprofiel6 4 2 2 3" xfId="17856"/>
    <cellStyle name="Table  - Opmaakprofiel6 4 2 2 4" xfId="29908"/>
    <cellStyle name="Table  - Opmaakprofiel6 4 2 2 5" xfId="37971"/>
    <cellStyle name="Table  - Opmaakprofiel6 4 2 2 6" xfId="50753"/>
    <cellStyle name="Table  - Opmaakprofiel6 4 2 3" xfId="2694"/>
    <cellStyle name="Table  - Opmaakprofiel6 4 2 3 2" xfId="11473"/>
    <cellStyle name="Table  - Opmaakprofiel6 4 2 3 2 2" xfId="23771"/>
    <cellStyle name="Table  - Opmaakprofiel6 4 2 3 2 3" xfId="35823"/>
    <cellStyle name="Table  - Opmaakprofiel6 4 2 3 2 4" xfId="46546"/>
    <cellStyle name="Table  - Opmaakprofiel6 4 2 3 2 5" xfId="56438"/>
    <cellStyle name="Table  - Opmaakprofiel6 4 2 3 3" xfId="17857"/>
    <cellStyle name="Table  - Opmaakprofiel6 4 2 3 4" xfId="29909"/>
    <cellStyle name="Table  - Opmaakprofiel6 4 2 3 5" xfId="37970"/>
    <cellStyle name="Table  - Opmaakprofiel6 4 2 3 6" xfId="50754"/>
    <cellStyle name="Table  - Opmaakprofiel6 4 2 4" xfId="3566"/>
    <cellStyle name="Table  - Opmaakprofiel6 4 2 4 2" xfId="11474"/>
    <cellStyle name="Table  - Opmaakprofiel6 4 2 4 2 2" xfId="23772"/>
    <cellStyle name="Table  - Opmaakprofiel6 4 2 4 2 3" xfId="35824"/>
    <cellStyle name="Table  - Opmaakprofiel6 4 2 4 2 4" xfId="46547"/>
    <cellStyle name="Table  - Opmaakprofiel6 4 2 4 2 5" xfId="56439"/>
    <cellStyle name="Table  - Opmaakprofiel6 4 2 4 3" xfId="17858"/>
    <cellStyle name="Table  - Opmaakprofiel6 4 2 4 4" xfId="29910"/>
    <cellStyle name="Table  - Opmaakprofiel6 4 2 4 5" xfId="44262"/>
    <cellStyle name="Table  - Opmaakprofiel6 4 2 4 6" xfId="50755"/>
    <cellStyle name="Table  - Opmaakprofiel6 4 2 5" xfId="6382"/>
    <cellStyle name="Table  - Opmaakprofiel6 4 2 5 2" xfId="11475"/>
    <cellStyle name="Table  - Opmaakprofiel6 4 2 5 2 2" xfId="23773"/>
    <cellStyle name="Table  - Opmaakprofiel6 4 2 5 2 3" xfId="35825"/>
    <cellStyle name="Table  - Opmaakprofiel6 4 2 5 2 4" xfId="46548"/>
    <cellStyle name="Table  - Opmaakprofiel6 4 2 5 2 5" xfId="56440"/>
    <cellStyle name="Table  - Opmaakprofiel6 4 2 5 3" xfId="17859"/>
    <cellStyle name="Table  - Opmaakprofiel6 4 2 5 4" xfId="29911"/>
    <cellStyle name="Table  - Opmaakprofiel6 4 2 5 5" xfId="37969"/>
    <cellStyle name="Table  - Opmaakprofiel6 4 2 5 6" xfId="50756"/>
    <cellStyle name="Table  - Opmaakprofiel6 4 2 6" xfId="6383"/>
    <cellStyle name="Table  - Opmaakprofiel6 4 2 6 2" xfId="11476"/>
    <cellStyle name="Table  - Opmaakprofiel6 4 2 6 2 2" xfId="23774"/>
    <cellStyle name="Table  - Opmaakprofiel6 4 2 6 2 3" xfId="35826"/>
    <cellStyle name="Table  - Opmaakprofiel6 4 2 6 2 4" xfId="46549"/>
    <cellStyle name="Table  - Opmaakprofiel6 4 2 6 2 5" xfId="56441"/>
    <cellStyle name="Table  - Opmaakprofiel6 4 2 6 3" xfId="17860"/>
    <cellStyle name="Table  - Opmaakprofiel6 4 2 6 4" xfId="29912"/>
    <cellStyle name="Table  - Opmaakprofiel6 4 2 6 5" xfId="37968"/>
    <cellStyle name="Table  - Opmaakprofiel6 4 2 6 6" xfId="50757"/>
    <cellStyle name="Table  - Opmaakprofiel6 4 2 7" xfId="6384"/>
    <cellStyle name="Table  - Opmaakprofiel6 4 2 7 2" xfId="17861"/>
    <cellStyle name="Table  - Opmaakprofiel6 4 2 7 3" xfId="29913"/>
    <cellStyle name="Table  - Opmaakprofiel6 4 2 7 4" xfId="37967"/>
    <cellStyle name="Table  - Opmaakprofiel6 4 2 7 5" xfId="50758"/>
    <cellStyle name="Table  - Opmaakprofiel6 4 2 8" xfId="7566"/>
    <cellStyle name="Table  - Opmaakprofiel6 4 2 8 2" xfId="19864"/>
    <cellStyle name="Table  - Opmaakprofiel6 4 2 8 3" xfId="41667"/>
    <cellStyle name="Table  - Opmaakprofiel6 4 2 8 4" xfId="43455"/>
    <cellStyle name="Table  - Opmaakprofiel6 4 2 8 5" xfId="52536"/>
    <cellStyle name="Table  - Opmaakprofiel6 4 2 9" xfId="17855"/>
    <cellStyle name="Table  - Opmaakprofiel6 4 3" xfId="440"/>
    <cellStyle name="Table  - Opmaakprofiel6 4 3 2" xfId="1724"/>
    <cellStyle name="Table  - Opmaakprofiel6 4 3 2 2" xfId="11477"/>
    <cellStyle name="Table  - Opmaakprofiel6 4 3 2 2 2" xfId="23775"/>
    <cellStyle name="Table  - Opmaakprofiel6 4 3 2 2 3" xfId="35827"/>
    <cellStyle name="Table  - Opmaakprofiel6 4 3 2 2 4" xfId="46550"/>
    <cellStyle name="Table  - Opmaakprofiel6 4 3 2 2 5" xfId="56442"/>
    <cellStyle name="Table  - Opmaakprofiel6 4 3 2 3" xfId="17863"/>
    <cellStyle name="Table  - Opmaakprofiel6 4 3 2 4" xfId="29915"/>
    <cellStyle name="Table  - Opmaakprofiel6 4 3 2 5" xfId="44259"/>
    <cellStyle name="Table  - Opmaakprofiel6 4 3 2 6" xfId="50759"/>
    <cellStyle name="Table  - Opmaakprofiel6 4 3 3" xfId="2511"/>
    <cellStyle name="Table  - Opmaakprofiel6 4 3 3 2" xfId="11478"/>
    <cellStyle name="Table  - Opmaakprofiel6 4 3 3 2 2" xfId="23776"/>
    <cellStyle name="Table  - Opmaakprofiel6 4 3 3 2 3" xfId="35828"/>
    <cellStyle name="Table  - Opmaakprofiel6 4 3 3 2 4" xfId="46551"/>
    <cellStyle name="Table  - Opmaakprofiel6 4 3 3 2 5" xfId="56443"/>
    <cellStyle name="Table  - Opmaakprofiel6 4 3 3 3" xfId="17864"/>
    <cellStyle name="Table  - Opmaakprofiel6 4 3 3 4" xfId="29916"/>
    <cellStyle name="Table  - Opmaakprofiel6 4 3 3 5" xfId="37965"/>
    <cellStyle name="Table  - Opmaakprofiel6 4 3 3 6" xfId="50760"/>
    <cellStyle name="Table  - Opmaakprofiel6 4 3 4" xfId="1650"/>
    <cellStyle name="Table  - Opmaakprofiel6 4 3 4 2" xfId="11479"/>
    <cellStyle name="Table  - Opmaakprofiel6 4 3 4 2 2" xfId="23777"/>
    <cellStyle name="Table  - Opmaakprofiel6 4 3 4 2 3" xfId="35829"/>
    <cellStyle name="Table  - Opmaakprofiel6 4 3 4 2 4" xfId="46552"/>
    <cellStyle name="Table  - Opmaakprofiel6 4 3 4 2 5" xfId="56444"/>
    <cellStyle name="Table  - Opmaakprofiel6 4 3 4 3" xfId="17865"/>
    <cellStyle name="Table  - Opmaakprofiel6 4 3 4 4" xfId="29917"/>
    <cellStyle name="Table  - Opmaakprofiel6 4 3 4 5" xfId="37964"/>
    <cellStyle name="Table  - Opmaakprofiel6 4 3 4 6" xfId="50761"/>
    <cellStyle name="Table  - Opmaakprofiel6 4 3 5" xfId="6385"/>
    <cellStyle name="Table  - Opmaakprofiel6 4 3 5 2" xfId="11480"/>
    <cellStyle name="Table  - Opmaakprofiel6 4 3 5 2 2" xfId="23778"/>
    <cellStyle name="Table  - Opmaakprofiel6 4 3 5 2 3" xfId="35830"/>
    <cellStyle name="Table  - Opmaakprofiel6 4 3 5 2 4" xfId="46553"/>
    <cellStyle name="Table  - Opmaakprofiel6 4 3 5 2 5" xfId="56445"/>
    <cellStyle name="Table  - Opmaakprofiel6 4 3 5 3" xfId="17866"/>
    <cellStyle name="Table  - Opmaakprofiel6 4 3 5 4" xfId="29918"/>
    <cellStyle name="Table  - Opmaakprofiel6 4 3 5 5" xfId="44258"/>
    <cellStyle name="Table  - Opmaakprofiel6 4 3 5 6" xfId="50762"/>
    <cellStyle name="Table  - Opmaakprofiel6 4 3 6" xfId="6386"/>
    <cellStyle name="Table  - Opmaakprofiel6 4 3 6 2" xfId="11481"/>
    <cellStyle name="Table  - Opmaakprofiel6 4 3 6 2 2" xfId="23779"/>
    <cellStyle name="Table  - Opmaakprofiel6 4 3 6 2 3" xfId="35831"/>
    <cellStyle name="Table  - Opmaakprofiel6 4 3 6 2 4" xfId="46554"/>
    <cellStyle name="Table  - Opmaakprofiel6 4 3 6 2 5" xfId="56446"/>
    <cellStyle name="Table  - Opmaakprofiel6 4 3 6 3" xfId="17867"/>
    <cellStyle name="Table  - Opmaakprofiel6 4 3 6 4" xfId="29919"/>
    <cellStyle name="Table  - Opmaakprofiel6 4 3 6 5" xfId="37963"/>
    <cellStyle name="Table  - Opmaakprofiel6 4 3 6 6" xfId="50763"/>
    <cellStyle name="Table  - Opmaakprofiel6 4 3 7" xfId="6387"/>
    <cellStyle name="Table  - Opmaakprofiel6 4 3 7 2" xfId="17868"/>
    <cellStyle name="Table  - Opmaakprofiel6 4 3 7 3" xfId="29920"/>
    <cellStyle name="Table  - Opmaakprofiel6 4 3 7 4" xfId="37962"/>
    <cellStyle name="Table  - Opmaakprofiel6 4 3 7 5" xfId="50764"/>
    <cellStyle name="Table  - Opmaakprofiel6 4 3 8" xfId="7689"/>
    <cellStyle name="Table  - Opmaakprofiel6 4 3 8 2" xfId="19987"/>
    <cellStyle name="Table  - Opmaakprofiel6 4 3 8 3" xfId="41790"/>
    <cellStyle name="Table  - Opmaakprofiel6 4 3 8 4" xfId="31601"/>
    <cellStyle name="Table  - Opmaakprofiel6 4 3 8 5" xfId="52659"/>
    <cellStyle name="Table  - Opmaakprofiel6 4 3 9" xfId="17862"/>
    <cellStyle name="Table  - Opmaakprofiel6 4 4" xfId="487"/>
    <cellStyle name="Table  - Opmaakprofiel6 4 4 2" xfId="1694"/>
    <cellStyle name="Table  - Opmaakprofiel6 4 4 2 2" xfId="11482"/>
    <cellStyle name="Table  - Opmaakprofiel6 4 4 2 2 2" xfId="23780"/>
    <cellStyle name="Table  - Opmaakprofiel6 4 4 2 2 3" xfId="35832"/>
    <cellStyle name="Table  - Opmaakprofiel6 4 4 2 2 4" xfId="46555"/>
    <cellStyle name="Table  - Opmaakprofiel6 4 4 2 2 5" xfId="56447"/>
    <cellStyle name="Table  - Opmaakprofiel6 4 4 2 3" xfId="17870"/>
    <cellStyle name="Table  - Opmaakprofiel6 4 4 2 4" xfId="29922"/>
    <cellStyle name="Table  - Opmaakprofiel6 4 4 2 5" xfId="37960"/>
    <cellStyle name="Table  - Opmaakprofiel6 4 4 2 6" xfId="50765"/>
    <cellStyle name="Table  - Opmaakprofiel6 4 4 3" xfId="2558"/>
    <cellStyle name="Table  - Opmaakprofiel6 4 4 3 2" xfId="11483"/>
    <cellStyle name="Table  - Opmaakprofiel6 4 4 3 2 2" xfId="23781"/>
    <cellStyle name="Table  - Opmaakprofiel6 4 4 3 2 3" xfId="35833"/>
    <cellStyle name="Table  - Opmaakprofiel6 4 4 3 2 4" xfId="46556"/>
    <cellStyle name="Table  - Opmaakprofiel6 4 4 3 2 5" xfId="56448"/>
    <cellStyle name="Table  - Opmaakprofiel6 4 4 3 3" xfId="17871"/>
    <cellStyle name="Table  - Opmaakprofiel6 4 4 3 4" xfId="29923"/>
    <cellStyle name="Table  - Opmaakprofiel6 4 4 3 5" xfId="44255"/>
    <cellStyle name="Table  - Opmaakprofiel6 4 4 3 6" xfId="50766"/>
    <cellStyle name="Table  - Opmaakprofiel6 4 4 4" xfId="3443"/>
    <cellStyle name="Table  - Opmaakprofiel6 4 4 4 2" xfId="11484"/>
    <cellStyle name="Table  - Opmaakprofiel6 4 4 4 2 2" xfId="23782"/>
    <cellStyle name="Table  - Opmaakprofiel6 4 4 4 2 3" xfId="35834"/>
    <cellStyle name="Table  - Opmaakprofiel6 4 4 4 2 4" xfId="46557"/>
    <cellStyle name="Table  - Opmaakprofiel6 4 4 4 2 5" xfId="56449"/>
    <cellStyle name="Table  - Opmaakprofiel6 4 4 4 3" xfId="17872"/>
    <cellStyle name="Table  - Opmaakprofiel6 4 4 4 4" xfId="29924"/>
    <cellStyle name="Table  - Opmaakprofiel6 4 4 4 5" xfId="37959"/>
    <cellStyle name="Table  - Opmaakprofiel6 4 4 4 6" xfId="50767"/>
    <cellStyle name="Table  - Opmaakprofiel6 4 4 5" xfId="6388"/>
    <cellStyle name="Table  - Opmaakprofiel6 4 4 5 2" xfId="11485"/>
    <cellStyle name="Table  - Opmaakprofiel6 4 4 5 2 2" xfId="23783"/>
    <cellStyle name="Table  - Opmaakprofiel6 4 4 5 2 3" xfId="35835"/>
    <cellStyle name="Table  - Opmaakprofiel6 4 4 5 2 4" xfId="46558"/>
    <cellStyle name="Table  - Opmaakprofiel6 4 4 5 2 5" xfId="56450"/>
    <cellStyle name="Table  - Opmaakprofiel6 4 4 5 3" xfId="17873"/>
    <cellStyle name="Table  - Opmaakprofiel6 4 4 5 4" xfId="29925"/>
    <cellStyle name="Table  - Opmaakprofiel6 4 4 5 5" xfId="37958"/>
    <cellStyle name="Table  - Opmaakprofiel6 4 4 5 6" xfId="50768"/>
    <cellStyle name="Table  - Opmaakprofiel6 4 4 6" xfId="6389"/>
    <cellStyle name="Table  - Opmaakprofiel6 4 4 6 2" xfId="11486"/>
    <cellStyle name="Table  - Opmaakprofiel6 4 4 6 2 2" xfId="23784"/>
    <cellStyle name="Table  - Opmaakprofiel6 4 4 6 2 3" xfId="35836"/>
    <cellStyle name="Table  - Opmaakprofiel6 4 4 6 2 4" xfId="46559"/>
    <cellStyle name="Table  - Opmaakprofiel6 4 4 6 2 5" xfId="56451"/>
    <cellStyle name="Table  - Opmaakprofiel6 4 4 6 3" xfId="17874"/>
    <cellStyle name="Table  - Opmaakprofiel6 4 4 6 4" xfId="29926"/>
    <cellStyle name="Table  - Opmaakprofiel6 4 4 6 5" xfId="44254"/>
    <cellStyle name="Table  - Opmaakprofiel6 4 4 6 6" xfId="50769"/>
    <cellStyle name="Table  - Opmaakprofiel6 4 4 7" xfId="6390"/>
    <cellStyle name="Table  - Opmaakprofiel6 4 4 7 2" xfId="17875"/>
    <cellStyle name="Table  - Opmaakprofiel6 4 4 7 3" xfId="29927"/>
    <cellStyle name="Table  - Opmaakprofiel6 4 4 7 4" xfId="37957"/>
    <cellStyle name="Table  - Opmaakprofiel6 4 4 7 5" xfId="50770"/>
    <cellStyle name="Table  - Opmaakprofiel6 4 4 8" xfId="7658"/>
    <cellStyle name="Table  - Opmaakprofiel6 4 4 8 2" xfId="19956"/>
    <cellStyle name="Table  - Opmaakprofiel6 4 4 8 3" xfId="41759"/>
    <cellStyle name="Table  - Opmaakprofiel6 4 4 8 4" xfId="43417"/>
    <cellStyle name="Table  - Opmaakprofiel6 4 4 8 5" xfId="52628"/>
    <cellStyle name="Table  - Opmaakprofiel6 4 4 9" xfId="17869"/>
    <cellStyle name="Table  - Opmaakprofiel6 4 5" xfId="1117"/>
    <cellStyle name="Table  - Opmaakprofiel6 4 5 2" xfId="2421"/>
    <cellStyle name="Table  - Opmaakprofiel6 4 5 2 2" xfId="11487"/>
    <cellStyle name="Table  - Opmaakprofiel6 4 5 2 2 2" xfId="23785"/>
    <cellStyle name="Table  - Opmaakprofiel6 4 5 2 2 3" xfId="35837"/>
    <cellStyle name="Table  - Opmaakprofiel6 4 5 2 2 4" xfId="46560"/>
    <cellStyle name="Table  - Opmaakprofiel6 4 5 2 2 5" xfId="56452"/>
    <cellStyle name="Table  - Opmaakprofiel6 4 5 2 3" xfId="17877"/>
    <cellStyle name="Table  - Opmaakprofiel6 4 5 2 4" xfId="29929"/>
    <cellStyle name="Table  - Opmaakprofiel6 4 5 2 5" xfId="37955"/>
    <cellStyle name="Table  - Opmaakprofiel6 4 5 2 6" xfId="50771"/>
    <cellStyle name="Table  - Opmaakprofiel6 4 5 3" xfId="3128"/>
    <cellStyle name="Table  - Opmaakprofiel6 4 5 3 2" xfId="11488"/>
    <cellStyle name="Table  - Opmaakprofiel6 4 5 3 2 2" xfId="23786"/>
    <cellStyle name="Table  - Opmaakprofiel6 4 5 3 2 3" xfId="35838"/>
    <cellStyle name="Table  - Opmaakprofiel6 4 5 3 2 4" xfId="46561"/>
    <cellStyle name="Table  - Opmaakprofiel6 4 5 3 2 5" xfId="56453"/>
    <cellStyle name="Table  - Opmaakprofiel6 4 5 3 3" xfId="17878"/>
    <cellStyle name="Table  - Opmaakprofiel6 4 5 3 4" xfId="29930"/>
    <cellStyle name="Table  - Opmaakprofiel6 4 5 3 5" xfId="37954"/>
    <cellStyle name="Table  - Opmaakprofiel6 4 5 3 6" xfId="50772"/>
    <cellStyle name="Table  - Opmaakprofiel6 4 5 4" xfId="3962"/>
    <cellStyle name="Table  - Opmaakprofiel6 4 5 4 2" xfId="11489"/>
    <cellStyle name="Table  - Opmaakprofiel6 4 5 4 2 2" xfId="23787"/>
    <cellStyle name="Table  - Opmaakprofiel6 4 5 4 2 3" xfId="35839"/>
    <cellStyle name="Table  - Opmaakprofiel6 4 5 4 2 4" xfId="46562"/>
    <cellStyle name="Table  - Opmaakprofiel6 4 5 4 2 5" xfId="56454"/>
    <cellStyle name="Table  - Opmaakprofiel6 4 5 4 3" xfId="17879"/>
    <cellStyle name="Table  - Opmaakprofiel6 4 5 4 4" xfId="29931"/>
    <cellStyle name="Table  - Opmaakprofiel6 4 5 4 5" xfId="44251"/>
    <cellStyle name="Table  - Opmaakprofiel6 4 5 4 6" xfId="50773"/>
    <cellStyle name="Table  - Opmaakprofiel6 4 5 5" xfId="6391"/>
    <cellStyle name="Table  - Opmaakprofiel6 4 5 5 2" xfId="11490"/>
    <cellStyle name="Table  - Opmaakprofiel6 4 5 5 2 2" xfId="23788"/>
    <cellStyle name="Table  - Opmaakprofiel6 4 5 5 2 3" xfId="35840"/>
    <cellStyle name="Table  - Opmaakprofiel6 4 5 5 2 4" xfId="46563"/>
    <cellStyle name="Table  - Opmaakprofiel6 4 5 5 2 5" xfId="56455"/>
    <cellStyle name="Table  - Opmaakprofiel6 4 5 5 3" xfId="17880"/>
    <cellStyle name="Table  - Opmaakprofiel6 4 5 5 4" xfId="29932"/>
    <cellStyle name="Table  - Opmaakprofiel6 4 5 5 5" xfId="37953"/>
    <cellStyle name="Table  - Opmaakprofiel6 4 5 5 6" xfId="50774"/>
    <cellStyle name="Table  - Opmaakprofiel6 4 5 6" xfId="6392"/>
    <cellStyle name="Table  - Opmaakprofiel6 4 5 6 2" xfId="11491"/>
    <cellStyle name="Table  - Opmaakprofiel6 4 5 6 2 2" xfId="23789"/>
    <cellStyle name="Table  - Opmaakprofiel6 4 5 6 2 3" xfId="35841"/>
    <cellStyle name="Table  - Opmaakprofiel6 4 5 6 2 4" xfId="46564"/>
    <cellStyle name="Table  - Opmaakprofiel6 4 5 6 2 5" xfId="56456"/>
    <cellStyle name="Table  - Opmaakprofiel6 4 5 6 3" xfId="17881"/>
    <cellStyle name="Table  - Opmaakprofiel6 4 5 6 4" xfId="29933"/>
    <cellStyle name="Table  - Opmaakprofiel6 4 5 6 5" xfId="37952"/>
    <cellStyle name="Table  - Opmaakprofiel6 4 5 6 6" xfId="50775"/>
    <cellStyle name="Table  - Opmaakprofiel6 4 5 7" xfId="6393"/>
    <cellStyle name="Table  - Opmaakprofiel6 4 5 7 2" xfId="17882"/>
    <cellStyle name="Table  - Opmaakprofiel6 4 5 7 3" xfId="29934"/>
    <cellStyle name="Table  - Opmaakprofiel6 4 5 7 4" xfId="44250"/>
    <cellStyle name="Table  - Opmaakprofiel6 4 5 7 5" xfId="50776"/>
    <cellStyle name="Table  - Opmaakprofiel6 4 5 8" xfId="7231"/>
    <cellStyle name="Table  - Opmaakprofiel6 4 5 8 2" xfId="19529"/>
    <cellStyle name="Table  - Opmaakprofiel6 4 5 8 3" xfId="41332"/>
    <cellStyle name="Table  - Opmaakprofiel6 4 5 8 4" xfId="36899"/>
    <cellStyle name="Table  - Opmaakprofiel6 4 5 8 5" xfId="52201"/>
    <cellStyle name="Table  - Opmaakprofiel6 4 5 9" xfId="17876"/>
    <cellStyle name="Table  - Opmaakprofiel6 4 6" xfId="938"/>
    <cellStyle name="Table  - Opmaakprofiel6 4 6 2" xfId="2382"/>
    <cellStyle name="Table  - Opmaakprofiel6 4 6 2 2" xfId="11492"/>
    <cellStyle name="Table  - Opmaakprofiel6 4 6 2 2 2" xfId="23790"/>
    <cellStyle name="Table  - Opmaakprofiel6 4 6 2 2 3" xfId="35842"/>
    <cellStyle name="Table  - Opmaakprofiel6 4 6 2 2 4" xfId="46565"/>
    <cellStyle name="Table  - Opmaakprofiel6 4 6 2 2 5" xfId="56457"/>
    <cellStyle name="Table  - Opmaakprofiel6 4 6 2 3" xfId="17884"/>
    <cellStyle name="Table  - Opmaakprofiel6 4 6 2 4" xfId="29936"/>
    <cellStyle name="Table  - Opmaakprofiel6 4 6 2 5" xfId="37950"/>
    <cellStyle name="Table  - Opmaakprofiel6 4 6 2 6" xfId="50777"/>
    <cellStyle name="Table  - Opmaakprofiel6 4 6 3" xfId="2949"/>
    <cellStyle name="Table  - Opmaakprofiel6 4 6 3 2" xfId="11493"/>
    <cellStyle name="Table  - Opmaakprofiel6 4 6 3 2 2" xfId="23791"/>
    <cellStyle name="Table  - Opmaakprofiel6 4 6 3 2 3" xfId="35843"/>
    <cellStyle name="Table  - Opmaakprofiel6 4 6 3 2 4" xfId="46566"/>
    <cellStyle name="Table  - Opmaakprofiel6 4 6 3 2 5" xfId="56458"/>
    <cellStyle name="Table  - Opmaakprofiel6 4 6 3 3" xfId="17885"/>
    <cellStyle name="Table  - Opmaakprofiel6 4 6 3 4" xfId="29937"/>
    <cellStyle name="Table  - Opmaakprofiel6 4 6 3 5" xfId="37949"/>
    <cellStyle name="Table  - Opmaakprofiel6 4 6 3 6" xfId="50778"/>
    <cellStyle name="Table  - Opmaakprofiel6 4 6 4" xfId="3797"/>
    <cellStyle name="Table  - Opmaakprofiel6 4 6 4 2" xfId="11494"/>
    <cellStyle name="Table  - Opmaakprofiel6 4 6 4 2 2" xfId="23792"/>
    <cellStyle name="Table  - Opmaakprofiel6 4 6 4 2 3" xfId="35844"/>
    <cellStyle name="Table  - Opmaakprofiel6 4 6 4 2 4" xfId="46567"/>
    <cellStyle name="Table  - Opmaakprofiel6 4 6 4 2 5" xfId="56459"/>
    <cellStyle name="Table  - Opmaakprofiel6 4 6 4 3" xfId="17886"/>
    <cellStyle name="Table  - Opmaakprofiel6 4 6 4 4" xfId="29938"/>
    <cellStyle name="Table  - Opmaakprofiel6 4 6 4 5" xfId="37948"/>
    <cellStyle name="Table  - Opmaakprofiel6 4 6 4 6" xfId="50779"/>
    <cellStyle name="Table  - Opmaakprofiel6 4 6 5" xfId="6394"/>
    <cellStyle name="Table  - Opmaakprofiel6 4 6 5 2" xfId="11495"/>
    <cellStyle name="Table  - Opmaakprofiel6 4 6 5 2 2" xfId="23793"/>
    <cellStyle name="Table  - Opmaakprofiel6 4 6 5 2 3" xfId="35845"/>
    <cellStyle name="Table  - Opmaakprofiel6 4 6 5 2 4" xfId="46568"/>
    <cellStyle name="Table  - Opmaakprofiel6 4 6 5 2 5" xfId="56460"/>
    <cellStyle name="Table  - Opmaakprofiel6 4 6 5 3" xfId="17887"/>
    <cellStyle name="Table  - Opmaakprofiel6 4 6 5 4" xfId="29939"/>
    <cellStyle name="Table  - Opmaakprofiel6 4 6 5 5" xfId="44247"/>
    <cellStyle name="Table  - Opmaakprofiel6 4 6 5 6" xfId="50780"/>
    <cellStyle name="Table  - Opmaakprofiel6 4 6 6" xfId="6395"/>
    <cellStyle name="Table  - Opmaakprofiel6 4 6 6 2" xfId="11496"/>
    <cellStyle name="Table  - Opmaakprofiel6 4 6 6 2 2" xfId="23794"/>
    <cellStyle name="Table  - Opmaakprofiel6 4 6 6 2 3" xfId="35846"/>
    <cellStyle name="Table  - Opmaakprofiel6 4 6 6 2 4" xfId="46569"/>
    <cellStyle name="Table  - Opmaakprofiel6 4 6 6 2 5" xfId="56461"/>
    <cellStyle name="Table  - Opmaakprofiel6 4 6 6 3" xfId="17888"/>
    <cellStyle name="Table  - Opmaakprofiel6 4 6 6 4" xfId="29940"/>
    <cellStyle name="Table  - Opmaakprofiel6 4 6 6 5" xfId="37947"/>
    <cellStyle name="Table  - Opmaakprofiel6 4 6 6 6" xfId="50781"/>
    <cellStyle name="Table  - Opmaakprofiel6 4 6 7" xfId="6396"/>
    <cellStyle name="Table  - Opmaakprofiel6 4 6 7 2" xfId="17889"/>
    <cellStyle name="Table  - Opmaakprofiel6 4 6 7 3" xfId="29941"/>
    <cellStyle name="Table  - Opmaakprofiel6 4 6 7 4" xfId="37946"/>
    <cellStyle name="Table  - Opmaakprofiel6 4 6 7 5" xfId="50782"/>
    <cellStyle name="Table  - Opmaakprofiel6 4 6 8" xfId="7353"/>
    <cellStyle name="Table  - Opmaakprofiel6 4 6 8 2" xfId="19651"/>
    <cellStyle name="Table  - Opmaakprofiel6 4 6 8 3" xfId="41454"/>
    <cellStyle name="Table  - Opmaakprofiel6 4 6 8 4" xfId="36828"/>
    <cellStyle name="Table  - Opmaakprofiel6 4 6 8 5" xfId="52323"/>
    <cellStyle name="Table  - Opmaakprofiel6 4 6 9" xfId="17883"/>
    <cellStyle name="Table  - Opmaakprofiel6 4 7" xfId="605"/>
    <cellStyle name="Table  - Opmaakprofiel6 4 7 2" xfId="1534"/>
    <cellStyle name="Table  - Opmaakprofiel6 4 7 2 2" xfId="11497"/>
    <cellStyle name="Table  - Opmaakprofiel6 4 7 2 2 2" xfId="23795"/>
    <cellStyle name="Table  - Opmaakprofiel6 4 7 2 2 3" xfId="35847"/>
    <cellStyle name="Table  - Opmaakprofiel6 4 7 2 2 4" xfId="46570"/>
    <cellStyle name="Table  - Opmaakprofiel6 4 7 2 2 5" xfId="56462"/>
    <cellStyle name="Table  - Opmaakprofiel6 4 7 2 3" xfId="17891"/>
    <cellStyle name="Table  - Opmaakprofiel6 4 7 2 4" xfId="29943"/>
    <cellStyle name="Table  - Opmaakprofiel6 4 7 2 5" xfId="37945"/>
    <cellStyle name="Table  - Opmaakprofiel6 4 7 2 6" xfId="50783"/>
    <cellStyle name="Table  - Opmaakprofiel6 4 7 3" xfId="2676"/>
    <cellStyle name="Table  - Opmaakprofiel6 4 7 3 2" xfId="11498"/>
    <cellStyle name="Table  - Opmaakprofiel6 4 7 3 2 2" xfId="23796"/>
    <cellStyle name="Table  - Opmaakprofiel6 4 7 3 2 3" xfId="35848"/>
    <cellStyle name="Table  - Opmaakprofiel6 4 7 3 2 4" xfId="46571"/>
    <cellStyle name="Table  - Opmaakprofiel6 4 7 3 2 5" xfId="56463"/>
    <cellStyle name="Table  - Opmaakprofiel6 4 7 3 3" xfId="17892"/>
    <cellStyle name="Table  - Opmaakprofiel6 4 7 3 4" xfId="29944"/>
    <cellStyle name="Table  - Opmaakprofiel6 4 7 3 5" xfId="37944"/>
    <cellStyle name="Table  - Opmaakprofiel6 4 7 3 6" xfId="50784"/>
    <cellStyle name="Table  - Opmaakprofiel6 4 7 4" xfId="3548"/>
    <cellStyle name="Table  - Opmaakprofiel6 4 7 4 2" xfId="11499"/>
    <cellStyle name="Table  - Opmaakprofiel6 4 7 4 2 2" xfId="23797"/>
    <cellStyle name="Table  - Opmaakprofiel6 4 7 4 2 3" xfId="35849"/>
    <cellStyle name="Table  - Opmaakprofiel6 4 7 4 2 4" xfId="46572"/>
    <cellStyle name="Table  - Opmaakprofiel6 4 7 4 2 5" xfId="56464"/>
    <cellStyle name="Table  - Opmaakprofiel6 4 7 4 3" xfId="17893"/>
    <cellStyle name="Table  - Opmaakprofiel6 4 7 4 4" xfId="29945"/>
    <cellStyle name="Table  - Opmaakprofiel6 4 7 4 5" xfId="37943"/>
    <cellStyle name="Table  - Opmaakprofiel6 4 7 4 6" xfId="50785"/>
    <cellStyle name="Table  - Opmaakprofiel6 4 7 5" xfId="6397"/>
    <cellStyle name="Table  - Opmaakprofiel6 4 7 5 2" xfId="11500"/>
    <cellStyle name="Table  - Opmaakprofiel6 4 7 5 2 2" xfId="23798"/>
    <cellStyle name="Table  - Opmaakprofiel6 4 7 5 2 3" xfId="35850"/>
    <cellStyle name="Table  - Opmaakprofiel6 4 7 5 2 4" xfId="46573"/>
    <cellStyle name="Table  - Opmaakprofiel6 4 7 5 2 5" xfId="56465"/>
    <cellStyle name="Table  - Opmaakprofiel6 4 7 5 3" xfId="17894"/>
    <cellStyle name="Table  - Opmaakprofiel6 4 7 5 4" xfId="29946"/>
    <cellStyle name="Table  - Opmaakprofiel6 4 7 5 5" xfId="37942"/>
    <cellStyle name="Table  - Opmaakprofiel6 4 7 5 6" xfId="50786"/>
    <cellStyle name="Table  - Opmaakprofiel6 4 7 6" xfId="6398"/>
    <cellStyle name="Table  - Opmaakprofiel6 4 7 6 2" xfId="11501"/>
    <cellStyle name="Table  - Opmaakprofiel6 4 7 6 2 2" xfId="23799"/>
    <cellStyle name="Table  - Opmaakprofiel6 4 7 6 2 3" xfId="35851"/>
    <cellStyle name="Table  - Opmaakprofiel6 4 7 6 2 4" xfId="46574"/>
    <cellStyle name="Table  - Opmaakprofiel6 4 7 6 2 5" xfId="56466"/>
    <cellStyle name="Table  - Opmaakprofiel6 4 7 6 3" xfId="17895"/>
    <cellStyle name="Table  - Opmaakprofiel6 4 7 6 4" xfId="29947"/>
    <cellStyle name="Table  - Opmaakprofiel6 4 7 6 5" xfId="44244"/>
    <cellStyle name="Table  - Opmaakprofiel6 4 7 6 6" xfId="50787"/>
    <cellStyle name="Table  - Opmaakprofiel6 4 7 7" xfId="6399"/>
    <cellStyle name="Table  - Opmaakprofiel6 4 7 7 2" xfId="17896"/>
    <cellStyle name="Table  - Opmaakprofiel6 4 7 7 3" xfId="29948"/>
    <cellStyle name="Table  - Opmaakprofiel6 4 7 7 4" xfId="37941"/>
    <cellStyle name="Table  - Opmaakprofiel6 4 7 7 5" xfId="50788"/>
    <cellStyle name="Table  - Opmaakprofiel6 4 7 8" xfId="7578"/>
    <cellStyle name="Table  - Opmaakprofiel6 4 7 8 2" xfId="19876"/>
    <cellStyle name="Table  - Opmaakprofiel6 4 7 8 3" xfId="41679"/>
    <cellStyle name="Table  - Opmaakprofiel6 4 7 8 4" xfId="43450"/>
    <cellStyle name="Table  - Opmaakprofiel6 4 7 8 5" xfId="52548"/>
    <cellStyle name="Table  - Opmaakprofiel6 4 7 9" xfId="17890"/>
    <cellStyle name="Table  - Opmaakprofiel6 4 8" xfId="1321"/>
    <cellStyle name="Table  - Opmaakprofiel6 4 8 2" xfId="1959"/>
    <cellStyle name="Table  - Opmaakprofiel6 4 8 2 2" xfId="11502"/>
    <cellStyle name="Table  - Opmaakprofiel6 4 8 2 2 2" xfId="23800"/>
    <cellStyle name="Table  - Opmaakprofiel6 4 8 2 2 3" xfId="35852"/>
    <cellStyle name="Table  - Opmaakprofiel6 4 8 2 2 4" xfId="46575"/>
    <cellStyle name="Table  - Opmaakprofiel6 4 8 2 2 5" xfId="56467"/>
    <cellStyle name="Table  - Opmaakprofiel6 4 8 2 3" xfId="17898"/>
    <cellStyle name="Table  - Opmaakprofiel6 4 8 2 4" xfId="29950"/>
    <cellStyle name="Table  - Opmaakprofiel6 4 8 2 5" xfId="44243"/>
    <cellStyle name="Table  - Opmaakprofiel6 4 8 2 6" xfId="50789"/>
    <cellStyle name="Table  - Opmaakprofiel6 4 8 3" xfId="3332"/>
    <cellStyle name="Table  - Opmaakprofiel6 4 8 3 2" xfId="11503"/>
    <cellStyle name="Table  - Opmaakprofiel6 4 8 3 2 2" xfId="23801"/>
    <cellStyle name="Table  - Opmaakprofiel6 4 8 3 2 3" xfId="35853"/>
    <cellStyle name="Table  - Opmaakprofiel6 4 8 3 2 4" xfId="46576"/>
    <cellStyle name="Table  - Opmaakprofiel6 4 8 3 2 5" xfId="56468"/>
    <cellStyle name="Table  - Opmaakprofiel6 4 8 3 3" xfId="17899"/>
    <cellStyle name="Table  - Opmaakprofiel6 4 8 3 4" xfId="29951"/>
    <cellStyle name="Table  - Opmaakprofiel6 4 8 3 5" xfId="37939"/>
    <cellStyle name="Table  - Opmaakprofiel6 4 8 3 6" xfId="50790"/>
    <cellStyle name="Table  - Opmaakprofiel6 4 8 4" xfId="4113"/>
    <cellStyle name="Table  - Opmaakprofiel6 4 8 4 2" xfId="11504"/>
    <cellStyle name="Table  - Opmaakprofiel6 4 8 4 2 2" xfId="23802"/>
    <cellStyle name="Table  - Opmaakprofiel6 4 8 4 2 3" xfId="35854"/>
    <cellStyle name="Table  - Opmaakprofiel6 4 8 4 2 4" xfId="46577"/>
    <cellStyle name="Table  - Opmaakprofiel6 4 8 4 2 5" xfId="56469"/>
    <cellStyle name="Table  - Opmaakprofiel6 4 8 4 3" xfId="17900"/>
    <cellStyle name="Table  - Opmaakprofiel6 4 8 4 4" xfId="29952"/>
    <cellStyle name="Table  - Opmaakprofiel6 4 8 4 5" xfId="37938"/>
    <cellStyle name="Table  - Opmaakprofiel6 4 8 4 6" xfId="50791"/>
    <cellStyle name="Table  - Opmaakprofiel6 4 8 5" xfId="6400"/>
    <cellStyle name="Table  - Opmaakprofiel6 4 8 5 2" xfId="11505"/>
    <cellStyle name="Table  - Opmaakprofiel6 4 8 5 2 2" xfId="23803"/>
    <cellStyle name="Table  - Opmaakprofiel6 4 8 5 2 3" xfId="35855"/>
    <cellStyle name="Table  - Opmaakprofiel6 4 8 5 2 4" xfId="46578"/>
    <cellStyle name="Table  - Opmaakprofiel6 4 8 5 2 5" xfId="56470"/>
    <cellStyle name="Table  - Opmaakprofiel6 4 8 5 3" xfId="17901"/>
    <cellStyle name="Table  - Opmaakprofiel6 4 8 5 4" xfId="29953"/>
    <cellStyle name="Table  - Opmaakprofiel6 4 8 5 5" xfId="37937"/>
    <cellStyle name="Table  - Opmaakprofiel6 4 8 5 6" xfId="50792"/>
    <cellStyle name="Table  - Opmaakprofiel6 4 8 6" xfId="6401"/>
    <cellStyle name="Table  - Opmaakprofiel6 4 8 6 2" xfId="11506"/>
    <cellStyle name="Table  - Opmaakprofiel6 4 8 6 2 2" xfId="23804"/>
    <cellStyle name="Table  - Opmaakprofiel6 4 8 6 2 3" xfId="35856"/>
    <cellStyle name="Table  - Opmaakprofiel6 4 8 6 2 4" xfId="46579"/>
    <cellStyle name="Table  - Opmaakprofiel6 4 8 6 2 5" xfId="56471"/>
    <cellStyle name="Table  - Opmaakprofiel6 4 8 6 3" xfId="17902"/>
    <cellStyle name="Table  - Opmaakprofiel6 4 8 6 4" xfId="29954"/>
    <cellStyle name="Table  - Opmaakprofiel6 4 8 6 5" xfId="44241"/>
    <cellStyle name="Table  - Opmaakprofiel6 4 8 6 6" xfId="50793"/>
    <cellStyle name="Table  - Opmaakprofiel6 4 8 7" xfId="6402"/>
    <cellStyle name="Table  - Opmaakprofiel6 4 8 7 2" xfId="17903"/>
    <cellStyle name="Table  - Opmaakprofiel6 4 8 7 3" xfId="29955"/>
    <cellStyle name="Table  - Opmaakprofiel6 4 8 7 4" xfId="37936"/>
    <cellStyle name="Table  - Opmaakprofiel6 4 8 7 5" xfId="50794"/>
    <cellStyle name="Table  - Opmaakprofiel6 4 8 8" xfId="7057"/>
    <cellStyle name="Table  - Opmaakprofiel6 4 8 8 2" xfId="19355"/>
    <cellStyle name="Table  - Opmaakprofiel6 4 8 8 3" xfId="41158"/>
    <cellStyle name="Table  - Opmaakprofiel6 4 8 8 4" xfId="43668"/>
    <cellStyle name="Table  - Opmaakprofiel6 4 8 8 5" xfId="52028"/>
    <cellStyle name="Table  - Opmaakprofiel6 4 8 9" xfId="17897"/>
    <cellStyle name="Table  - Opmaakprofiel6 4 9" xfId="1377"/>
    <cellStyle name="Table  - Opmaakprofiel6 4 9 2" xfId="1392"/>
    <cellStyle name="Table  - Opmaakprofiel6 4 9 2 2" xfId="11507"/>
    <cellStyle name="Table  - Opmaakprofiel6 4 9 2 2 2" xfId="23805"/>
    <cellStyle name="Table  - Opmaakprofiel6 4 9 2 2 3" xfId="35857"/>
    <cellStyle name="Table  - Opmaakprofiel6 4 9 2 2 4" xfId="46580"/>
    <cellStyle name="Table  - Opmaakprofiel6 4 9 2 2 5" xfId="56472"/>
    <cellStyle name="Table  - Opmaakprofiel6 4 9 2 3" xfId="17905"/>
    <cellStyle name="Table  - Opmaakprofiel6 4 9 2 4" xfId="29957"/>
    <cellStyle name="Table  - Opmaakprofiel6 4 9 2 5" xfId="44240"/>
    <cellStyle name="Table  - Opmaakprofiel6 4 9 2 6" xfId="50795"/>
    <cellStyle name="Table  - Opmaakprofiel6 4 9 3" xfId="3388"/>
    <cellStyle name="Table  - Opmaakprofiel6 4 9 3 2" xfId="11508"/>
    <cellStyle name="Table  - Opmaakprofiel6 4 9 3 2 2" xfId="23806"/>
    <cellStyle name="Table  - Opmaakprofiel6 4 9 3 2 3" xfId="35858"/>
    <cellStyle name="Table  - Opmaakprofiel6 4 9 3 2 4" xfId="46581"/>
    <cellStyle name="Table  - Opmaakprofiel6 4 9 3 2 5" xfId="56473"/>
    <cellStyle name="Table  - Opmaakprofiel6 4 9 3 3" xfId="17906"/>
    <cellStyle name="Table  - Opmaakprofiel6 4 9 3 4" xfId="29958"/>
    <cellStyle name="Table  - Opmaakprofiel6 4 9 3 5" xfId="37934"/>
    <cellStyle name="Table  - Opmaakprofiel6 4 9 3 6" xfId="50796"/>
    <cellStyle name="Table  - Opmaakprofiel6 4 9 4" xfId="4149"/>
    <cellStyle name="Table  - Opmaakprofiel6 4 9 4 2" xfId="11509"/>
    <cellStyle name="Table  - Opmaakprofiel6 4 9 4 2 2" xfId="23807"/>
    <cellStyle name="Table  - Opmaakprofiel6 4 9 4 2 3" xfId="35859"/>
    <cellStyle name="Table  - Opmaakprofiel6 4 9 4 2 4" xfId="46582"/>
    <cellStyle name="Table  - Opmaakprofiel6 4 9 4 2 5" xfId="56474"/>
    <cellStyle name="Table  - Opmaakprofiel6 4 9 4 3" xfId="17907"/>
    <cellStyle name="Table  - Opmaakprofiel6 4 9 4 4" xfId="29959"/>
    <cellStyle name="Table  - Opmaakprofiel6 4 9 4 5" xfId="37933"/>
    <cellStyle name="Table  - Opmaakprofiel6 4 9 4 6" xfId="50797"/>
    <cellStyle name="Table  - Opmaakprofiel6 4 9 5" xfId="6403"/>
    <cellStyle name="Table  - Opmaakprofiel6 4 9 5 2" xfId="11510"/>
    <cellStyle name="Table  - Opmaakprofiel6 4 9 5 2 2" xfId="23808"/>
    <cellStyle name="Table  - Opmaakprofiel6 4 9 5 2 3" xfId="35860"/>
    <cellStyle name="Table  - Opmaakprofiel6 4 9 5 2 4" xfId="46583"/>
    <cellStyle name="Table  - Opmaakprofiel6 4 9 5 2 5" xfId="56475"/>
    <cellStyle name="Table  - Opmaakprofiel6 4 9 5 3" xfId="17908"/>
    <cellStyle name="Table  - Opmaakprofiel6 4 9 5 4" xfId="29960"/>
    <cellStyle name="Table  - Opmaakprofiel6 4 9 5 5" xfId="44239"/>
    <cellStyle name="Table  - Opmaakprofiel6 4 9 5 6" xfId="50798"/>
    <cellStyle name="Table  - Opmaakprofiel6 4 9 6" xfId="6404"/>
    <cellStyle name="Table  - Opmaakprofiel6 4 9 6 2" xfId="11511"/>
    <cellStyle name="Table  - Opmaakprofiel6 4 9 6 2 2" xfId="23809"/>
    <cellStyle name="Table  - Opmaakprofiel6 4 9 6 2 3" xfId="35861"/>
    <cellStyle name="Table  - Opmaakprofiel6 4 9 6 2 4" xfId="46584"/>
    <cellStyle name="Table  - Opmaakprofiel6 4 9 6 2 5" xfId="56476"/>
    <cellStyle name="Table  - Opmaakprofiel6 4 9 6 3" xfId="17909"/>
    <cellStyle name="Table  - Opmaakprofiel6 4 9 6 4" xfId="29961"/>
    <cellStyle name="Table  - Opmaakprofiel6 4 9 6 5" xfId="37932"/>
    <cellStyle name="Table  - Opmaakprofiel6 4 9 6 6" xfId="50799"/>
    <cellStyle name="Table  - Opmaakprofiel6 4 9 7" xfId="6405"/>
    <cellStyle name="Table  - Opmaakprofiel6 4 9 7 2" xfId="17910"/>
    <cellStyle name="Table  - Opmaakprofiel6 4 9 7 3" xfId="29962"/>
    <cellStyle name="Table  - Opmaakprofiel6 4 9 7 4" xfId="37931"/>
    <cellStyle name="Table  - Opmaakprofiel6 4 9 7 5" xfId="50800"/>
    <cellStyle name="Table  - Opmaakprofiel6 4 9 8" xfId="7009"/>
    <cellStyle name="Table  - Opmaakprofiel6 4 9 8 2" xfId="19307"/>
    <cellStyle name="Table  - Opmaakprofiel6 4 9 8 3" xfId="41110"/>
    <cellStyle name="Table  - Opmaakprofiel6 4 9 8 4" xfId="43688"/>
    <cellStyle name="Table  - Opmaakprofiel6 4 9 8 5" xfId="51980"/>
    <cellStyle name="Table  - Opmaakprofiel6 4 9 9" xfId="17904"/>
    <cellStyle name="Table  - Opmaakprofiel6 5" xfId="201"/>
    <cellStyle name="Table  - Opmaakprofiel6 5 2" xfId="11512"/>
    <cellStyle name="Table  - Opmaakprofiel6 5 2 2" xfId="23810"/>
    <cellStyle name="Table  - Opmaakprofiel6 5 2 3" xfId="35862"/>
    <cellStyle name="Table  - Opmaakprofiel6 5 2 4" xfId="46585"/>
    <cellStyle name="Table  - Opmaakprofiel6 5 2 5" xfId="56477"/>
    <cellStyle name="Table  - Opmaakprofiel6 5 3" xfId="17911"/>
    <cellStyle name="Table  - Opmaakprofiel6 5 4" xfId="29963"/>
    <cellStyle name="Table  - Opmaakprofiel6 5 5" xfId="37930"/>
    <cellStyle name="Table  - Opmaakprofiel6 5 6" xfId="50801"/>
    <cellStyle name="Table  - Opmaakprofiel6 6" xfId="6406"/>
    <cellStyle name="Table  - Opmaakprofiel6 6 2" xfId="11513"/>
    <cellStyle name="Table  - Opmaakprofiel6 6 2 2" xfId="23811"/>
    <cellStyle name="Table  - Opmaakprofiel6 6 2 3" xfId="35863"/>
    <cellStyle name="Table  - Opmaakprofiel6 6 2 4" xfId="46586"/>
    <cellStyle name="Table  - Opmaakprofiel6 6 2 5" xfId="56478"/>
    <cellStyle name="Table  - Opmaakprofiel6 6 3" xfId="17912"/>
    <cellStyle name="Table  - Opmaakprofiel6 6 4" xfId="29964"/>
    <cellStyle name="Table  - Opmaakprofiel6 6 5" xfId="44237"/>
    <cellStyle name="Table  - Opmaakprofiel6 6 6" xfId="50802"/>
    <cellStyle name="Table  - Opmaakprofiel6 7" xfId="6407"/>
    <cellStyle name="Table  - Opmaakprofiel6 7 2" xfId="17913"/>
    <cellStyle name="Table  - Opmaakprofiel6 7 3" xfId="29965"/>
    <cellStyle name="Table  - Opmaakprofiel6 7 4" xfId="37929"/>
    <cellStyle name="Table  - Opmaakprofiel6 7 5" xfId="50803"/>
    <cellStyle name="Table  - Opmaakprofiel6 8" xfId="6408"/>
    <cellStyle name="Table  - Opmaakprofiel6 8 2" xfId="17914"/>
    <cellStyle name="Table  - Opmaakprofiel6 8 3" xfId="29966"/>
    <cellStyle name="Table  - Opmaakprofiel6 8 4" xfId="37928"/>
    <cellStyle name="Table  - Opmaakprofiel6 8 5" xfId="50804"/>
    <cellStyle name="Table  - Opmaakprofiel6 9" xfId="6409"/>
    <cellStyle name="Table  - Opmaakprofiel6 9 2" xfId="17915"/>
    <cellStyle name="Table  - Opmaakprofiel6 9 3" xfId="29967"/>
    <cellStyle name="Table  - Opmaakprofiel6 9 4" xfId="37927"/>
    <cellStyle name="Table  - Opmaakprofiel6 9 5" xfId="50805"/>
    <cellStyle name="Titel 2" xfId="319"/>
    <cellStyle name="Title" xfId="320"/>
    <cellStyle name="Title  - Opmaakprofiel1" xfId="123"/>
    <cellStyle name="Title 2" xfId="124"/>
    <cellStyle name="Total" xfId="321"/>
    <cellStyle name="TotCol - Opmaakprofiel5" xfId="125"/>
    <cellStyle name="TotRow - Opmaakprofiel4" xfId="126"/>
    <cellStyle name="TotRow - Opmaakprofiel4 10" xfId="7789"/>
    <cellStyle name="TotRow - Opmaakprofiel4 10 2" xfId="20087"/>
    <cellStyle name="TotRow - Opmaakprofiel4 10 3" xfId="41890"/>
    <cellStyle name="TotRow - Opmaakprofiel4 10 4" xfId="25276"/>
    <cellStyle name="TotRow - Opmaakprofiel4 10 5" xfId="52758"/>
    <cellStyle name="TotRow - Opmaakprofiel4 11" xfId="17922"/>
    <cellStyle name="TotRow - Opmaakprofiel4 2" xfId="139"/>
    <cellStyle name="TotRow - Opmaakprofiel4 2 10" xfId="726"/>
    <cellStyle name="TotRow - Opmaakprofiel4 2 10 10" xfId="6410"/>
    <cellStyle name="TotRow - Opmaakprofiel4 2 10 10 2" xfId="11514"/>
    <cellStyle name="TotRow - Opmaakprofiel4 2 10 10 2 2" xfId="23813"/>
    <cellStyle name="TotRow - Opmaakprofiel4 2 10 10 2 3" xfId="35865"/>
    <cellStyle name="TotRow - Opmaakprofiel4 2 10 10 2 4" xfId="46588"/>
    <cellStyle name="TotRow - Opmaakprofiel4 2 10 10 2 5" xfId="56479"/>
    <cellStyle name="TotRow - Opmaakprofiel4 2 10 10 3" xfId="17925"/>
    <cellStyle name="TotRow - Opmaakprofiel4 2 10 10 4" xfId="29977"/>
    <cellStyle name="TotRow - Opmaakprofiel4 2 10 10 5" xfId="37921"/>
    <cellStyle name="TotRow - Opmaakprofiel4 2 10 10 6" xfId="50806"/>
    <cellStyle name="TotRow - Opmaakprofiel4 2 10 11" xfId="6411"/>
    <cellStyle name="TotRow - Opmaakprofiel4 2 10 11 2" xfId="11515"/>
    <cellStyle name="TotRow - Opmaakprofiel4 2 10 11 2 2" xfId="23814"/>
    <cellStyle name="TotRow - Opmaakprofiel4 2 10 11 2 3" xfId="35866"/>
    <cellStyle name="TotRow - Opmaakprofiel4 2 10 11 2 4" xfId="46589"/>
    <cellStyle name="TotRow - Opmaakprofiel4 2 10 11 2 5" xfId="56480"/>
    <cellStyle name="TotRow - Opmaakprofiel4 2 10 11 3" xfId="17926"/>
    <cellStyle name="TotRow - Opmaakprofiel4 2 10 11 4" xfId="29978"/>
    <cellStyle name="TotRow - Opmaakprofiel4 2 10 11 5" xfId="37920"/>
    <cellStyle name="TotRow - Opmaakprofiel4 2 10 11 6" xfId="50807"/>
    <cellStyle name="TotRow - Opmaakprofiel4 2 10 12" xfId="6412"/>
    <cellStyle name="TotRow - Opmaakprofiel4 2 10 12 2" xfId="17927"/>
    <cellStyle name="TotRow - Opmaakprofiel4 2 10 12 3" xfId="29979"/>
    <cellStyle name="TotRow - Opmaakprofiel4 2 10 12 4" xfId="37919"/>
    <cellStyle name="TotRow - Opmaakprofiel4 2 10 12 5" xfId="50808"/>
    <cellStyle name="TotRow - Opmaakprofiel4 2 10 13" xfId="7496"/>
    <cellStyle name="TotRow - Opmaakprofiel4 2 10 13 2" xfId="19794"/>
    <cellStyle name="TotRow - Opmaakprofiel4 2 10 13 3" xfId="41597"/>
    <cellStyle name="TotRow - Opmaakprofiel4 2 10 13 4" xfId="43484"/>
    <cellStyle name="TotRow - Opmaakprofiel4 2 10 13 5" xfId="52466"/>
    <cellStyle name="TotRow - Opmaakprofiel4 2 10 14" xfId="17924"/>
    <cellStyle name="TotRow - Opmaakprofiel4 2 10 2" xfId="896"/>
    <cellStyle name="TotRow - Opmaakprofiel4 2 10 2 2" xfId="2408"/>
    <cellStyle name="TotRow - Opmaakprofiel4 2 10 2 2 2" xfId="11516"/>
    <cellStyle name="TotRow - Opmaakprofiel4 2 10 2 2 2 2" xfId="23815"/>
    <cellStyle name="TotRow - Opmaakprofiel4 2 10 2 2 2 3" xfId="35867"/>
    <cellStyle name="TotRow - Opmaakprofiel4 2 10 2 2 2 4" xfId="46590"/>
    <cellStyle name="TotRow - Opmaakprofiel4 2 10 2 2 2 5" xfId="56481"/>
    <cellStyle name="TotRow - Opmaakprofiel4 2 10 2 2 3" xfId="17929"/>
    <cellStyle name="TotRow - Opmaakprofiel4 2 10 2 2 4" xfId="29981"/>
    <cellStyle name="TotRow - Opmaakprofiel4 2 10 2 2 5" xfId="37918"/>
    <cellStyle name="TotRow - Opmaakprofiel4 2 10 2 2 6" xfId="50809"/>
    <cellStyle name="TotRow - Opmaakprofiel4 2 10 2 3" xfId="2907"/>
    <cellStyle name="TotRow - Opmaakprofiel4 2 10 2 3 2" xfId="11517"/>
    <cellStyle name="TotRow - Opmaakprofiel4 2 10 2 3 2 2" xfId="23816"/>
    <cellStyle name="TotRow - Opmaakprofiel4 2 10 2 3 2 3" xfId="35868"/>
    <cellStyle name="TotRow - Opmaakprofiel4 2 10 2 3 2 4" xfId="46591"/>
    <cellStyle name="TotRow - Opmaakprofiel4 2 10 2 3 2 5" xfId="56482"/>
    <cellStyle name="TotRow - Opmaakprofiel4 2 10 2 3 3" xfId="17930"/>
    <cellStyle name="TotRow - Opmaakprofiel4 2 10 2 3 4" xfId="29982"/>
    <cellStyle name="TotRow - Opmaakprofiel4 2 10 2 3 5" xfId="37917"/>
    <cellStyle name="TotRow - Opmaakprofiel4 2 10 2 3 6" xfId="50810"/>
    <cellStyle name="TotRow - Opmaakprofiel4 2 10 2 4" xfId="3760"/>
    <cellStyle name="TotRow - Opmaakprofiel4 2 10 2 4 2" xfId="11518"/>
    <cellStyle name="TotRow - Opmaakprofiel4 2 10 2 4 2 2" xfId="23817"/>
    <cellStyle name="TotRow - Opmaakprofiel4 2 10 2 4 2 3" xfId="35869"/>
    <cellStyle name="TotRow - Opmaakprofiel4 2 10 2 4 2 4" xfId="46592"/>
    <cellStyle name="TotRow - Opmaakprofiel4 2 10 2 4 2 5" xfId="56483"/>
    <cellStyle name="TotRow - Opmaakprofiel4 2 10 2 4 3" xfId="17931"/>
    <cellStyle name="TotRow - Opmaakprofiel4 2 10 2 4 4" xfId="29983"/>
    <cellStyle name="TotRow - Opmaakprofiel4 2 10 2 4 5" xfId="37916"/>
    <cellStyle name="TotRow - Opmaakprofiel4 2 10 2 4 6" xfId="50811"/>
    <cellStyle name="TotRow - Opmaakprofiel4 2 10 2 5" xfId="6413"/>
    <cellStyle name="TotRow - Opmaakprofiel4 2 10 2 5 2" xfId="11519"/>
    <cellStyle name="TotRow - Opmaakprofiel4 2 10 2 5 2 2" xfId="23818"/>
    <cellStyle name="TotRow - Opmaakprofiel4 2 10 2 5 2 3" xfId="35870"/>
    <cellStyle name="TotRow - Opmaakprofiel4 2 10 2 5 2 4" xfId="46593"/>
    <cellStyle name="TotRow - Opmaakprofiel4 2 10 2 5 2 5" xfId="56484"/>
    <cellStyle name="TotRow - Opmaakprofiel4 2 10 2 5 3" xfId="17932"/>
    <cellStyle name="TotRow - Opmaakprofiel4 2 10 2 5 4" xfId="29984"/>
    <cellStyle name="TotRow - Opmaakprofiel4 2 10 2 5 5" xfId="37915"/>
    <cellStyle name="TotRow - Opmaakprofiel4 2 10 2 5 6" xfId="50812"/>
    <cellStyle name="TotRow - Opmaakprofiel4 2 10 2 6" xfId="6414"/>
    <cellStyle name="TotRow - Opmaakprofiel4 2 10 2 6 2" xfId="11520"/>
    <cellStyle name="TotRow - Opmaakprofiel4 2 10 2 6 2 2" xfId="23819"/>
    <cellStyle name="TotRow - Opmaakprofiel4 2 10 2 6 2 3" xfId="35871"/>
    <cellStyle name="TotRow - Opmaakprofiel4 2 10 2 6 2 4" xfId="46594"/>
    <cellStyle name="TotRow - Opmaakprofiel4 2 10 2 6 2 5" xfId="56485"/>
    <cellStyle name="TotRow - Opmaakprofiel4 2 10 2 6 3" xfId="17933"/>
    <cellStyle name="TotRow - Opmaakprofiel4 2 10 2 6 4" xfId="29985"/>
    <cellStyle name="TotRow - Opmaakprofiel4 2 10 2 6 5" xfId="37914"/>
    <cellStyle name="TotRow - Opmaakprofiel4 2 10 2 6 6" xfId="50813"/>
    <cellStyle name="TotRow - Opmaakprofiel4 2 10 2 7" xfId="6415"/>
    <cellStyle name="TotRow - Opmaakprofiel4 2 10 2 7 2" xfId="17934"/>
    <cellStyle name="TotRow - Opmaakprofiel4 2 10 2 7 3" xfId="29986"/>
    <cellStyle name="TotRow - Opmaakprofiel4 2 10 2 7 4" xfId="37913"/>
    <cellStyle name="TotRow - Opmaakprofiel4 2 10 2 7 5" xfId="50814"/>
    <cellStyle name="TotRow - Opmaakprofiel4 2 10 2 8" xfId="7381"/>
    <cellStyle name="TotRow - Opmaakprofiel4 2 10 2 8 2" xfId="19679"/>
    <cellStyle name="TotRow - Opmaakprofiel4 2 10 2 8 3" xfId="41482"/>
    <cellStyle name="TotRow - Opmaakprofiel4 2 10 2 8 4" xfId="20089"/>
    <cellStyle name="TotRow - Opmaakprofiel4 2 10 2 8 5" xfId="52351"/>
    <cellStyle name="TotRow - Opmaakprofiel4 2 10 2 9" xfId="17928"/>
    <cellStyle name="TotRow - Opmaakprofiel4 2 10 3" xfId="995"/>
    <cellStyle name="TotRow - Opmaakprofiel4 2 10 3 2" xfId="2327"/>
    <cellStyle name="TotRow - Opmaakprofiel4 2 10 3 2 2" xfId="11521"/>
    <cellStyle name="TotRow - Opmaakprofiel4 2 10 3 2 2 2" xfId="23820"/>
    <cellStyle name="TotRow - Opmaakprofiel4 2 10 3 2 2 3" xfId="35872"/>
    <cellStyle name="TotRow - Opmaakprofiel4 2 10 3 2 2 4" xfId="46595"/>
    <cellStyle name="TotRow - Opmaakprofiel4 2 10 3 2 2 5" xfId="56486"/>
    <cellStyle name="TotRow - Opmaakprofiel4 2 10 3 2 3" xfId="17936"/>
    <cellStyle name="TotRow - Opmaakprofiel4 2 10 3 2 4" xfId="29988"/>
    <cellStyle name="TotRow - Opmaakprofiel4 2 10 3 2 5" xfId="37912"/>
    <cellStyle name="TotRow - Opmaakprofiel4 2 10 3 2 6" xfId="50815"/>
    <cellStyle name="TotRow - Opmaakprofiel4 2 10 3 3" xfId="3006"/>
    <cellStyle name="TotRow - Opmaakprofiel4 2 10 3 3 2" xfId="11522"/>
    <cellStyle name="TotRow - Opmaakprofiel4 2 10 3 3 2 2" xfId="23821"/>
    <cellStyle name="TotRow - Opmaakprofiel4 2 10 3 3 2 3" xfId="35873"/>
    <cellStyle name="TotRow - Opmaakprofiel4 2 10 3 3 2 4" xfId="46596"/>
    <cellStyle name="TotRow - Opmaakprofiel4 2 10 3 3 2 5" xfId="56487"/>
    <cellStyle name="TotRow - Opmaakprofiel4 2 10 3 3 3" xfId="17937"/>
    <cellStyle name="TotRow - Opmaakprofiel4 2 10 3 3 4" xfId="29989"/>
    <cellStyle name="TotRow - Opmaakprofiel4 2 10 3 3 5" xfId="37911"/>
    <cellStyle name="TotRow - Opmaakprofiel4 2 10 3 3 6" xfId="50816"/>
    <cellStyle name="TotRow - Opmaakprofiel4 2 10 3 4" xfId="3852"/>
    <cellStyle name="TotRow - Opmaakprofiel4 2 10 3 4 2" xfId="11523"/>
    <cellStyle name="TotRow - Opmaakprofiel4 2 10 3 4 2 2" xfId="23822"/>
    <cellStyle name="TotRow - Opmaakprofiel4 2 10 3 4 2 3" xfId="35874"/>
    <cellStyle name="TotRow - Opmaakprofiel4 2 10 3 4 2 4" xfId="46597"/>
    <cellStyle name="TotRow - Opmaakprofiel4 2 10 3 4 2 5" xfId="56488"/>
    <cellStyle name="TotRow - Opmaakprofiel4 2 10 3 4 3" xfId="17938"/>
    <cellStyle name="TotRow - Opmaakprofiel4 2 10 3 4 4" xfId="29990"/>
    <cellStyle name="TotRow - Opmaakprofiel4 2 10 3 4 5" xfId="44223"/>
    <cellStyle name="TotRow - Opmaakprofiel4 2 10 3 4 6" xfId="50817"/>
    <cellStyle name="TotRow - Opmaakprofiel4 2 10 3 5" xfId="6416"/>
    <cellStyle name="TotRow - Opmaakprofiel4 2 10 3 5 2" xfId="11524"/>
    <cellStyle name="TotRow - Opmaakprofiel4 2 10 3 5 2 2" xfId="23823"/>
    <cellStyle name="TotRow - Opmaakprofiel4 2 10 3 5 2 3" xfId="35875"/>
    <cellStyle name="TotRow - Opmaakprofiel4 2 10 3 5 2 4" xfId="46598"/>
    <cellStyle name="TotRow - Opmaakprofiel4 2 10 3 5 2 5" xfId="56489"/>
    <cellStyle name="TotRow - Opmaakprofiel4 2 10 3 5 3" xfId="17939"/>
    <cellStyle name="TotRow - Opmaakprofiel4 2 10 3 5 4" xfId="29991"/>
    <cellStyle name="TotRow - Opmaakprofiel4 2 10 3 5 5" xfId="37910"/>
    <cellStyle name="TotRow - Opmaakprofiel4 2 10 3 5 6" xfId="50818"/>
    <cellStyle name="TotRow - Opmaakprofiel4 2 10 3 6" xfId="6417"/>
    <cellStyle name="TotRow - Opmaakprofiel4 2 10 3 6 2" xfId="11525"/>
    <cellStyle name="TotRow - Opmaakprofiel4 2 10 3 6 2 2" xfId="23824"/>
    <cellStyle name="TotRow - Opmaakprofiel4 2 10 3 6 2 3" xfId="35876"/>
    <cellStyle name="TotRow - Opmaakprofiel4 2 10 3 6 2 4" xfId="46599"/>
    <cellStyle name="TotRow - Opmaakprofiel4 2 10 3 6 2 5" xfId="56490"/>
    <cellStyle name="TotRow - Opmaakprofiel4 2 10 3 6 3" xfId="17940"/>
    <cellStyle name="TotRow - Opmaakprofiel4 2 10 3 6 4" xfId="29992"/>
    <cellStyle name="TotRow - Opmaakprofiel4 2 10 3 6 5" xfId="37909"/>
    <cellStyle name="TotRow - Opmaakprofiel4 2 10 3 6 6" xfId="50819"/>
    <cellStyle name="TotRow - Opmaakprofiel4 2 10 3 7" xfId="6418"/>
    <cellStyle name="TotRow - Opmaakprofiel4 2 10 3 7 2" xfId="17941"/>
    <cellStyle name="TotRow - Opmaakprofiel4 2 10 3 7 3" xfId="29993"/>
    <cellStyle name="TotRow - Opmaakprofiel4 2 10 3 7 4" xfId="37908"/>
    <cellStyle name="TotRow - Opmaakprofiel4 2 10 3 7 5" xfId="50820"/>
    <cellStyle name="TotRow - Opmaakprofiel4 2 10 3 8" xfId="10006"/>
    <cellStyle name="TotRow - Opmaakprofiel4 2 10 3 8 2" xfId="22304"/>
    <cellStyle name="TotRow - Opmaakprofiel4 2 10 3 8 3" xfId="44069"/>
    <cellStyle name="TotRow - Opmaakprofiel4 2 10 3 8 4" xfId="42455"/>
    <cellStyle name="TotRow - Opmaakprofiel4 2 10 3 8 5" xfId="54971"/>
    <cellStyle name="TotRow - Opmaakprofiel4 2 10 3 9" xfId="17935"/>
    <cellStyle name="TotRow - Opmaakprofiel4 2 10 4" xfId="877"/>
    <cellStyle name="TotRow - Opmaakprofiel4 2 10 4 2" xfId="1427"/>
    <cellStyle name="TotRow - Opmaakprofiel4 2 10 4 2 2" xfId="11526"/>
    <cellStyle name="TotRow - Opmaakprofiel4 2 10 4 2 2 2" xfId="23825"/>
    <cellStyle name="TotRow - Opmaakprofiel4 2 10 4 2 2 3" xfId="35877"/>
    <cellStyle name="TotRow - Opmaakprofiel4 2 10 4 2 2 4" xfId="46600"/>
    <cellStyle name="TotRow - Opmaakprofiel4 2 10 4 2 2 5" xfId="56491"/>
    <cellStyle name="TotRow - Opmaakprofiel4 2 10 4 2 3" xfId="17943"/>
    <cellStyle name="TotRow - Opmaakprofiel4 2 10 4 2 4" xfId="29995"/>
    <cellStyle name="TotRow - Opmaakprofiel4 2 10 4 2 5" xfId="44220"/>
    <cellStyle name="TotRow - Opmaakprofiel4 2 10 4 2 6" xfId="50821"/>
    <cellStyle name="TotRow - Opmaakprofiel4 2 10 4 3" xfId="2888"/>
    <cellStyle name="TotRow - Opmaakprofiel4 2 10 4 3 2" xfId="11527"/>
    <cellStyle name="TotRow - Opmaakprofiel4 2 10 4 3 2 2" xfId="23826"/>
    <cellStyle name="TotRow - Opmaakprofiel4 2 10 4 3 2 3" xfId="35878"/>
    <cellStyle name="TotRow - Opmaakprofiel4 2 10 4 3 2 4" xfId="46601"/>
    <cellStyle name="TotRow - Opmaakprofiel4 2 10 4 3 2 5" xfId="56492"/>
    <cellStyle name="TotRow - Opmaakprofiel4 2 10 4 3 3" xfId="17944"/>
    <cellStyle name="TotRow - Opmaakprofiel4 2 10 4 3 4" xfId="29996"/>
    <cellStyle name="TotRow - Opmaakprofiel4 2 10 4 3 5" xfId="37907"/>
    <cellStyle name="TotRow - Opmaakprofiel4 2 10 4 3 6" xfId="50822"/>
    <cellStyle name="TotRow - Opmaakprofiel4 2 10 4 4" xfId="3741"/>
    <cellStyle name="TotRow - Opmaakprofiel4 2 10 4 4 2" xfId="11528"/>
    <cellStyle name="TotRow - Opmaakprofiel4 2 10 4 4 2 2" xfId="23827"/>
    <cellStyle name="TotRow - Opmaakprofiel4 2 10 4 4 2 3" xfId="35879"/>
    <cellStyle name="TotRow - Opmaakprofiel4 2 10 4 4 2 4" xfId="46602"/>
    <cellStyle name="TotRow - Opmaakprofiel4 2 10 4 4 2 5" xfId="56493"/>
    <cellStyle name="TotRow - Opmaakprofiel4 2 10 4 4 3" xfId="17945"/>
    <cellStyle name="TotRow - Opmaakprofiel4 2 10 4 4 4" xfId="29997"/>
    <cellStyle name="TotRow - Opmaakprofiel4 2 10 4 4 5" xfId="37906"/>
    <cellStyle name="TotRow - Opmaakprofiel4 2 10 4 4 6" xfId="50823"/>
    <cellStyle name="TotRow - Opmaakprofiel4 2 10 4 5" xfId="6419"/>
    <cellStyle name="TotRow - Opmaakprofiel4 2 10 4 5 2" xfId="11529"/>
    <cellStyle name="TotRow - Opmaakprofiel4 2 10 4 5 2 2" xfId="23828"/>
    <cellStyle name="TotRow - Opmaakprofiel4 2 10 4 5 2 3" xfId="35880"/>
    <cellStyle name="TotRow - Opmaakprofiel4 2 10 4 5 2 4" xfId="46603"/>
    <cellStyle name="TotRow - Opmaakprofiel4 2 10 4 5 2 5" xfId="56494"/>
    <cellStyle name="TotRow - Opmaakprofiel4 2 10 4 5 3" xfId="17946"/>
    <cellStyle name="TotRow - Opmaakprofiel4 2 10 4 5 4" xfId="29998"/>
    <cellStyle name="TotRow - Opmaakprofiel4 2 10 4 5 5" xfId="44219"/>
    <cellStyle name="TotRow - Opmaakprofiel4 2 10 4 5 6" xfId="50824"/>
    <cellStyle name="TotRow - Opmaakprofiel4 2 10 4 6" xfId="6420"/>
    <cellStyle name="TotRow - Opmaakprofiel4 2 10 4 6 2" xfId="11530"/>
    <cellStyle name="TotRow - Opmaakprofiel4 2 10 4 6 2 2" xfId="23829"/>
    <cellStyle name="TotRow - Opmaakprofiel4 2 10 4 6 2 3" xfId="35881"/>
    <cellStyle name="TotRow - Opmaakprofiel4 2 10 4 6 2 4" xfId="46604"/>
    <cellStyle name="TotRow - Opmaakprofiel4 2 10 4 6 2 5" xfId="56495"/>
    <cellStyle name="TotRow - Opmaakprofiel4 2 10 4 6 3" xfId="17947"/>
    <cellStyle name="TotRow - Opmaakprofiel4 2 10 4 6 4" xfId="29999"/>
    <cellStyle name="TotRow - Opmaakprofiel4 2 10 4 6 5" xfId="37905"/>
    <cellStyle name="TotRow - Opmaakprofiel4 2 10 4 6 6" xfId="50825"/>
    <cellStyle name="TotRow - Opmaakprofiel4 2 10 4 7" xfId="6421"/>
    <cellStyle name="TotRow - Opmaakprofiel4 2 10 4 7 2" xfId="17948"/>
    <cellStyle name="TotRow - Opmaakprofiel4 2 10 4 7 3" xfId="30000"/>
    <cellStyle name="TotRow - Opmaakprofiel4 2 10 4 7 4" xfId="37904"/>
    <cellStyle name="TotRow - Opmaakprofiel4 2 10 4 7 5" xfId="50826"/>
    <cellStyle name="TotRow - Opmaakprofiel4 2 10 4 8" xfId="7394"/>
    <cellStyle name="TotRow - Opmaakprofiel4 2 10 4 8 2" xfId="19692"/>
    <cellStyle name="TotRow - Opmaakprofiel4 2 10 4 8 3" xfId="41495"/>
    <cellStyle name="TotRow - Opmaakprofiel4 2 10 4 8 4" xfId="43527"/>
    <cellStyle name="TotRow - Opmaakprofiel4 2 10 4 8 5" xfId="52364"/>
    <cellStyle name="TotRow - Opmaakprofiel4 2 10 4 9" xfId="17942"/>
    <cellStyle name="TotRow - Opmaakprofiel4 2 10 5" xfId="1169"/>
    <cellStyle name="TotRow - Opmaakprofiel4 2 10 5 2" xfId="1502"/>
    <cellStyle name="TotRow - Opmaakprofiel4 2 10 5 2 2" xfId="11531"/>
    <cellStyle name="TotRow - Opmaakprofiel4 2 10 5 2 2 2" xfId="23830"/>
    <cellStyle name="TotRow - Opmaakprofiel4 2 10 5 2 2 3" xfId="35882"/>
    <cellStyle name="TotRow - Opmaakprofiel4 2 10 5 2 2 4" xfId="46605"/>
    <cellStyle name="TotRow - Opmaakprofiel4 2 10 5 2 2 5" xfId="56496"/>
    <cellStyle name="TotRow - Opmaakprofiel4 2 10 5 2 3" xfId="17950"/>
    <cellStyle name="TotRow - Opmaakprofiel4 2 10 5 2 4" xfId="30002"/>
    <cellStyle name="TotRow - Opmaakprofiel4 2 10 5 2 5" xfId="37902"/>
    <cellStyle name="TotRow - Opmaakprofiel4 2 10 5 2 6" xfId="50827"/>
    <cellStyle name="TotRow - Opmaakprofiel4 2 10 5 3" xfId="3180"/>
    <cellStyle name="TotRow - Opmaakprofiel4 2 10 5 3 2" xfId="11532"/>
    <cellStyle name="TotRow - Opmaakprofiel4 2 10 5 3 2 2" xfId="23831"/>
    <cellStyle name="TotRow - Opmaakprofiel4 2 10 5 3 2 3" xfId="35883"/>
    <cellStyle name="TotRow - Opmaakprofiel4 2 10 5 3 2 4" xfId="46606"/>
    <cellStyle name="TotRow - Opmaakprofiel4 2 10 5 3 2 5" xfId="56497"/>
    <cellStyle name="TotRow - Opmaakprofiel4 2 10 5 3 3" xfId="17951"/>
    <cellStyle name="TotRow - Opmaakprofiel4 2 10 5 3 4" xfId="30003"/>
    <cellStyle name="TotRow - Opmaakprofiel4 2 10 5 3 5" xfId="44216"/>
    <cellStyle name="TotRow - Opmaakprofiel4 2 10 5 3 6" xfId="50828"/>
    <cellStyle name="TotRow - Opmaakprofiel4 2 10 5 4" xfId="4000"/>
    <cellStyle name="TotRow - Opmaakprofiel4 2 10 5 4 2" xfId="11533"/>
    <cellStyle name="TotRow - Opmaakprofiel4 2 10 5 4 2 2" xfId="23832"/>
    <cellStyle name="TotRow - Opmaakprofiel4 2 10 5 4 2 3" xfId="35884"/>
    <cellStyle name="TotRow - Opmaakprofiel4 2 10 5 4 2 4" xfId="46607"/>
    <cellStyle name="TotRow - Opmaakprofiel4 2 10 5 4 2 5" xfId="56498"/>
    <cellStyle name="TotRow - Opmaakprofiel4 2 10 5 4 3" xfId="17952"/>
    <cellStyle name="TotRow - Opmaakprofiel4 2 10 5 4 4" xfId="30004"/>
    <cellStyle name="TotRow - Opmaakprofiel4 2 10 5 4 5" xfId="37901"/>
    <cellStyle name="TotRow - Opmaakprofiel4 2 10 5 4 6" xfId="50829"/>
    <cellStyle name="TotRow - Opmaakprofiel4 2 10 5 5" xfId="6422"/>
    <cellStyle name="TotRow - Opmaakprofiel4 2 10 5 5 2" xfId="11534"/>
    <cellStyle name="TotRow - Opmaakprofiel4 2 10 5 5 2 2" xfId="23833"/>
    <cellStyle name="TotRow - Opmaakprofiel4 2 10 5 5 2 3" xfId="35885"/>
    <cellStyle name="TotRow - Opmaakprofiel4 2 10 5 5 2 4" xfId="46608"/>
    <cellStyle name="TotRow - Opmaakprofiel4 2 10 5 5 2 5" xfId="56499"/>
    <cellStyle name="TotRow - Opmaakprofiel4 2 10 5 5 3" xfId="17953"/>
    <cellStyle name="TotRow - Opmaakprofiel4 2 10 5 5 4" xfId="30005"/>
    <cellStyle name="TotRow - Opmaakprofiel4 2 10 5 5 5" xfId="37900"/>
    <cellStyle name="TotRow - Opmaakprofiel4 2 10 5 5 6" xfId="50830"/>
    <cellStyle name="TotRow - Opmaakprofiel4 2 10 5 6" xfId="6423"/>
    <cellStyle name="TotRow - Opmaakprofiel4 2 10 5 6 2" xfId="11535"/>
    <cellStyle name="TotRow - Opmaakprofiel4 2 10 5 6 2 2" xfId="23834"/>
    <cellStyle name="TotRow - Opmaakprofiel4 2 10 5 6 2 3" xfId="35886"/>
    <cellStyle name="TotRow - Opmaakprofiel4 2 10 5 6 2 4" xfId="46609"/>
    <cellStyle name="TotRow - Opmaakprofiel4 2 10 5 6 2 5" xfId="56500"/>
    <cellStyle name="TotRow - Opmaakprofiel4 2 10 5 6 3" xfId="17954"/>
    <cellStyle name="TotRow - Opmaakprofiel4 2 10 5 6 4" xfId="30006"/>
    <cellStyle name="TotRow - Opmaakprofiel4 2 10 5 6 5" xfId="44215"/>
    <cellStyle name="TotRow - Opmaakprofiel4 2 10 5 6 6" xfId="50831"/>
    <cellStyle name="TotRow - Opmaakprofiel4 2 10 5 7" xfId="6424"/>
    <cellStyle name="TotRow - Opmaakprofiel4 2 10 5 7 2" xfId="17955"/>
    <cellStyle name="TotRow - Opmaakprofiel4 2 10 5 7 3" xfId="30007"/>
    <cellStyle name="TotRow - Opmaakprofiel4 2 10 5 7 4" xfId="37899"/>
    <cellStyle name="TotRow - Opmaakprofiel4 2 10 5 7 5" xfId="50832"/>
    <cellStyle name="TotRow - Opmaakprofiel4 2 10 5 8" xfId="7197"/>
    <cellStyle name="TotRow - Opmaakprofiel4 2 10 5 8 2" xfId="19495"/>
    <cellStyle name="TotRow - Opmaakprofiel4 2 10 5 8 3" xfId="41298"/>
    <cellStyle name="TotRow - Opmaakprofiel4 2 10 5 8 4" xfId="36919"/>
    <cellStyle name="TotRow - Opmaakprofiel4 2 10 5 8 5" xfId="52167"/>
    <cellStyle name="TotRow - Opmaakprofiel4 2 10 5 9" xfId="17949"/>
    <cellStyle name="TotRow - Opmaakprofiel4 2 10 6" xfId="438"/>
    <cellStyle name="TotRow - Opmaakprofiel4 2 10 6 2" xfId="2459"/>
    <cellStyle name="TotRow - Opmaakprofiel4 2 10 6 2 2" xfId="11536"/>
    <cellStyle name="TotRow - Opmaakprofiel4 2 10 6 2 2 2" xfId="23835"/>
    <cellStyle name="TotRow - Opmaakprofiel4 2 10 6 2 2 3" xfId="35887"/>
    <cellStyle name="TotRow - Opmaakprofiel4 2 10 6 2 2 4" xfId="46610"/>
    <cellStyle name="TotRow - Opmaakprofiel4 2 10 6 2 2 5" xfId="56501"/>
    <cellStyle name="TotRow - Opmaakprofiel4 2 10 6 2 3" xfId="17957"/>
    <cellStyle name="TotRow - Opmaakprofiel4 2 10 6 2 4" xfId="30009"/>
    <cellStyle name="TotRow - Opmaakprofiel4 2 10 6 2 5" xfId="37897"/>
    <cellStyle name="TotRow - Opmaakprofiel4 2 10 6 2 6" xfId="50833"/>
    <cellStyle name="TotRow - Opmaakprofiel4 2 10 6 3" xfId="2509"/>
    <cellStyle name="TotRow - Opmaakprofiel4 2 10 6 3 2" xfId="11537"/>
    <cellStyle name="TotRow - Opmaakprofiel4 2 10 6 3 2 2" xfId="23836"/>
    <cellStyle name="TotRow - Opmaakprofiel4 2 10 6 3 2 3" xfId="35888"/>
    <cellStyle name="TotRow - Opmaakprofiel4 2 10 6 3 2 4" xfId="46611"/>
    <cellStyle name="TotRow - Opmaakprofiel4 2 10 6 3 2 5" xfId="56502"/>
    <cellStyle name="TotRow - Opmaakprofiel4 2 10 6 3 3" xfId="17958"/>
    <cellStyle name="TotRow - Opmaakprofiel4 2 10 6 3 4" xfId="30010"/>
    <cellStyle name="TotRow - Opmaakprofiel4 2 10 6 3 5" xfId="37896"/>
    <cellStyle name="TotRow - Opmaakprofiel4 2 10 6 3 6" xfId="50834"/>
    <cellStyle name="TotRow - Opmaakprofiel4 2 10 6 4" xfId="2460"/>
    <cellStyle name="TotRow - Opmaakprofiel4 2 10 6 4 2" xfId="11538"/>
    <cellStyle name="TotRow - Opmaakprofiel4 2 10 6 4 2 2" xfId="23837"/>
    <cellStyle name="TotRow - Opmaakprofiel4 2 10 6 4 2 3" xfId="35889"/>
    <cellStyle name="TotRow - Opmaakprofiel4 2 10 6 4 2 4" xfId="46612"/>
    <cellStyle name="TotRow - Opmaakprofiel4 2 10 6 4 2 5" xfId="56503"/>
    <cellStyle name="TotRow - Opmaakprofiel4 2 10 6 4 3" xfId="17959"/>
    <cellStyle name="TotRow - Opmaakprofiel4 2 10 6 4 4" xfId="30011"/>
    <cellStyle name="TotRow - Opmaakprofiel4 2 10 6 4 5" xfId="44212"/>
    <cellStyle name="TotRow - Opmaakprofiel4 2 10 6 4 6" xfId="50835"/>
    <cellStyle name="TotRow - Opmaakprofiel4 2 10 6 5" xfId="6425"/>
    <cellStyle name="TotRow - Opmaakprofiel4 2 10 6 5 2" xfId="11539"/>
    <cellStyle name="TotRow - Opmaakprofiel4 2 10 6 5 2 2" xfId="23838"/>
    <cellStyle name="TotRow - Opmaakprofiel4 2 10 6 5 2 3" xfId="35890"/>
    <cellStyle name="TotRow - Opmaakprofiel4 2 10 6 5 2 4" xfId="46613"/>
    <cellStyle name="TotRow - Opmaakprofiel4 2 10 6 5 2 5" xfId="56504"/>
    <cellStyle name="TotRow - Opmaakprofiel4 2 10 6 5 3" xfId="17960"/>
    <cellStyle name="TotRow - Opmaakprofiel4 2 10 6 5 4" xfId="30012"/>
    <cellStyle name="TotRow - Opmaakprofiel4 2 10 6 5 5" xfId="37895"/>
    <cellStyle name="TotRow - Opmaakprofiel4 2 10 6 5 6" xfId="50836"/>
    <cellStyle name="TotRow - Opmaakprofiel4 2 10 6 6" xfId="6426"/>
    <cellStyle name="TotRow - Opmaakprofiel4 2 10 6 6 2" xfId="11540"/>
    <cellStyle name="TotRow - Opmaakprofiel4 2 10 6 6 2 2" xfId="23839"/>
    <cellStyle name="TotRow - Opmaakprofiel4 2 10 6 6 2 3" xfId="35891"/>
    <cellStyle name="TotRow - Opmaakprofiel4 2 10 6 6 2 4" xfId="46614"/>
    <cellStyle name="TotRow - Opmaakprofiel4 2 10 6 6 2 5" xfId="56505"/>
    <cellStyle name="TotRow - Opmaakprofiel4 2 10 6 6 3" xfId="17961"/>
    <cellStyle name="TotRow - Opmaakprofiel4 2 10 6 6 4" xfId="30013"/>
    <cellStyle name="TotRow - Opmaakprofiel4 2 10 6 6 5" xfId="37894"/>
    <cellStyle name="TotRow - Opmaakprofiel4 2 10 6 6 6" xfId="50837"/>
    <cellStyle name="TotRow - Opmaakprofiel4 2 10 6 7" xfId="6427"/>
    <cellStyle name="TotRow - Opmaakprofiel4 2 10 6 7 2" xfId="17962"/>
    <cellStyle name="TotRow - Opmaakprofiel4 2 10 6 7 3" xfId="30014"/>
    <cellStyle name="TotRow - Opmaakprofiel4 2 10 6 7 4" xfId="44211"/>
    <cellStyle name="TotRow - Opmaakprofiel4 2 10 6 7 5" xfId="50838"/>
    <cellStyle name="TotRow - Opmaakprofiel4 2 10 6 8" xfId="7691"/>
    <cellStyle name="TotRow - Opmaakprofiel4 2 10 6 8 2" xfId="19989"/>
    <cellStyle name="TotRow - Opmaakprofiel4 2 10 6 8 3" xfId="41792"/>
    <cellStyle name="TotRow - Opmaakprofiel4 2 10 6 8 4" xfId="31410"/>
    <cellStyle name="TotRow - Opmaakprofiel4 2 10 6 8 5" xfId="52661"/>
    <cellStyle name="TotRow - Opmaakprofiel4 2 10 6 9" xfId="17956"/>
    <cellStyle name="TotRow - Opmaakprofiel4 2 10 7" xfId="1948"/>
    <cellStyle name="TotRow - Opmaakprofiel4 2 10 7 2" xfId="11541"/>
    <cellStyle name="TotRow - Opmaakprofiel4 2 10 7 2 2" xfId="23840"/>
    <cellStyle name="TotRow - Opmaakprofiel4 2 10 7 2 3" xfId="35892"/>
    <cellStyle name="TotRow - Opmaakprofiel4 2 10 7 2 4" xfId="46615"/>
    <cellStyle name="TotRow - Opmaakprofiel4 2 10 7 2 5" xfId="56506"/>
    <cellStyle name="TotRow - Opmaakprofiel4 2 10 7 3" xfId="17963"/>
    <cellStyle name="TotRow - Opmaakprofiel4 2 10 7 4" xfId="30015"/>
    <cellStyle name="TotRow - Opmaakprofiel4 2 10 7 5" xfId="37893"/>
    <cellStyle name="TotRow - Opmaakprofiel4 2 10 7 6" xfId="50839"/>
    <cellStyle name="TotRow - Opmaakprofiel4 2 10 8" xfId="2779"/>
    <cellStyle name="TotRow - Opmaakprofiel4 2 10 8 2" xfId="11542"/>
    <cellStyle name="TotRow - Opmaakprofiel4 2 10 8 2 2" xfId="23841"/>
    <cellStyle name="TotRow - Opmaakprofiel4 2 10 8 2 3" xfId="35893"/>
    <cellStyle name="TotRow - Opmaakprofiel4 2 10 8 2 4" xfId="46616"/>
    <cellStyle name="TotRow - Opmaakprofiel4 2 10 8 2 5" xfId="56507"/>
    <cellStyle name="TotRow - Opmaakprofiel4 2 10 8 3" xfId="17964"/>
    <cellStyle name="TotRow - Opmaakprofiel4 2 10 8 4" xfId="30016"/>
    <cellStyle name="TotRow - Opmaakprofiel4 2 10 8 5" xfId="37892"/>
    <cellStyle name="TotRow - Opmaakprofiel4 2 10 8 6" xfId="50840"/>
    <cellStyle name="TotRow - Opmaakprofiel4 2 10 9" xfId="3641"/>
    <cellStyle name="TotRow - Opmaakprofiel4 2 10 9 2" xfId="11543"/>
    <cellStyle name="TotRow - Opmaakprofiel4 2 10 9 2 2" xfId="23842"/>
    <cellStyle name="TotRow - Opmaakprofiel4 2 10 9 2 3" xfId="35894"/>
    <cellStyle name="TotRow - Opmaakprofiel4 2 10 9 2 4" xfId="46617"/>
    <cellStyle name="TotRow - Opmaakprofiel4 2 10 9 2 5" xfId="56508"/>
    <cellStyle name="TotRow - Opmaakprofiel4 2 10 9 3" xfId="17965"/>
    <cellStyle name="TotRow - Opmaakprofiel4 2 10 9 4" xfId="30017"/>
    <cellStyle name="TotRow - Opmaakprofiel4 2 10 9 5" xfId="37891"/>
    <cellStyle name="TotRow - Opmaakprofiel4 2 10 9 6" xfId="50841"/>
    <cellStyle name="TotRow - Opmaakprofiel4 2 11" xfId="765"/>
    <cellStyle name="TotRow - Opmaakprofiel4 2 11 10" xfId="6428"/>
    <cellStyle name="TotRow - Opmaakprofiel4 2 11 10 2" xfId="11544"/>
    <cellStyle name="TotRow - Opmaakprofiel4 2 11 10 2 2" xfId="23843"/>
    <cellStyle name="TotRow - Opmaakprofiel4 2 11 10 2 3" xfId="35895"/>
    <cellStyle name="TotRow - Opmaakprofiel4 2 11 10 2 4" xfId="46618"/>
    <cellStyle name="TotRow - Opmaakprofiel4 2 11 10 2 5" xfId="56509"/>
    <cellStyle name="TotRow - Opmaakprofiel4 2 11 10 3" xfId="17967"/>
    <cellStyle name="TotRow - Opmaakprofiel4 2 11 10 4" xfId="30019"/>
    <cellStyle name="TotRow - Opmaakprofiel4 2 11 10 5" xfId="44208"/>
    <cellStyle name="TotRow - Opmaakprofiel4 2 11 10 6" xfId="50842"/>
    <cellStyle name="TotRow - Opmaakprofiel4 2 11 11" xfId="6429"/>
    <cellStyle name="TotRow - Opmaakprofiel4 2 11 11 2" xfId="11545"/>
    <cellStyle name="TotRow - Opmaakprofiel4 2 11 11 2 2" xfId="23844"/>
    <cellStyle name="TotRow - Opmaakprofiel4 2 11 11 2 3" xfId="35896"/>
    <cellStyle name="TotRow - Opmaakprofiel4 2 11 11 2 4" xfId="46619"/>
    <cellStyle name="TotRow - Opmaakprofiel4 2 11 11 2 5" xfId="56510"/>
    <cellStyle name="TotRow - Opmaakprofiel4 2 11 11 3" xfId="17968"/>
    <cellStyle name="TotRow - Opmaakprofiel4 2 11 11 4" xfId="30020"/>
    <cellStyle name="TotRow - Opmaakprofiel4 2 11 11 5" xfId="37889"/>
    <cellStyle name="TotRow - Opmaakprofiel4 2 11 11 6" xfId="50843"/>
    <cellStyle name="TotRow - Opmaakprofiel4 2 11 12" xfId="6430"/>
    <cellStyle name="TotRow - Opmaakprofiel4 2 11 12 2" xfId="17969"/>
    <cellStyle name="TotRow - Opmaakprofiel4 2 11 12 3" xfId="30021"/>
    <cellStyle name="TotRow - Opmaakprofiel4 2 11 12 4" xfId="37888"/>
    <cellStyle name="TotRow - Opmaakprofiel4 2 11 12 5" xfId="50844"/>
    <cellStyle name="TotRow - Opmaakprofiel4 2 11 13" xfId="7470"/>
    <cellStyle name="TotRow - Opmaakprofiel4 2 11 13 2" xfId="19768"/>
    <cellStyle name="TotRow - Opmaakprofiel4 2 11 13 3" xfId="41571"/>
    <cellStyle name="TotRow - Opmaakprofiel4 2 11 13 4" xfId="43495"/>
    <cellStyle name="TotRow - Opmaakprofiel4 2 11 13 5" xfId="52440"/>
    <cellStyle name="TotRow - Opmaakprofiel4 2 11 14" xfId="17966"/>
    <cellStyle name="TotRow - Opmaakprofiel4 2 11 2" xfId="930"/>
    <cellStyle name="TotRow - Opmaakprofiel4 2 11 2 2" xfId="2035"/>
    <cellStyle name="TotRow - Opmaakprofiel4 2 11 2 2 2" xfId="11546"/>
    <cellStyle name="TotRow - Opmaakprofiel4 2 11 2 2 2 2" xfId="23845"/>
    <cellStyle name="TotRow - Opmaakprofiel4 2 11 2 2 2 3" xfId="35897"/>
    <cellStyle name="TotRow - Opmaakprofiel4 2 11 2 2 2 4" xfId="46620"/>
    <cellStyle name="TotRow - Opmaakprofiel4 2 11 2 2 2 5" xfId="56511"/>
    <cellStyle name="TotRow - Opmaakprofiel4 2 11 2 2 3" xfId="17971"/>
    <cellStyle name="TotRow - Opmaakprofiel4 2 11 2 2 4" xfId="30023"/>
    <cellStyle name="TotRow - Opmaakprofiel4 2 11 2 2 5" xfId="37887"/>
    <cellStyle name="TotRow - Opmaakprofiel4 2 11 2 2 6" xfId="50845"/>
    <cellStyle name="TotRow - Opmaakprofiel4 2 11 2 3" xfId="2941"/>
    <cellStyle name="TotRow - Opmaakprofiel4 2 11 2 3 2" xfId="11547"/>
    <cellStyle name="TotRow - Opmaakprofiel4 2 11 2 3 2 2" xfId="23846"/>
    <cellStyle name="TotRow - Opmaakprofiel4 2 11 2 3 2 3" xfId="35898"/>
    <cellStyle name="TotRow - Opmaakprofiel4 2 11 2 3 2 4" xfId="46621"/>
    <cellStyle name="TotRow - Opmaakprofiel4 2 11 2 3 2 5" xfId="56512"/>
    <cellStyle name="TotRow - Opmaakprofiel4 2 11 2 3 3" xfId="17972"/>
    <cellStyle name="TotRow - Opmaakprofiel4 2 11 2 3 4" xfId="30024"/>
    <cellStyle name="TotRow - Opmaakprofiel4 2 11 2 3 5" xfId="37886"/>
    <cellStyle name="TotRow - Opmaakprofiel4 2 11 2 3 6" xfId="50846"/>
    <cellStyle name="TotRow - Opmaakprofiel4 2 11 2 4" xfId="3789"/>
    <cellStyle name="TotRow - Opmaakprofiel4 2 11 2 4 2" xfId="11548"/>
    <cellStyle name="TotRow - Opmaakprofiel4 2 11 2 4 2 2" xfId="23847"/>
    <cellStyle name="TotRow - Opmaakprofiel4 2 11 2 4 2 3" xfId="35899"/>
    <cellStyle name="TotRow - Opmaakprofiel4 2 11 2 4 2 4" xfId="46622"/>
    <cellStyle name="TotRow - Opmaakprofiel4 2 11 2 4 2 5" xfId="56513"/>
    <cellStyle name="TotRow - Opmaakprofiel4 2 11 2 4 3" xfId="17973"/>
    <cellStyle name="TotRow - Opmaakprofiel4 2 11 2 4 4" xfId="30025"/>
    <cellStyle name="TotRow - Opmaakprofiel4 2 11 2 4 5" xfId="37885"/>
    <cellStyle name="TotRow - Opmaakprofiel4 2 11 2 4 6" xfId="50847"/>
    <cellStyle name="TotRow - Opmaakprofiel4 2 11 2 5" xfId="6431"/>
    <cellStyle name="TotRow - Opmaakprofiel4 2 11 2 5 2" xfId="11549"/>
    <cellStyle name="TotRow - Opmaakprofiel4 2 11 2 5 2 2" xfId="23848"/>
    <cellStyle name="TotRow - Opmaakprofiel4 2 11 2 5 2 3" xfId="35900"/>
    <cellStyle name="TotRow - Opmaakprofiel4 2 11 2 5 2 4" xfId="46623"/>
    <cellStyle name="TotRow - Opmaakprofiel4 2 11 2 5 2 5" xfId="56514"/>
    <cellStyle name="TotRow - Opmaakprofiel4 2 11 2 5 3" xfId="17974"/>
    <cellStyle name="TotRow - Opmaakprofiel4 2 11 2 5 4" xfId="30026"/>
    <cellStyle name="TotRow - Opmaakprofiel4 2 11 2 5 5" xfId="37884"/>
    <cellStyle name="TotRow - Opmaakprofiel4 2 11 2 5 6" xfId="50848"/>
    <cellStyle name="TotRow - Opmaakprofiel4 2 11 2 6" xfId="6432"/>
    <cellStyle name="TotRow - Opmaakprofiel4 2 11 2 6 2" xfId="11550"/>
    <cellStyle name="TotRow - Opmaakprofiel4 2 11 2 6 2 2" xfId="23849"/>
    <cellStyle name="TotRow - Opmaakprofiel4 2 11 2 6 2 3" xfId="35901"/>
    <cellStyle name="TotRow - Opmaakprofiel4 2 11 2 6 2 4" xfId="46624"/>
    <cellStyle name="TotRow - Opmaakprofiel4 2 11 2 6 2 5" xfId="56515"/>
    <cellStyle name="TotRow - Opmaakprofiel4 2 11 2 6 3" xfId="17975"/>
    <cellStyle name="TotRow - Opmaakprofiel4 2 11 2 6 4" xfId="30027"/>
    <cellStyle name="TotRow - Opmaakprofiel4 2 11 2 6 5" xfId="44204"/>
    <cellStyle name="TotRow - Opmaakprofiel4 2 11 2 6 6" xfId="50849"/>
    <cellStyle name="TotRow - Opmaakprofiel4 2 11 2 7" xfId="6433"/>
    <cellStyle name="TotRow - Opmaakprofiel4 2 11 2 7 2" xfId="17976"/>
    <cellStyle name="TotRow - Opmaakprofiel4 2 11 2 7 3" xfId="30028"/>
    <cellStyle name="TotRow - Opmaakprofiel4 2 11 2 7 4" xfId="37883"/>
    <cellStyle name="TotRow - Opmaakprofiel4 2 11 2 7 5" xfId="50850"/>
    <cellStyle name="TotRow - Opmaakprofiel4 2 11 2 8" xfId="10049"/>
    <cellStyle name="TotRow - Opmaakprofiel4 2 11 2 8 2" xfId="22347"/>
    <cellStyle name="TotRow - Opmaakprofiel4 2 11 2 8 3" xfId="44111"/>
    <cellStyle name="TotRow - Opmaakprofiel4 2 11 2 8 4" xfId="42437"/>
    <cellStyle name="TotRow - Opmaakprofiel4 2 11 2 8 5" xfId="55014"/>
    <cellStyle name="TotRow - Opmaakprofiel4 2 11 2 9" xfId="17970"/>
    <cellStyle name="TotRow - Opmaakprofiel4 2 11 3" xfId="1027"/>
    <cellStyle name="TotRow - Opmaakprofiel4 2 11 3 2" xfId="2195"/>
    <cellStyle name="TotRow - Opmaakprofiel4 2 11 3 2 2" xfId="11551"/>
    <cellStyle name="TotRow - Opmaakprofiel4 2 11 3 2 2 2" xfId="23850"/>
    <cellStyle name="TotRow - Opmaakprofiel4 2 11 3 2 2 3" xfId="35902"/>
    <cellStyle name="TotRow - Opmaakprofiel4 2 11 3 2 2 4" xfId="46625"/>
    <cellStyle name="TotRow - Opmaakprofiel4 2 11 3 2 2 5" xfId="56516"/>
    <cellStyle name="TotRow - Opmaakprofiel4 2 11 3 2 3" xfId="17978"/>
    <cellStyle name="TotRow - Opmaakprofiel4 2 11 3 2 4" xfId="30030"/>
    <cellStyle name="TotRow - Opmaakprofiel4 2 11 3 2 5" xfId="44203"/>
    <cellStyle name="TotRow - Opmaakprofiel4 2 11 3 2 6" xfId="50851"/>
    <cellStyle name="TotRow - Opmaakprofiel4 2 11 3 3" xfId="3038"/>
    <cellStyle name="TotRow - Opmaakprofiel4 2 11 3 3 2" xfId="11552"/>
    <cellStyle name="TotRow - Opmaakprofiel4 2 11 3 3 2 2" xfId="23851"/>
    <cellStyle name="TotRow - Opmaakprofiel4 2 11 3 3 2 3" xfId="35903"/>
    <cellStyle name="TotRow - Opmaakprofiel4 2 11 3 3 2 4" xfId="46626"/>
    <cellStyle name="TotRow - Opmaakprofiel4 2 11 3 3 2 5" xfId="56517"/>
    <cellStyle name="TotRow - Opmaakprofiel4 2 11 3 3 3" xfId="17979"/>
    <cellStyle name="TotRow - Opmaakprofiel4 2 11 3 3 4" xfId="30031"/>
    <cellStyle name="TotRow - Opmaakprofiel4 2 11 3 3 5" xfId="37881"/>
    <cellStyle name="TotRow - Opmaakprofiel4 2 11 3 3 6" xfId="50852"/>
    <cellStyle name="TotRow - Opmaakprofiel4 2 11 3 4" xfId="3881"/>
    <cellStyle name="TotRow - Opmaakprofiel4 2 11 3 4 2" xfId="11553"/>
    <cellStyle name="TotRow - Opmaakprofiel4 2 11 3 4 2 2" xfId="23852"/>
    <cellStyle name="TotRow - Opmaakprofiel4 2 11 3 4 2 3" xfId="35904"/>
    <cellStyle name="TotRow - Opmaakprofiel4 2 11 3 4 2 4" xfId="46627"/>
    <cellStyle name="TotRow - Opmaakprofiel4 2 11 3 4 2 5" xfId="56518"/>
    <cellStyle name="TotRow - Opmaakprofiel4 2 11 3 4 3" xfId="17980"/>
    <cellStyle name="TotRow - Opmaakprofiel4 2 11 3 4 4" xfId="30032"/>
    <cellStyle name="TotRow - Opmaakprofiel4 2 11 3 4 5" xfId="37880"/>
    <cellStyle name="TotRow - Opmaakprofiel4 2 11 3 4 6" xfId="50853"/>
    <cellStyle name="TotRow - Opmaakprofiel4 2 11 3 5" xfId="6434"/>
    <cellStyle name="TotRow - Opmaakprofiel4 2 11 3 5 2" xfId="11554"/>
    <cellStyle name="TotRow - Opmaakprofiel4 2 11 3 5 2 2" xfId="23853"/>
    <cellStyle name="TotRow - Opmaakprofiel4 2 11 3 5 2 3" xfId="35905"/>
    <cellStyle name="TotRow - Opmaakprofiel4 2 11 3 5 2 4" xfId="46628"/>
    <cellStyle name="TotRow - Opmaakprofiel4 2 11 3 5 2 5" xfId="56519"/>
    <cellStyle name="TotRow - Opmaakprofiel4 2 11 3 5 3" xfId="17981"/>
    <cellStyle name="TotRow - Opmaakprofiel4 2 11 3 5 4" xfId="30033"/>
    <cellStyle name="TotRow - Opmaakprofiel4 2 11 3 5 5" xfId="37879"/>
    <cellStyle name="TotRow - Opmaakprofiel4 2 11 3 5 6" xfId="50854"/>
    <cellStyle name="TotRow - Opmaakprofiel4 2 11 3 6" xfId="6435"/>
    <cellStyle name="TotRow - Opmaakprofiel4 2 11 3 6 2" xfId="11555"/>
    <cellStyle name="TotRow - Opmaakprofiel4 2 11 3 6 2 2" xfId="23854"/>
    <cellStyle name="TotRow - Opmaakprofiel4 2 11 3 6 2 3" xfId="35906"/>
    <cellStyle name="TotRow - Opmaakprofiel4 2 11 3 6 2 4" xfId="46629"/>
    <cellStyle name="TotRow - Opmaakprofiel4 2 11 3 6 2 5" xfId="56520"/>
    <cellStyle name="TotRow - Opmaakprofiel4 2 11 3 6 3" xfId="17982"/>
    <cellStyle name="TotRow - Opmaakprofiel4 2 11 3 6 4" xfId="30034"/>
    <cellStyle name="TotRow - Opmaakprofiel4 2 11 3 6 5" xfId="37878"/>
    <cellStyle name="TotRow - Opmaakprofiel4 2 11 3 6 6" xfId="50855"/>
    <cellStyle name="TotRow - Opmaakprofiel4 2 11 3 7" xfId="6436"/>
    <cellStyle name="TotRow - Opmaakprofiel4 2 11 3 7 2" xfId="17983"/>
    <cellStyle name="TotRow - Opmaakprofiel4 2 11 3 7 3" xfId="30035"/>
    <cellStyle name="TotRow - Opmaakprofiel4 2 11 3 7 4" xfId="44200"/>
    <cellStyle name="TotRow - Opmaakprofiel4 2 11 3 7 5" xfId="50856"/>
    <cellStyle name="TotRow - Opmaakprofiel4 2 11 3 8" xfId="9982"/>
    <cellStyle name="TotRow - Opmaakprofiel4 2 11 3 8 2" xfId="22280"/>
    <cellStyle name="TotRow - Opmaakprofiel4 2 11 3 8 3" xfId="44045"/>
    <cellStyle name="TotRow - Opmaakprofiel4 2 11 3 8 4" xfId="42465"/>
    <cellStyle name="TotRow - Opmaakprofiel4 2 11 3 8 5" xfId="54947"/>
    <cellStyle name="TotRow - Opmaakprofiel4 2 11 3 9" xfId="17977"/>
    <cellStyle name="TotRow - Opmaakprofiel4 2 11 4" xfId="1077"/>
    <cellStyle name="TotRow - Opmaakprofiel4 2 11 4 2" xfId="1904"/>
    <cellStyle name="TotRow - Opmaakprofiel4 2 11 4 2 2" xfId="11556"/>
    <cellStyle name="TotRow - Opmaakprofiel4 2 11 4 2 2 2" xfId="23855"/>
    <cellStyle name="TotRow - Opmaakprofiel4 2 11 4 2 2 3" xfId="35907"/>
    <cellStyle name="TotRow - Opmaakprofiel4 2 11 4 2 2 4" xfId="46630"/>
    <cellStyle name="TotRow - Opmaakprofiel4 2 11 4 2 2 5" xfId="56521"/>
    <cellStyle name="TotRow - Opmaakprofiel4 2 11 4 2 3" xfId="17985"/>
    <cellStyle name="TotRow - Opmaakprofiel4 2 11 4 2 4" xfId="30037"/>
    <cellStyle name="TotRow - Opmaakprofiel4 2 11 4 2 5" xfId="37876"/>
    <cellStyle name="TotRow - Opmaakprofiel4 2 11 4 2 6" xfId="50857"/>
    <cellStyle name="TotRow - Opmaakprofiel4 2 11 4 3" xfId="3088"/>
    <cellStyle name="TotRow - Opmaakprofiel4 2 11 4 3 2" xfId="11557"/>
    <cellStyle name="TotRow - Opmaakprofiel4 2 11 4 3 2 2" xfId="23856"/>
    <cellStyle name="TotRow - Opmaakprofiel4 2 11 4 3 2 3" xfId="35908"/>
    <cellStyle name="TotRow - Opmaakprofiel4 2 11 4 3 2 4" xfId="46631"/>
    <cellStyle name="TotRow - Opmaakprofiel4 2 11 4 3 2 5" xfId="56522"/>
    <cellStyle name="TotRow - Opmaakprofiel4 2 11 4 3 3" xfId="17986"/>
    <cellStyle name="TotRow - Opmaakprofiel4 2 11 4 3 4" xfId="30038"/>
    <cellStyle name="TotRow - Opmaakprofiel4 2 11 4 3 5" xfId="44199"/>
    <cellStyle name="TotRow - Opmaakprofiel4 2 11 4 3 6" xfId="50858"/>
    <cellStyle name="TotRow - Opmaakprofiel4 2 11 4 4" xfId="3927"/>
    <cellStyle name="TotRow - Opmaakprofiel4 2 11 4 4 2" xfId="11558"/>
    <cellStyle name="TotRow - Opmaakprofiel4 2 11 4 4 2 2" xfId="23857"/>
    <cellStyle name="TotRow - Opmaakprofiel4 2 11 4 4 2 3" xfId="35909"/>
    <cellStyle name="TotRow - Opmaakprofiel4 2 11 4 4 2 4" xfId="46632"/>
    <cellStyle name="TotRow - Opmaakprofiel4 2 11 4 4 2 5" xfId="56523"/>
    <cellStyle name="TotRow - Opmaakprofiel4 2 11 4 4 3" xfId="17987"/>
    <cellStyle name="TotRow - Opmaakprofiel4 2 11 4 4 4" xfId="30039"/>
    <cellStyle name="TotRow - Opmaakprofiel4 2 11 4 4 5" xfId="37875"/>
    <cellStyle name="TotRow - Opmaakprofiel4 2 11 4 4 6" xfId="50859"/>
    <cellStyle name="TotRow - Opmaakprofiel4 2 11 4 5" xfId="6437"/>
    <cellStyle name="TotRow - Opmaakprofiel4 2 11 4 5 2" xfId="11559"/>
    <cellStyle name="TotRow - Opmaakprofiel4 2 11 4 5 2 2" xfId="23858"/>
    <cellStyle name="TotRow - Opmaakprofiel4 2 11 4 5 2 3" xfId="35910"/>
    <cellStyle name="TotRow - Opmaakprofiel4 2 11 4 5 2 4" xfId="46633"/>
    <cellStyle name="TotRow - Opmaakprofiel4 2 11 4 5 2 5" xfId="56524"/>
    <cellStyle name="TotRow - Opmaakprofiel4 2 11 4 5 3" xfId="17988"/>
    <cellStyle name="TotRow - Opmaakprofiel4 2 11 4 5 4" xfId="30040"/>
    <cellStyle name="TotRow - Opmaakprofiel4 2 11 4 5 5" xfId="37874"/>
    <cellStyle name="TotRow - Opmaakprofiel4 2 11 4 5 6" xfId="50860"/>
    <cellStyle name="TotRow - Opmaakprofiel4 2 11 4 6" xfId="6438"/>
    <cellStyle name="TotRow - Opmaakprofiel4 2 11 4 6 2" xfId="11560"/>
    <cellStyle name="TotRow - Opmaakprofiel4 2 11 4 6 2 2" xfId="23859"/>
    <cellStyle name="TotRow - Opmaakprofiel4 2 11 4 6 2 3" xfId="35911"/>
    <cellStyle name="TotRow - Opmaakprofiel4 2 11 4 6 2 4" xfId="46634"/>
    <cellStyle name="TotRow - Opmaakprofiel4 2 11 4 6 2 5" xfId="56525"/>
    <cellStyle name="TotRow - Opmaakprofiel4 2 11 4 6 3" xfId="17989"/>
    <cellStyle name="TotRow - Opmaakprofiel4 2 11 4 6 4" xfId="30041"/>
    <cellStyle name="TotRow - Opmaakprofiel4 2 11 4 6 5" xfId="44198"/>
    <cellStyle name="TotRow - Opmaakprofiel4 2 11 4 6 6" xfId="50861"/>
    <cellStyle name="TotRow - Opmaakprofiel4 2 11 4 7" xfId="6439"/>
    <cellStyle name="TotRow - Opmaakprofiel4 2 11 4 7 2" xfId="17990"/>
    <cellStyle name="TotRow - Opmaakprofiel4 2 11 4 7 3" xfId="30042"/>
    <cellStyle name="TotRow - Opmaakprofiel4 2 11 4 7 4" xfId="37873"/>
    <cellStyle name="TotRow - Opmaakprofiel4 2 11 4 7 5" xfId="50862"/>
    <cellStyle name="TotRow - Opmaakprofiel4 2 11 4 8" xfId="7258"/>
    <cellStyle name="TotRow - Opmaakprofiel4 2 11 4 8 2" xfId="19556"/>
    <cellStyle name="TotRow - Opmaakprofiel4 2 11 4 8 3" xfId="41359"/>
    <cellStyle name="TotRow - Opmaakprofiel4 2 11 4 8 4" xfId="43584"/>
    <cellStyle name="TotRow - Opmaakprofiel4 2 11 4 8 5" xfId="52228"/>
    <cellStyle name="TotRow - Opmaakprofiel4 2 11 4 9" xfId="17984"/>
    <cellStyle name="TotRow - Opmaakprofiel4 2 11 5" xfId="1199"/>
    <cellStyle name="TotRow - Opmaakprofiel4 2 11 5 2" xfId="1890"/>
    <cellStyle name="TotRow - Opmaakprofiel4 2 11 5 2 2" xfId="11561"/>
    <cellStyle name="TotRow - Opmaakprofiel4 2 11 5 2 2 2" xfId="23860"/>
    <cellStyle name="TotRow - Opmaakprofiel4 2 11 5 2 2 3" xfId="35912"/>
    <cellStyle name="TotRow - Opmaakprofiel4 2 11 5 2 2 4" xfId="46635"/>
    <cellStyle name="TotRow - Opmaakprofiel4 2 11 5 2 2 5" xfId="56526"/>
    <cellStyle name="TotRow - Opmaakprofiel4 2 11 5 2 3" xfId="17992"/>
    <cellStyle name="TotRow - Opmaakprofiel4 2 11 5 2 4" xfId="30044"/>
    <cellStyle name="TotRow - Opmaakprofiel4 2 11 5 2 5" xfId="37872"/>
    <cellStyle name="TotRow - Opmaakprofiel4 2 11 5 2 6" xfId="50863"/>
    <cellStyle name="TotRow - Opmaakprofiel4 2 11 5 3" xfId="3210"/>
    <cellStyle name="TotRow - Opmaakprofiel4 2 11 5 3 2" xfId="11562"/>
    <cellStyle name="TotRow - Opmaakprofiel4 2 11 5 3 2 2" xfId="23861"/>
    <cellStyle name="TotRow - Opmaakprofiel4 2 11 5 3 2 3" xfId="35913"/>
    <cellStyle name="TotRow - Opmaakprofiel4 2 11 5 3 2 4" xfId="46636"/>
    <cellStyle name="TotRow - Opmaakprofiel4 2 11 5 3 2 5" xfId="56527"/>
    <cellStyle name="TotRow - Opmaakprofiel4 2 11 5 3 3" xfId="17993"/>
    <cellStyle name="TotRow - Opmaakprofiel4 2 11 5 3 4" xfId="30045"/>
    <cellStyle name="TotRow - Opmaakprofiel4 2 11 5 3 5" xfId="44196"/>
    <cellStyle name="TotRow - Opmaakprofiel4 2 11 5 3 6" xfId="50864"/>
    <cellStyle name="TotRow - Opmaakprofiel4 2 11 5 4" xfId="4027"/>
    <cellStyle name="TotRow - Opmaakprofiel4 2 11 5 4 2" xfId="11563"/>
    <cellStyle name="TotRow - Opmaakprofiel4 2 11 5 4 2 2" xfId="23862"/>
    <cellStyle name="TotRow - Opmaakprofiel4 2 11 5 4 2 3" xfId="35914"/>
    <cellStyle name="TotRow - Opmaakprofiel4 2 11 5 4 2 4" xfId="46637"/>
    <cellStyle name="TotRow - Opmaakprofiel4 2 11 5 4 2 5" xfId="56528"/>
    <cellStyle name="TotRow - Opmaakprofiel4 2 11 5 4 3" xfId="17994"/>
    <cellStyle name="TotRow - Opmaakprofiel4 2 11 5 4 4" xfId="30046"/>
    <cellStyle name="TotRow - Opmaakprofiel4 2 11 5 4 5" xfId="37871"/>
    <cellStyle name="TotRow - Opmaakprofiel4 2 11 5 4 6" xfId="50865"/>
    <cellStyle name="TotRow - Opmaakprofiel4 2 11 5 5" xfId="6440"/>
    <cellStyle name="TotRow - Opmaakprofiel4 2 11 5 5 2" xfId="11564"/>
    <cellStyle name="TotRow - Opmaakprofiel4 2 11 5 5 2 2" xfId="23863"/>
    <cellStyle name="TotRow - Opmaakprofiel4 2 11 5 5 2 3" xfId="35915"/>
    <cellStyle name="TotRow - Opmaakprofiel4 2 11 5 5 2 4" xfId="46638"/>
    <cellStyle name="TotRow - Opmaakprofiel4 2 11 5 5 2 5" xfId="56529"/>
    <cellStyle name="TotRow - Opmaakprofiel4 2 11 5 5 3" xfId="17995"/>
    <cellStyle name="TotRow - Opmaakprofiel4 2 11 5 5 4" xfId="30047"/>
    <cellStyle name="TotRow - Opmaakprofiel4 2 11 5 5 5" xfId="37870"/>
    <cellStyle name="TotRow - Opmaakprofiel4 2 11 5 5 6" xfId="50866"/>
    <cellStyle name="TotRow - Opmaakprofiel4 2 11 5 6" xfId="6441"/>
    <cellStyle name="TotRow - Opmaakprofiel4 2 11 5 6 2" xfId="11565"/>
    <cellStyle name="TotRow - Opmaakprofiel4 2 11 5 6 2 2" xfId="23864"/>
    <cellStyle name="TotRow - Opmaakprofiel4 2 11 5 6 2 3" xfId="35916"/>
    <cellStyle name="TotRow - Opmaakprofiel4 2 11 5 6 2 4" xfId="46639"/>
    <cellStyle name="TotRow - Opmaakprofiel4 2 11 5 6 2 5" xfId="56530"/>
    <cellStyle name="TotRow - Opmaakprofiel4 2 11 5 6 3" xfId="17996"/>
    <cellStyle name="TotRow - Opmaakprofiel4 2 11 5 6 4" xfId="30048"/>
    <cellStyle name="TotRow - Opmaakprofiel4 2 11 5 6 5" xfId="37869"/>
    <cellStyle name="TotRow - Opmaakprofiel4 2 11 5 6 6" xfId="50867"/>
    <cellStyle name="TotRow - Opmaakprofiel4 2 11 5 7" xfId="6442"/>
    <cellStyle name="TotRow - Opmaakprofiel4 2 11 5 7 2" xfId="17997"/>
    <cellStyle name="TotRow - Opmaakprofiel4 2 11 5 7 3" xfId="30049"/>
    <cellStyle name="TotRow - Opmaakprofiel4 2 11 5 7 4" xfId="37868"/>
    <cellStyle name="TotRow - Opmaakprofiel4 2 11 5 7 5" xfId="50868"/>
    <cellStyle name="TotRow - Opmaakprofiel4 2 11 5 8" xfId="6995"/>
    <cellStyle name="TotRow - Opmaakprofiel4 2 11 5 8 2" xfId="19293"/>
    <cellStyle name="TotRow - Opmaakprofiel4 2 11 5 8 3" xfId="41096"/>
    <cellStyle name="TotRow - Opmaakprofiel4 2 11 5 8 4" xfId="43694"/>
    <cellStyle name="TotRow - Opmaakprofiel4 2 11 5 8 5" xfId="51966"/>
    <cellStyle name="TotRow - Opmaakprofiel4 2 11 5 9" xfId="17991"/>
    <cellStyle name="TotRow - Opmaakprofiel4 2 11 6" xfId="652"/>
    <cellStyle name="TotRow - Opmaakprofiel4 2 11 6 2" xfId="1638"/>
    <cellStyle name="TotRow - Opmaakprofiel4 2 11 6 2 2" xfId="11566"/>
    <cellStyle name="TotRow - Opmaakprofiel4 2 11 6 2 2 2" xfId="23865"/>
    <cellStyle name="TotRow - Opmaakprofiel4 2 11 6 2 2 3" xfId="35917"/>
    <cellStyle name="TotRow - Opmaakprofiel4 2 11 6 2 2 4" xfId="46640"/>
    <cellStyle name="TotRow - Opmaakprofiel4 2 11 6 2 2 5" xfId="56531"/>
    <cellStyle name="TotRow - Opmaakprofiel4 2 11 6 2 3" xfId="17999"/>
    <cellStyle name="TotRow - Opmaakprofiel4 2 11 6 2 4" xfId="30051"/>
    <cellStyle name="TotRow - Opmaakprofiel4 2 11 6 2 5" xfId="44192"/>
    <cellStyle name="TotRow - Opmaakprofiel4 2 11 6 2 6" xfId="50869"/>
    <cellStyle name="TotRow - Opmaakprofiel4 2 11 6 3" xfId="2718"/>
    <cellStyle name="TotRow - Opmaakprofiel4 2 11 6 3 2" xfId="11567"/>
    <cellStyle name="TotRow - Opmaakprofiel4 2 11 6 3 2 2" xfId="23866"/>
    <cellStyle name="TotRow - Opmaakprofiel4 2 11 6 3 2 3" xfId="35918"/>
    <cellStyle name="TotRow - Opmaakprofiel4 2 11 6 3 2 4" xfId="46641"/>
    <cellStyle name="TotRow - Opmaakprofiel4 2 11 6 3 2 5" xfId="56532"/>
    <cellStyle name="TotRow - Opmaakprofiel4 2 11 6 3 3" xfId="18000"/>
    <cellStyle name="TotRow - Opmaakprofiel4 2 11 6 3 4" xfId="30052"/>
    <cellStyle name="TotRow - Opmaakprofiel4 2 11 6 3 5" xfId="37866"/>
    <cellStyle name="TotRow - Opmaakprofiel4 2 11 6 3 6" xfId="50870"/>
    <cellStyle name="TotRow - Opmaakprofiel4 2 11 6 4" xfId="3585"/>
    <cellStyle name="TotRow - Opmaakprofiel4 2 11 6 4 2" xfId="11568"/>
    <cellStyle name="TotRow - Opmaakprofiel4 2 11 6 4 2 2" xfId="23867"/>
    <cellStyle name="TotRow - Opmaakprofiel4 2 11 6 4 2 3" xfId="35919"/>
    <cellStyle name="TotRow - Opmaakprofiel4 2 11 6 4 2 4" xfId="46642"/>
    <cellStyle name="TotRow - Opmaakprofiel4 2 11 6 4 2 5" xfId="56533"/>
    <cellStyle name="TotRow - Opmaakprofiel4 2 11 6 4 3" xfId="18001"/>
    <cellStyle name="TotRow - Opmaakprofiel4 2 11 6 4 4" xfId="30053"/>
    <cellStyle name="TotRow - Opmaakprofiel4 2 11 6 4 5" xfId="37865"/>
    <cellStyle name="TotRow - Opmaakprofiel4 2 11 6 4 6" xfId="50871"/>
    <cellStyle name="TotRow - Opmaakprofiel4 2 11 6 5" xfId="6443"/>
    <cellStyle name="TotRow - Opmaakprofiel4 2 11 6 5 2" xfId="11569"/>
    <cellStyle name="TotRow - Opmaakprofiel4 2 11 6 5 2 2" xfId="23868"/>
    <cellStyle name="TotRow - Opmaakprofiel4 2 11 6 5 2 3" xfId="35920"/>
    <cellStyle name="TotRow - Opmaakprofiel4 2 11 6 5 2 4" xfId="46643"/>
    <cellStyle name="TotRow - Opmaakprofiel4 2 11 6 5 2 5" xfId="56534"/>
    <cellStyle name="TotRow - Opmaakprofiel4 2 11 6 5 3" xfId="18002"/>
    <cellStyle name="TotRow - Opmaakprofiel4 2 11 6 5 4" xfId="30054"/>
    <cellStyle name="TotRow - Opmaakprofiel4 2 11 6 5 5" xfId="44191"/>
    <cellStyle name="TotRow - Opmaakprofiel4 2 11 6 5 6" xfId="50872"/>
    <cellStyle name="TotRow - Opmaakprofiel4 2 11 6 6" xfId="6444"/>
    <cellStyle name="TotRow - Opmaakprofiel4 2 11 6 6 2" xfId="11570"/>
    <cellStyle name="TotRow - Opmaakprofiel4 2 11 6 6 2 2" xfId="23869"/>
    <cellStyle name="TotRow - Opmaakprofiel4 2 11 6 6 2 3" xfId="35921"/>
    <cellStyle name="TotRow - Opmaakprofiel4 2 11 6 6 2 4" xfId="46644"/>
    <cellStyle name="TotRow - Opmaakprofiel4 2 11 6 6 2 5" xfId="56535"/>
    <cellStyle name="TotRow - Opmaakprofiel4 2 11 6 6 3" xfId="18003"/>
    <cellStyle name="TotRow - Opmaakprofiel4 2 11 6 6 4" xfId="30055"/>
    <cellStyle name="TotRow - Opmaakprofiel4 2 11 6 6 5" xfId="37864"/>
    <cellStyle name="TotRow - Opmaakprofiel4 2 11 6 6 6" xfId="50873"/>
    <cellStyle name="TotRow - Opmaakprofiel4 2 11 6 7" xfId="6445"/>
    <cellStyle name="TotRow - Opmaakprofiel4 2 11 6 7 2" xfId="18004"/>
    <cellStyle name="TotRow - Opmaakprofiel4 2 11 6 7 3" xfId="30056"/>
    <cellStyle name="TotRow - Opmaakprofiel4 2 11 6 7 4" xfId="37863"/>
    <cellStyle name="TotRow - Opmaakprofiel4 2 11 6 7 5" xfId="50874"/>
    <cellStyle name="TotRow - Opmaakprofiel4 2 11 6 8" xfId="7547"/>
    <cellStyle name="TotRow - Opmaakprofiel4 2 11 6 8 2" xfId="19845"/>
    <cellStyle name="TotRow - Opmaakprofiel4 2 11 6 8 3" xfId="41648"/>
    <cellStyle name="TotRow - Opmaakprofiel4 2 11 6 8 4" xfId="31598"/>
    <cellStyle name="TotRow - Opmaakprofiel4 2 11 6 8 5" xfId="52517"/>
    <cellStyle name="TotRow - Opmaakprofiel4 2 11 6 9" xfId="17998"/>
    <cellStyle name="TotRow - Opmaakprofiel4 2 11 7" xfId="1528"/>
    <cellStyle name="TotRow - Opmaakprofiel4 2 11 7 2" xfId="11571"/>
    <cellStyle name="TotRow - Opmaakprofiel4 2 11 7 2 2" xfId="23870"/>
    <cellStyle name="TotRow - Opmaakprofiel4 2 11 7 2 3" xfId="35922"/>
    <cellStyle name="TotRow - Opmaakprofiel4 2 11 7 2 4" xfId="46645"/>
    <cellStyle name="TotRow - Opmaakprofiel4 2 11 7 2 5" xfId="56536"/>
    <cellStyle name="TotRow - Opmaakprofiel4 2 11 7 3" xfId="18005"/>
    <cellStyle name="TotRow - Opmaakprofiel4 2 11 7 4" xfId="30057"/>
    <cellStyle name="TotRow - Opmaakprofiel4 2 11 7 5" xfId="37862"/>
    <cellStyle name="TotRow - Opmaakprofiel4 2 11 7 6" xfId="50875"/>
    <cellStyle name="TotRow - Opmaakprofiel4 2 11 8" xfId="2800"/>
    <cellStyle name="TotRow - Opmaakprofiel4 2 11 8 2" xfId="11572"/>
    <cellStyle name="TotRow - Opmaakprofiel4 2 11 8 2 2" xfId="23871"/>
    <cellStyle name="TotRow - Opmaakprofiel4 2 11 8 2 3" xfId="35923"/>
    <cellStyle name="TotRow - Opmaakprofiel4 2 11 8 2 4" xfId="46646"/>
    <cellStyle name="TotRow - Opmaakprofiel4 2 11 8 2 5" xfId="56537"/>
    <cellStyle name="TotRow - Opmaakprofiel4 2 11 8 3" xfId="18006"/>
    <cellStyle name="TotRow - Opmaakprofiel4 2 11 8 4" xfId="30058"/>
    <cellStyle name="TotRow - Opmaakprofiel4 2 11 8 5" xfId="44189"/>
    <cellStyle name="TotRow - Opmaakprofiel4 2 11 8 6" xfId="50876"/>
    <cellStyle name="TotRow - Opmaakprofiel4 2 11 9" xfId="3661"/>
    <cellStyle name="TotRow - Opmaakprofiel4 2 11 9 2" xfId="11573"/>
    <cellStyle name="TotRow - Opmaakprofiel4 2 11 9 2 2" xfId="23872"/>
    <cellStyle name="TotRow - Opmaakprofiel4 2 11 9 2 3" xfId="35924"/>
    <cellStyle name="TotRow - Opmaakprofiel4 2 11 9 2 4" xfId="46647"/>
    <cellStyle name="TotRow - Opmaakprofiel4 2 11 9 2 5" xfId="56538"/>
    <cellStyle name="TotRow - Opmaakprofiel4 2 11 9 3" xfId="18007"/>
    <cellStyle name="TotRow - Opmaakprofiel4 2 11 9 4" xfId="30059"/>
    <cellStyle name="TotRow - Opmaakprofiel4 2 11 9 5" xfId="37861"/>
    <cellStyle name="TotRow - Opmaakprofiel4 2 11 9 6" xfId="50877"/>
    <cellStyle name="TotRow - Opmaakprofiel4 2 12" xfId="777"/>
    <cellStyle name="TotRow - Opmaakprofiel4 2 12 10" xfId="6446"/>
    <cellStyle name="TotRow - Opmaakprofiel4 2 12 10 2" xfId="11574"/>
    <cellStyle name="TotRow - Opmaakprofiel4 2 12 10 2 2" xfId="23873"/>
    <cellStyle name="TotRow - Opmaakprofiel4 2 12 10 2 3" xfId="35925"/>
    <cellStyle name="TotRow - Opmaakprofiel4 2 12 10 2 4" xfId="46648"/>
    <cellStyle name="TotRow - Opmaakprofiel4 2 12 10 2 5" xfId="56539"/>
    <cellStyle name="TotRow - Opmaakprofiel4 2 12 10 3" xfId="18009"/>
    <cellStyle name="TotRow - Opmaakprofiel4 2 12 10 4" xfId="30061"/>
    <cellStyle name="TotRow - Opmaakprofiel4 2 12 10 5" xfId="44188"/>
    <cellStyle name="TotRow - Opmaakprofiel4 2 12 10 6" xfId="50878"/>
    <cellStyle name="TotRow - Opmaakprofiel4 2 12 11" xfId="6447"/>
    <cellStyle name="TotRow - Opmaakprofiel4 2 12 11 2" xfId="11575"/>
    <cellStyle name="TotRow - Opmaakprofiel4 2 12 11 2 2" xfId="23874"/>
    <cellStyle name="TotRow - Opmaakprofiel4 2 12 11 2 3" xfId="35926"/>
    <cellStyle name="TotRow - Opmaakprofiel4 2 12 11 2 4" xfId="46649"/>
    <cellStyle name="TotRow - Opmaakprofiel4 2 12 11 2 5" xfId="56540"/>
    <cellStyle name="TotRow - Opmaakprofiel4 2 12 11 3" xfId="18010"/>
    <cellStyle name="TotRow - Opmaakprofiel4 2 12 11 4" xfId="30062"/>
    <cellStyle name="TotRow - Opmaakprofiel4 2 12 11 5" xfId="37859"/>
    <cellStyle name="TotRow - Opmaakprofiel4 2 12 11 6" xfId="50879"/>
    <cellStyle name="TotRow - Opmaakprofiel4 2 12 12" xfId="6448"/>
    <cellStyle name="TotRow - Opmaakprofiel4 2 12 12 2" xfId="18011"/>
    <cellStyle name="TotRow - Opmaakprofiel4 2 12 12 3" xfId="30063"/>
    <cellStyle name="TotRow - Opmaakprofiel4 2 12 12 4" xfId="37858"/>
    <cellStyle name="TotRow - Opmaakprofiel4 2 12 12 5" xfId="50880"/>
    <cellStyle name="TotRow - Opmaakprofiel4 2 12 13" xfId="7462"/>
    <cellStyle name="TotRow - Opmaakprofiel4 2 12 13 2" xfId="19760"/>
    <cellStyle name="TotRow - Opmaakprofiel4 2 12 13 3" xfId="41563"/>
    <cellStyle name="TotRow - Opmaakprofiel4 2 12 13 4" xfId="31644"/>
    <cellStyle name="TotRow - Opmaakprofiel4 2 12 13 5" xfId="52432"/>
    <cellStyle name="TotRow - Opmaakprofiel4 2 12 14" xfId="18008"/>
    <cellStyle name="TotRow - Opmaakprofiel4 2 12 2" xfId="940"/>
    <cellStyle name="TotRow - Opmaakprofiel4 2 12 2 2" xfId="1801"/>
    <cellStyle name="TotRow - Opmaakprofiel4 2 12 2 2 2" xfId="11576"/>
    <cellStyle name="TotRow - Opmaakprofiel4 2 12 2 2 2 2" xfId="23875"/>
    <cellStyle name="TotRow - Opmaakprofiel4 2 12 2 2 2 3" xfId="35927"/>
    <cellStyle name="TotRow - Opmaakprofiel4 2 12 2 2 2 4" xfId="46650"/>
    <cellStyle name="TotRow - Opmaakprofiel4 2 12 2 2 2 5" xfId="56541"/>
    <cellStyle name="TotRow - Opmaakprofiel4 2 12 2 2 3" xfId="18013"/>
    <cellStyle name="TotRow - Opmaakprofiel4 2 12 2 2 4" xfId="30065"/>
    <cellStyle name="TotRow - Opmaakprofiel4 2 12 2 2 5" xfId="44186"/>
    <cellStyle name="TotRow - Opmaakprofiel4 2 12 2 2 6" xfId="50881"/>
    <cellStyle name="TotRow - Opmaakprofiel4 2 12 2 3" xfId="2951"/>
    <cellStyle name="TotRow - Opmaakprofiel4 2 12 2 3 2" xfId="11577"/>
    <cellStyle name="TotRow - Opmaakprofiel4 2 12 2 3 2 2" xfId="23876"/>
    <cellStyle name="TotRow - Opmaakprofiel4 2 12 2 3 2 3" xfId="35928"/>
    <cellStyle name="TotRow - Opmaakprofiel4 2 12 2 3 2 4" xfId="46651"/>
    <cellStyle name="TotRow - Opmaakprofiel4 2 12 2 3 2 5" xfId="56542"/>
    <cellStyle name="TotRow - Opmaakprofiel4 2 12 2 3 3" xfId="18014"/>
    <cellStyle name="TotRow - Opmaakprofiel4 2 12 2 3 4" xfId="30066"/>
    <cellStyle name="TotRow - Opmaakprofiel4 2 12 2 3 5" xfId="37856"/>
    <cellStyle name="TotRow - Opmaakprofiel4 2 12 2 3 6" xfId="50882"/>
    <cellStyle name="TotRow - Opmaakprofiel4 2 12 2 4" xfId="3799"/>
    <cellStyle name="TotRow - Opmaakprofiel4 2 12 2 4 2" xfId="11578"/>
    <cellStyle name="TotRow - Opmaakprofiel4 2 12 2 4 2 2" xfId="23877"/>
    <cellStyle name="TotRow - Opmaakprofiel4 2 12 2 4 2 3" xfId="35929"/>
    <cellStyle name="TotRow - Opmaakprofiel4 2 12 2 4 2 4" xfId="46652"/>
    <cellStyle name="TotRow - Opmaakprofiel4 2 12 2 4 2 5" xfId="56543"/>
    <cellStyle name="TotRow - Opmaakprofiel4 2 12 2 4 3" xfId="18015"/>
    <cellStyle name="TotRow - Opmaakprofiel4 2 12 2 4 4" xfId="30067"/>
    <cellStyle name="TotRow - Opmaakprofiel4 2 12 2 4 5" xfId="37855"/>
    <cellStyle name="TotRow - Opmaakprofiel4 2 12 2 4 6" xfId="50883"/>
    <cellStyle name="TotRow - Opmaakprofiel4 2 12 2 5" xfId="6449"/>
    <cellStyle name="TotRow - Opmaakprofiel4 2 12 2 5 2" xfId="11579"/>
    <cellStyle name="TotRow - Opmaakprofiel4 2 12 2 5 2 2" xfId="23878"/>
    <cellStyle name="TotRow - Opmaakprofiel4 2 12 2 5 2 3" xfId="35930"/>
    <cellStyle name="TotRow - Opmaakprofiel4 2 12 2 5 2 4" xfId="46653"/>
    <cellStyle name="TotRow - Opmaakprofiel4 2 12 2 5 2 5" xfId="56544"/>
    <cellStyle name="TotRow - Opmaakprofiel4 2 12 2 5 3" xfId="18016"/>
    <cellStyle name="TotRow - Opmaakprofiel4 2 12 2 5 4" xfId="30068"/>
    <cellStyle name="TotRow - Opmaakprofiel4 2 12 2 5 5" xfId="37854"/>
    <cellStyle name="TotRow - Opmaakprofiel4 2 12 2 5 6" xfId="50884"/>
    <cellStyle name="TotRow - Opmaakprofiel4 2 12 2 6" xfId="6450"/>
    <cellStyle name="TotRow - Opmaakprofiel4 2 12 2 6 2" xfId="11580"/>
    <cellStyle name="TotRow - Opmaakprofiel4 2 12 2 6 2 2" xfId="23879"/>
    <cellStyle name="TotRow - Opmaakprofiel4 2 12 2 6 2 3" xfId="35931"/>
    <cellStyle name="TotRow - Opmaakprofiel4 2 12 2 6 2 4" xfId="46654"/>
    <cellStyle name="TotRow - Opmaakprofiel4 2 12 2 6 2 5" xfId="56545"/>
    <cellStyle name="TotRow - Opmaakprofiel4 2 12 2 6 3" xfId="18017"/>
    <cellStyle name="TotRow - Opmaakprofiel4 2 12 2 6 4" xfId="30069"/>
    <cellStyle name="TotRow - Opmaakprofiel4 2 12 2 6 5" xfId="37853"/>
    <cellStyle name="TotRow - Opmaakprofiel4 2 12 2 6 6" xfId="50885"/>
    <cellStyle name="TotRow - Opmaakprofiel4 2 12 2 7" xfId="6451"/>
    <cellStyle name="TotRow - Opmaakprofiel4 2 12 2 7 2" xfId="18018"/>
    <cellStyle name="TotRow - Opmaakprofiel4 2 12 2 7 3" xfId="30070"/>
    <cellStyle name="TotRow - Opmaakprofiel4 2 12 2 7 4" xfId="44183"/>
    <cellStyle name="TotRow - Opmaakprofiel4 2 12 2 7 5" xfId="50886"/>
    <cellStyle name="TotRow - Opmaakprofiel4 2 12 2 8" xfId="10040"/>
    <cellStyle name="TotRow - Opmaakprofiel4 2 12 2 8 2" xfId="22338"/>
    <cellStyle name="TotRow - Opmaakprofiel4 2 12 2 8 3" xfId="44102"/>
    <cellStyle name="TotRow - Opmaakprofiel4 2 12 2 8 4" xfId="42441"/>
    <cellStyle name="TotRow - Opmaakprofiel4 2 12 2 8 5" xfId="55005"/>
    <cellStyle name="TotRow - Opmaakprofiel4 2 12 2 9" xfId="18012"/>
    <cellStyle name="TotRow - Opmaakprofiel4 2 12 3" xfId="1037"/>
    <cellStyle name="TotRow - Opmaakprofiel4 2 12 3 2" xfId="2285"/>
    <cellStyle name="TotRow - Opmaakprofiel4 2 12 3 2 2" xfId="11581"/>
    <cellStyle name="TotRow - Opmaakprofiel4 2 12 3 2 2 2" xfId="23880"/>
    <cellStyle name="TotRow - Opmaakprofiel4 2 12 3 2 2 3" xfId="35932"/>
    <cellStyle name="TotRow - Opmaakprofiel4 2 12 3 2 2 4" xfId="46655"/>
    <cellStyle name="TotRow - Opmaakprofiel4 2 12 3 2 2 5" xfId="56546"/>
    <cellStyle name="TotRow - Opmaakprofiel4 2 12 3 2 3" xfId="18020"/>
    <cellStyle name="TotRow - Opmaakprofiel4 2 12 3 2 4" xfId="30072"/>
    <cellStyle name="TotRow - Opmaakprofiel4 2 12 3 2 5" xfId="37852"/>
    <cellStyle name="TotRow - Opmaakprofiel4 2 12 3 2 6" xfId="50887"/>
    <cellStyle name="TotRow - Opmaakprofiel4 2 12 3 3" xfId="3048"/>
    <cellStyle name="TotRow - Opmaakprofiel4 2 12 3 3 2" xfId="11582"/>
    <cellStyle name="TotRow - Opmaakprofiel4 2 12 3 3 2 2" xfId="23881"/>
    <cellStyle name="TotRow - Opmaakprofiel4 2 12 3 3 2 3" xfId="35933"/>
    <cellStyle name="TotRow - Opmaakprofiel4 2 12 3 3 2 4" xfId="46656"/>
    <cellStyle name="TotRow - Opmaakprofiel4 2 12 3 3 2 5" xfId="56547"/>
    <cellStyle name="TotRow - Opmaakprofiel4 2 12 3 3 3" xfId="18021"/>
    <cellStyle name="TotRow - Opmaakprofiel4 2 12 3 3 4" xfId="30073"/>
    <cellStyle name="TotRow - Opmaakprofiel4 2 12 3 3 5" xfId="44182"/>
    <cellStyle name="TotRow - Opmaakprofiel4 2 12 3 3 6" xfId="50888"/>
    <cellStyle name="TotRow - Opmaakprofiel4 2 12 3 4" xfId="3889"/>
    <cellStyle name="TotRow - Opmaakprofiel4 2 12 3 4 2" xfId="11583"/>
    <cellStyle name="TotRow - Opmaakprofiel4 2 12 3 4 2 2" xfId="23882"/>
    <cellStyle name="TotRow - Opmaakprofiel4 2 12 3 4 2 3" xfId="35934"/>
    <cellStyle name="TotRow - Opmaakprofiel4 2 12 3 4 2 4" xfId="46657"/>
    <cellStyle name="TotRow - Opmaakprofiel4 2 12 3 4 2 5" xfId="56548"/>
    <cellStyle name="TotRow - Opmaakprofiel4 2 12 3 4 3" xfId="18022"/>
    <cellStyle name="TotRow - Opmaakprofiel4 2 12 3 4 4" xfId="30074"/>
    <cellStyle name="TotRow - Opmaakprofiel4 2 12 3 4 5" xfId="37851"/>
    <cellStyle name="TotRow - Opmaakprofiel4 2 12 3 4 6" xfId="50889"/>
    <cellStyle name="TotRow - Opmaakprofiel4 2 12 3 5" xfId="6452"/>
    <cellStyle name="TotRow - Opmaakprofiel4 2 12 3 5 2" xfId="11584"/>
    <cellStyle name="TotRow - Opmaakprofiel4 2 12 3 5 2 2" xfId="23883"/>
    <cellStyle name="TotRow - Opmaakprofiel4 2 12 3 5 2 3" xfId="35935"/>
    <cellStyle name="TotRow - Opmaakprofiel4 2 12 3 5 2 4" xfId="46658"/>
    <cellStyle name="TotRow - Opmaakprofiel4 2 12 3 5 2 5" xfId="56549"/>
    <cellStyle name="TotRow - Opmaakprofiel4 2 12 3 5 3" xfId="18023"/>
    <cellStyle name="TotRow - Opmaakprofiel4 2 12 3 5 4" xfId="30075"/>
    <cellStyle name="TotRow - Opmaakprofiel4 2 12 3 5 5" xfId="37850"/>
    <cellStyle name="TotRow - Opmaakprofiel4 2 12 3 5 6" xfId="50890"/>
    <cellStyle name="TotRow - Opmaakprofiel4 2 12 3 6" xfId="6453"/>
    <cellStyle name="TotRow - Opmaakprofiel4 2 12 3 6 2" xfId="11585"/>
    <cellStyle name="TotRow - Opmaakprofiel4 2 12 3 6 2 2" xfId="23884"/>
    <cellStyle name="TotRow - Opmaakprofiel4 2 12 3 6 2 3" xfId="35936"/>
    <cellStyle name="TotRow - Opmaakprofiel4 2 12 3 6 2 4" xfId="46659"/>
    <cellStyle name="TotRow - Opmaakprofiel4 2 12 3 6 2 5" xfId="56550"/>
    <cellStyle name="TotRow - Opmaakprofiel4 2 12 3 6 3" xfId="18024"/>
    <cellStyle name="TotRow - Opmaakprofiel4 2 12 3 6 4" xfId="30076"/>
    <cellStyle name="TotRow - Opmaakprofiel4 2 12 3 6 5" xfId="37849"/>
    <cellStyle name="TotRow - Opmaakprofiel4 2 12 3 6 6" xfId="50891"/>
    <cellStyle name="TotRow - Opmaakprofiel4 2 12 3 7" xfId="6454"/>
    <cellStyle name="TotRow - Opmaakprofiel4 2 12 3 7 2" xfId="18025"/>
    <cellStyle name="TotRow - Opmaakprofiel4 2 12 3 7 3" xfId="30077"/>
    <cellStyle name="TotRow - Opmaakprofiel4 2 12 3 7 4" xfId="44180"/>
    <cellStyle name="TotRow - Opmaakprofiel4 2 12 3 7 5" xfId="50892"/>
    <cellStyle name="TotRow - Opmaakprofiel4 2 12 3 8" xfId="7284"/>
    <cellStyle name="TotRow - Opmaakprofiel4 2 12 3 8 2" xfId="19582"/>
    <cellStyle name="TotRow - Opmaakprofiel4 2 12 3 8 3" xfId="41385"/>
    <cellStyle name="TotRow - Opmaakprofiel4 2 12 3 8 4" xfId="43573"/>
    <cellStyle name="TotRow - Opmaakprofiel4 2 12 3 8 5" xfId="52254"/>
    <cellStyle name="TotRow - Opmaakprofiel4 2 12 3 9" xfId="18019"/>
    <cellStyle name="TotRow - Opmaakprofiel4 2 12 4" xfId="1099"/>
    <cellStyle name="TotRow - Opmaakprofiel4 2 12 4 2" xfId="1500"/>
    <cellStyle name="TotRow - Opmaakprofiel4 2 12 4 2 2" xfId="11586"/>
    <cellStyle name="TotRow - Opmaakprofiel4 2 12 4 2 2 2" xfId="23885"/>
    <cellStyle name="TotRow - Opmaakprofiel4 2 12 4 2 2 3" xfId="35937"/>
    <cellStyle name="TotRow - Opmaakprofiel4 2 12 4 2 2 4" xfId="46660"/>
    <cellStyle name="TotRow - Opmaakprofiel4 2 12 4 2 2 5" xfId="56551"/>
    <cellStyle name="TotRow - Opmaakprofiel4 2 12 4 2 3" xfId="18027"/>
    <cellStyle name="TotRow - Opmaakprofiel4 2 12 4 2 4" xfId="30079"/>
    <cellStyle name="TotRow - Opmaakprofiel4 2 12 4 2 5" xfId="37847"/>
    <cellStyle name="TotRow - Opmaakprofiel4 2 12 4 2 6" xfId="50893"/>
    <cellStyle name="TotRow - Opmaakprofiel4 2 12 4 3" xfId="3110"/>
    <cellStyle name="TotRow - Opmaakprofiel4 2 12 4 3 2" xfId="11587"/>
    <cellStyle name="TotRow - Opmaakprofiel4 2 12 4 3 2 2" xfId="23886"/>
    <cellStyle name="TotRow - Opmaakprofiel4 2 12 4 3 2 3" xfId="35938"/>
    <cellStyle name="TotRow - Opmaakprofiel4 2 12 4 3 2 4" xfId="46661"/>
    <cellStyle name="TotRow - Opmaakprofiel4 2 12 4 3 2 5" xfId="56552"/>
    <cellStyle name="TotRow - Opmaakprofiel4 2 12 4 3 3" xfId="18028"/>
    <cellStyle name="TotRow - Opmaakprofiel4 2 12 4 3 4" xfId="30080"/>
    <cellStyle name="TotRow - Opmaakprofiel4 2 12 4 3 5" xfId="37846"/>
    <cellStyle name="TotRow - Opmaakprofiel4 2 12 4 3 6" xfId="50894"/>
    <cellStyle name="TotRow - Opmaakprofiel4 2 12 4 4" xfId="3946"/>
    <cellStyle name="TotRow - Opmaakprofiel4 2 12 4 4 2" xfId="11588"/>
    <cellStyle name="TotRow - Opmaakprofiel4 2 12 4 4 2 2" xfId="23887"/>
    <cellStyle name="TotRow - Opmaakprofiel4 2 12 4 4 2 3" xfId="35939"/>
    <cellStyle name="TotRow - Opmaakprofiel4 2 12 4 4 2 4" xfId="46662"/>
    <cellStyle name="TotRow - Opmaakprofiel4 2 12 4 4 2 5" xfId="56553"/>
    <cellStyle name="TotRow - Opmaakprofiel4 2 12 4 4 3" xfId="18029"/>
    <cellStyle name="TotRow - Opmaakprofiel4 2 12 4 4 4" xfId="30081"/>
    <cellStyle name="TotRow - Opmaakprofiel4 2 12 4 4 5" xfId="37845"/>
    <cellStyle name="TotRow - Opmaakprofiel4 2 12 4 4 6" xfId="50895"/>
    <cellStyle name="TotRow - Opmaakprofiel4 2 12 4 5" xfId="6455"/>
    <cellStyle name="TotRow - Opmaakprofiel4 2 12 4 5 2" xfId="11589"/>
    <cellStyle name="TotRow - Opmaakprofiel4 2 12 4 5 2 2" xfId="23888"/>
    <cellStyle name="TotRow - Opmaakprofiel4 2 12 4 5 2 3" xfId="35940"/>
    <cellStyle name="TotRow - Opmaakprofiel4 2 12 4 5 2 4" xfId="46663"/>
    <cellStyle name="TotRow - Opmaakprofiel4 2 12 4 5 2 5" xfId="56554"/>
    <cellStyle name="TotRow - Opmaakprofiel4 2 12 4 5 3" xfId="18030"/>
    <cellStyle name="TotRow - Opmaakprofiel4 2 12 4 5 4" xfId="30082"/>
    <cellStyle name="TotRow - Opmaakprofiel4 2 12 4 5 5" xfId="44177"/>
    <cellStyle name="TotRow - Opmaakprofiel4 2 12 4 5 6" xfId="50896"/>
    <cellStyle name="TotRow - Opmaakprofiel4 2 12 4 6" xfId="6456"/>
    <cellStyle name="TotRow - Opmaakprofiel4 2 12 4 6 2" xfId="11590"/>
    <cellStyle name="TotRow - Opmaakprofiel4 2 12 4 6 2 2" xfId="23889"/>
    <cellStyle name="TotRow - Opmaakprofiel4 2 12 4 6 2 3" xfId="35941"/>
    <cellStyle name="TotRow - Opmaakprofiel4 2 12 4 6 2 4" xfId="46664"/>
    <cellStyle name="TotRow - Opmaakprofiel4 2 12 4 6 2 5" xfId="56555"/>
    <cellStyle name="TotRow - Opmaakprofiel4 2 12 4 6 3" xfId="18031"/>
    <cellStyle name="TotRow - Opmaakprofiel4 2 12 4 6 4" xfId="30083"/>
    <cellStyle name="TotRow - Opmaakprofiel4 2 12 4 6 5" xfId="37844"/>
    <cellStyle name="TotRow - Opmaakprofiel4 2 12 4 6 6" xfId="50897"/>
    <cellStyle name="TotRow - Opmaakprofiel4 2 12 4 7" xfId="6457"/>
    <cellStyle name="TotRow - Opmaakprofiel4 2 12 4 7 2" xfId="18032"/>
    <cellStyle name="TotRow - Opmaakprofiel4 2 12 4 7 3" xfId="30084"/>
    <cellStyle name="TotRow - Opmaakprofiel4 2 12 4 7 4" xfId="37843"/>
    <cellStyle name="TotRow - Opmaakprofiel4 2 12 4 7 5" xfId="50898"/>
    <cellStyle name="TotRow - Opmaakprofiel4 2 12 4 8" xfId="7244"/>
    <cellStyle name="TotRow - Opmaakprofiel4 2 12 4 8 2" xfId="19542"/>
    <cellStyle name="TotRow - Opmaakprofiel4 2 12 4 8 3" xfId="41345"/>
    <cellStyle name="TotRow - Opmaakprofiel4 2 12 4 8 4" xfId="43590"/>
    <cellStyle name="TotRow - Opmaakprofiel4 2 12 4 8 5" xfId="52214"/>
    <cellStyle name="TotRow - Opmaakprofiel4 2 12 4 9" xfId="18026"/>
    <cellStyle name="TotRow - Opmaakprofiel4 2 12 5" xfId="1209"/>
    <cellStyle name="TotRow - Opmaakprofiel4 2 12 5 2" xfId="2218"/>
    <cellStyle name="TotRow - Opmaakprofiel4 2 12 5 2 2" xfId="11591"/>
    <cellStyle name="TotRow - Opmaakprofiel4 2 12 5 2 2 2" xfId="23890"/>
    <cellStyle name="TotRow - Opmaakprofiel4 2 12 5 2 2 3" xfId="35942"/>
    <cellStyle name="TotRow - Opmaakprofiel4 2 12 5 2 2 4" xfId="46665"/>
    <cellStyle name="TotRow - Opmaakprofiel4 2 12 5 2 2 5" xfId="56556"/>
    <cellStyle name="TotRow - Opmaakprofiel4 2 12 5 2 3" xfId="18034"/>
    <cellStyle name="TotRow - Opmaakprofiel4 2 12 5 2 4" xfId="30086"/>
    <cellStyle name="TotRow - Opmaakprofiel4 2 12 5 2 5" xfId="37842"/>
    <cellStyle name="TotRow - Opmaakprofiel4 2 12 5 2 6" xfId="50899"/>
    <cellStyle name="TotRow - Opmaakprofiel4 2 12 5 3" xfId="3220"/>
    <cellStyle name="TotRow - Opmaakprofiel4 2 12 5 3 2" xfId="11592"/>
    <cellStyle name="TotRow - Opmaakprofiel4 2 12 5 3 2 2" xfId="23891"/>
    <cellStyle name="TotRow - Opmaakprofiel4 2 12 5 3 2 3" xfId="35943"/>
    <cellStyle name="TotRow - Opmaakprofiel4 2 12 5 3 2 4" xfId="46666"/>
    <cellStyle name="TotRow - Opmaakprofiel4 2 12 5 3 2 5" xfId="56557"/>
    <cellStyle name="TotRow - Opmaakprofiel4 2 12 5 3 3" xfId="18035"/>
    <cellStyle name="TotRow - Opmaakprofiel4 2 12 5 3 4" xfId="30087"/>
    <cellStyle name="TotRow - Opmaakprofiel4 2 12 5 3 5" xfId="37841"/>
    <cellStyle name="TotRow - Opmaakprofiel4 2 12 5 3 6" xfId="50900"/>
    <cellStyle name="TotRow - Opmaakprofiel4 2 12 5 4" xfId="4035"/>
    <cellStyle name="TotRow - Opmaakprofiel4 2 12 5 4 2" xfId="11593"/>
    <cellStyle name="TotRow - Opmaakprofiel4 2 12 5 4 2 2" xfId="23892"/>
    <cellStyle name="TotRow - Opmaakprofiel4 2 12 5 4 2 3" xfId="35944"/>
    <cellStyle name="TotRow - Opmaakprofiel4 2 12 5 4 2 4" xfId="46667"/>
    <cellStyle name="TotRow - Opmaakprofiel4 2 12 5 4 2 5" xfId="56558"/>
    <cellStyle name="TotRow - Opmaakprofiel4 2 12 5 4 3" xfId="18036"/>
    <cellStyle name="TotRow - Opmaakprofiel4 2 12 5 4 4" xfId="30088"/>
    <cellStyle name="TotRow - Opmaakprofiel4 2 12 5 4 5" xfId="37840"/>
    <cellStyle name="TotRow - Opmaakprofiel4 2 12 5 4 6" xfId="50901"/>
    <cellStyle name="TotRow - Opmaakprofiel4 2 12 5 5" xfId="6458"/>
    <cellStyle name="TotRow - Opmaakprofiel4 2 12 5 5 2" xfId="11594"/>
    <cellStyle name="TotRow - Opmaakprofiel4 2 12 5 5 2 2" xfId="23893"/>
    <cellStyle name="TotRow - Opmaakprofiel4 2 12 5 5 2 3" xfId="35945"/>
    <cellStyle name="TotRow - Opmaakprofiel4 2 12 5 5 2 4" xfId="46668"/>
    <cellStyle name="TotRow - Opmaakprofiel4 2 12 5 5 2 5" xfId="56559"/>
    <cellStyle name="TotRow - Opmaakprofiel4 2 12 5 5 3" xfId="18037"/>
    <cellStyle name="TotRow - Opmaakprofiel4 2 12 5 5 4" xfId="30089"/>
    <cellStyle name="TotRow - Opmaakprofiel4 2 12 5 5 5" xfId="44174"/>
    <cellStyle name="TotRow - Opmaakprofiel4 2 12 5 5 6" xfId="50902"/>
    <cellStyle name="TotRow - Opmaakprofiel4 2 12 5 6" xfId="6459"/>
    <cellStyle name="TotRow - Opmaakprofiel4 2 12 5 6 2" xfId="11595"/>
    <cellStyle name="TotRow - Opmaakprofiel4 2 12 5 6 2 2" xfId="23894"/>
    <cellStyle name="TotRow - Opmaakprofiel4 2 12 5 6 2 3" xfId="35946"/>
    <cellStyle name="TotRow - Opmaakprofiel4 2 12 5 6 2 4" xfId="46669"/>
    <cellStyle name="TotRow - Opmaakprofiel4 2 12 5 6 2 5" xfId="56560"/>
    <cellStyle name="TotRow - Opmaakprofiel4 2 12 5 6 3" xfId="18038"/>
    <cellStyle name="TotRow - Opmaakprofiel4 2 12 5 6 4" xfId="30090"/>
    <cellStyle name="TotRow - Opmaakprofiel4 2 12 5 6 5" xfId="37839"/>
    <cellStyle name="TotRow - Opmaakprofiel4 2 12 5 6 6" xfId="50903"/>
    <cellStyle name="TotRow - Opmaakprofiel4 2 12 5 7" xfId="6460"/>
    <cellStyle name="TotRow - Opmaakprofiel4 2 12 5 7 2" xfId="18039"/>
    <cellStyle name="TotRow - Opmaakprofiel4 2 12 5 7 3" xfId="30091"/>
    <cellStyle name="TotRow - Opmaakprofiel4 2 12 5 7 4" xfId="37838"/>
    <cellStyle name="TotRow - Opmaakprofiel4 2 12 5 7 5" xfId="50904"/>
    <cellStyle name="TotRow - Opmaakprofiel4 2 12 5 8" xfId="7165"/>
    <cellStyle name="TotRow - Opmaakprofiel4 2 12 5 8 2" xfId="19463"/>
    <cellStyle name="TotRow - Opmaakprofiel4 2 12 5 8 3" xfId="41266"/>
    <cellStyle name="TotRow - Opmaakprofiel4 2 12 5 8 4" xfId="36938"/>
    <cellStyle name="TotRow - Opmaakprofiel4 2 12 5 8 5" xfId="52135"/>
    <cellStyle name="TotRow - Opmaakprofiel4 2 12 5 9" xfId="18033"/>
    <cellStyle name="TotRow - Opmaakprofiel4 2 12 6" xfId="565"/>
    <cellStyle name="TotRow - Opmaakprofiel4 2 12 6 2" xfId="2366"/>
    <cellStyle name="TotRow - Opmaakprofiel4 2 12 6 2 2" xfId="11596"/>
    <cellStyle name="TotRow - Opmaakprofiel4 2 12 6 2 2 2" xfId="23895"/>
    <cellStyle name="TotRow - Opmaakprofiel4 2 12 6 2 2 3" xfId="35947"/>
    <cellStyle name="TotRow - Opmaakprofiel4 2 12 6 2 2 4" xfId="46670"/>
    <cellStyle name="TotRow - Opmaakprofiel4 2 12 6 2 2 5" xfId="56561"/>
    <cellStyle name="TotRow - Opmaakprofiel4 2 12 6 2 3" xfId="18041"/>
    <cellStyle name="TotRow - Opmaakprofiel4 2 12 6 2 4" xfId="30093"/>
    <cellStyle name="TotRow - Opmaakprofiel4 2 12 6 2 5" xfId="37836"/>
    <cellStyle name="TotRow - Opmaakprofiel4 2 12 6 2 6" xfId="50905"/>
    <cellStyle name="TotRow - Opmaakprofiel4 2 12 6 3" xfId="2636"/>
    <cellStyle name="TotRow - Opmaakprofiel4 2 12 6 3 2" xfId="11597"/>
    <cellStyle name="TotRow - Opmaakprofiel4 2 12 6 3 2 2" xfId="23896"/>
    <cellStyle name="TotRow - Opmaakprofiel4 2 12 6 3 2 3" xfId="35948"/>
    <cellStyle name="TotRow - Opmaakprofiel4 2 12 6 3 2 4" xfId="46671"/>
    <cellStyle name="TotRow - Opmaakprofiel4 2 12 6 3 2 5" xfId="56562"/>
    <cellStyle name="TotRow - Opmaakprofiel4 2 12 6 3 3" xfId="18042"/>
    <cellStyle name="TotRow - Opmaakprofiel4 2 12 6 3 4" xfId="30094"/>
    <cellStyle name="TotRow - Opmaakprofiel4 2 12 6 3 5" xfId="37835"/>
    <cellStyle name="TotRow - Opmaakprofiel4 2 12 6 3 6" xfId="50906"/>
    <cellStyle name="TotRow - Opmaakprofiel4 2 12 6 4" xfId="3514"/>
    <cellStyle name="TotRow - Opmaakprofiel4 2 12 6 4 2" xfId="11598"/>
    <cellStyle name="TotRow - Opmaakprofiel4 2 12 6 4 2 2" xfId="23897"/>
    <cellStyle name="TotRow - Opmaakprofiel4 2 12 6 4 2 3" xfId="35949"/>
    <cellStyle name="TotRow - Opmaakprofiel4 2 12 6 4 2 4" xfId="46672"/>
    <cellStyle name="TotRow - Opmaakprofiel4 2 12 6 4 2 5" xfId="56563"/>
    <cellStyle name="TotRow - Opmaakprofiel4 2 12 6 4 3" xfId="18043"/>
    <cellStyle name="TotRow - Opmaakprofiel4 2 12 6 4 4" xfId="30095"/>
    <cellStyle name="TotRow - Opmaakprofiel4 2 12 6 4 5" xfId="44170"/>
    <cellStyle name="TotRow - Opmaakprofiel4 2 12 6 4 6" xfId="50907"/>
    <cellStyle name="TotRow - Opmaakprofiel4 2 12 6 5" xfId="6461"/>
    <cellStyle name="TotRow - Opmaakprofiel4 2 12 6 5 2" xfId="11599"/>
    <cellStyle name="TotRow - Opmaakprofiel4 2 12 6 5 2 2" xfId="23898"/>
    <cellStyle name="TotRow - Opmaakprofiel4 2 12 6 5 2 3" xfId="35950"/>
    <cellStyle name="TotRow - Opmaakprofiel4 2 12 6 5 2 4" xfId="46673"/>
    <cellStyle name="TotRow - Opmaakprofiel4 2 12 6 5 2 5" xfId="56564"/>
    <cellStyle name="TotRow - Opmaakprofiel4 2 12 6 5 3" xfId="18044"/>
    <cellStyle name="TotRow - Opmaakprofiel4 2 12 6 5 4" xfId="30096"/>
    <cellStyle name="TotRow - Opmaakprofiel4 2 12 6 5 5" xfId="37834"/>
    <cellStyle name="TotRow - Opmaakprofiel4 2 12 6 5 6" xfId="50908"/>
    <cellStyle name="TotRow - Opmaakprofiel4 2 12 6 6" xfId="6462"/>
    <cellStyle name="TotRow - Opmaakprofiel4 2 12 6 6 2" xfId="11600"/>
    <cellStyle name="TotRow - Opmaakprofiel4 2 12 6 6 2 2" xfId="23899"/>
    <cellStyle name="TotRow - Opmaakprofiel4 2 12 6 6 2 3" xfId="35951"/>
    <cellStyle name="TotRow - Opmaakprofiel4 2 12 6 6 2 4" xfId="46674"/>
    <cellStyle name="TotRow - Opmaakprofiel4 2 12 6 6 2 5" xfId="56565"/>
    <cellStyle name="TotRow - Opmaakprofiel4 2 12 6 6 3" xfId="18045"/>
    <cellStyle name="TotRow - Opmaakprofiel4 2 12 6 6 4" xfId="30097"/>
    <cellStyle name="TotRow - Opmaakprofiel4 2 12 6 6 5" xfId="44169"/>
    <cellStyle name="TotRow - Opmaakprofiel4 2 12 6 6 6" xfId="50909"/>
    <cellStyle name="TotRow - Opmaakprofiel4 2 12 6 7" xfId="6463"/>
    <cellStyle name="TotRow - Opmaakprofiel4 2 12 6 7 2" xfId="18046"/>
    <cellStyle name="TotRow - Opmaakprofiel4 2 12 6 7 3" xfId="30098"/>
    <cellStyle name="TotRow - Opmaakprofiel4 2 12 6 7 4" xfId="37833"/>
    <cellStyle name="TotRow - Opmaakprofiel4 2 12 6 7 5" xfId="50910"/>
    <cellStyle name="TotRow - Opmaakprofiel4 2 12 6 8" xfId="7605"/>
    <cellStyle name="TotRow - Opmaakprofiel4 2 12 6 8 2" xfId="19903"/>
    <cellStyle name="TotRow - Opmaakprofiel4 2 12 6 8 3" xfId="41706"/>
    <cellStyle name="TotRow - Opmaakprofiel4 2 12 6 8 4" xfId="24898"/>
    <cellStyle name="TotRow - Opmaakprofiel4 2 12 6 8 5" xfId="52575"/>
    <cellStyle name="TotRow - Opmaakprofiel4 2 12 6 9" xfId="18040"/>
    <cellStyle name="TotRow - Opmaakprofiel4 2 12 7" xfId="1589"/>
    <cellStyle name="TotRow - Opmaakprofiel4 2 12 7 2" xfId="11601"/>
    <cellStyle name="TotRow - Opmaakprofiel4 2 12 7 2 2" xfId="23900"/>
    <cellStyle name="TotRow - Opmaakprofiel4 2 12 7 2 3" xfId="35952"/>
    <cellStyle name="TotRow - Opmaakprofiel4 2 12 7 2 4" xfId="46675"/>
    <cellStyle name="TotRow - Opmaakprofiel4 2 12 7 2 5" xfId="56566"/>
    <cellStyle name="TotRow - Opmaakprofiel4 2 12 7 3" xfId="18047"/>
    <cellStyle name="TotRow - Opmaakprofiel4 2 12 7 4" xfId="30099"/>
    <cellStyle name="TotRow - Opmaakprofiel4 2 12 7 5" xfId="44168"/>
    <cellStyle name="TotRow - Opmaakprofiel4 2 12 7 6" xfId="50911"/>
    <cellStyle name="TotRow - Opmaakprofiel4 2 12 8" xfId="2808"/>
    <cellStyle name="TotRow - Opmaakprofiel4 2 12 8 2" xfId="11602"/>
    <cellStyle name="TotRow - Opmaakprofiel4 2 12 8 2 2" xfId="23901"/>
    <cellStyle name="TotRow - Opmaakprofiel4 2 12 8 2 3" xfId="35953"/>
    <cellStyle name="TotRow - Opmaakprofiel4 2 12 8 2 4" xfId="46676"/>
    <cellStyle name="TotRow - Opmaakprofiel4 2 12 8 2 5" xfId="56567"/>
    <cellStyle name="TotRow - Opmaakprofiel4 2 12 8 3" xfId="18048"/>
    <cellStyle name="TotRow - Opmaakprofiel4 2 12 8 4" xfId="30100"/>
    <cellStyle name="TotRow - Opmaakprofiel4 2 12 8 5" xfId="37832"/>
    <cellStyle name="TotRow - Opmaakprofiel4 2 12 8 6" xfId="50912"/>
    <cellStyle name="TotRow - Opmaakprofiel4 2 12 9" xfId="3667"/>
    <cellStyle name="TotRow - Opmaakprofiel4 2 12 9 2" xfId="11603"/>
    <cellStyle name="TotRow - Opmaakprofiel4 2 12 9 2 2" xfId="23902"/>
    <cellStyle name="TotRow - Opmaakprofiel4 2 12 9 2 3" xfId="35954"/>
    <cellStyle name="TotRow - Opmaakprofiel4 2 12 9 2 4" xfId="46677"/>
    <cellStyle name="TotRow - Opmaakprofiel4 2 12 9 2 5" xfId="56568"/>
    <cellStyle name="TotRow - Opmaakprofiel4 2 12 9 3" xfId="18049"/>
    <cellStyle name="TotRow - Opmaakprofiel4 2 12 9 4" xfId="30101"/>
    <cellStyle name="TotRow - Opmaakprofiel4 2 12 9 5" xfId="37831"/>
    <cellStyle name="TotRow - Opmaakprofiel4 2 12 9 6" xfId="50913"/>
    <cellStyle name="TotRow - Opmaakprofiel4 2 13" xfId="773"/>
    <cellStyle name="TotRow - Opmaakprofiel4 2 13 10" xfId="6464"/>
    <cellStyle name="TotRow - Opmaakprofiel4 2 13 10 2" xfId="11604"/>
    <cellStyle name="TotRow - Opmaakprofiel4 2 13 10 2 2" xfId="23903"/>
    <cellStyle name="TotRow - Opmaakprofiel4 2 13 10 2 3" xfId="35955"/>
    <cellStyle name="TotRow - Opmaakprofiel4 2 13 10 2 4" xfId="46678"/>
    <cellStyle name="TotRow - Opmaakprofiel4 2 13 10 2 5" xfId="56569"/>
    <cellStyle name="TotRow - Opmaakprofiel4 2 13 10 3" xfId="18051"/>
    <cellStyle name="TotRow - Opmaakprofiel4 2 13 10 4" xfId="30103"/>
    <cellStyle name="TotRow - Opmaakprofiel4 2 13 10 5" xfId="37830"/>
    <cellStyle name="TotRow - Opmaakprofiel4 2 13 10 6" xfId="50914"/>
    <cellStyle name="TotRow - Opmaakprofiel4 2 13 11" xfId="6465"/>
    <cellStyle name="TotRow - Opmaakprofiel4 2 13 11 2" xfId="11605"/>
    <cellStyle name="TotRow - Opmaakprofiel4 2 13 11 2 2" xfId="23904"/>
    <cellStyle name="TotRow - Opmaakprofiel4 2 13 11 2 3" xfId="35956"/>
    <cellStyle name="TotRow - Opmaakprofiel4 2 13 11 2 4" xfId="46679"/>
    <cellStyle name="TotRow - Opmaakprofiel4 2 13 11 2 5" xfId="56570"/>
    <cellStyle name="TotRow - Opmaakprofiel4 2 13 11 3" xfId="18052"/>
    <cellStyle name="TotRow - Opmaakprofiel4 2 13 11 4" xfId="30104"/>
    <cellStyle name="TotRow - Opmaakprofiel4 2 13 11 5" xfId="44166"/>
    <cellStyle name="TotRow - Opmaakprofiel4 2 13 11 6" xfId="50915"/>
    <cellStyle name="TotRow - Opmaakprofiel4 2 13 12" xfId="6466"/>
    <cellStyle name="TotRow - Opmaakprofiel4 2 13 12 2" xfId="18053"/>
    <cellStyle name="TotRow - Opmaakprofiel4 2 13 12 3" xfId="30105"/>
    <cellStyle name="TotRow - Opmaakprofiel4 2 13 12 4" xfId="37829"/>
    <cellStyle name="TotRow - Opmaakprofiel4 2 13 12 5" xfId="50916"/>
    <cellStyle name="TotRow - Opmaakprofiel4 2 13 13" xfId="7465"/>
    <cellStyle name="TotRow - Opmaakprofiel4 2 13 13 2" xfId="19763"/>
    <cellStyle name="TotRow - Opmaakprofiel4 2 13 13 3" xfId="41566"/>
    <cellStyle name="TotRow - Opmaakprofiel4 2 13 13 4" xfId="34336"/>
    <cellStyle name="TotRow - Opmaakprofiel4 2 13 13 5" xfId="52435"/>
    <cellStyle name="TotRow - Opmaakprofiel4 2 13 14" xfId="18050"/>
    <cellStyle name="TotRow - Opmaakprofiel4 2 13 2" xfId="937"/>
    <cellStyle name="TotRow - Opmaakprofiel4 2 13 2 2" xfId="1937"/>
    <cellStyle name="TotRow - Opmaakprofiel4 2 13 2 2 2" xfId="11606"/>
    <cellStyle name="TotRow - Opmaakprofiel4 2 13 2 2 2 2" xfId="23905"/>
    <cellStyle name="TotRow - Opmaakprofiel4 2 13 2 2 2 3" xfId="35957"/>
    <cellStyle name="TotRow - Opmaakprofiel4 2 13 2 2 2 4" xfId="46680"/>
    <cellStyle name="TotRow - Opmaakprofiel4 2 13 2 2 2 5" xfId="56571"/>
    <cellStyle name="TotRow - Opmaakprofiel4 2 13 2 2 3" xfId="18055"/>
    <cellStyle name="TotRow - Opmaakprofiel4 2 13 2 2 4" xfId="30107"/>
    <cellStyle name="TotRow - Opmaakprofiel4 2 13 2 2 5" xfId="37828"/>
    <cellStyle name="TotRow - Opmaakprofiel4 2 13 2 2 6" xfId="50917"/>
    <cellStyle name="TotRow - Opmaakprofiel4 2 13 2 3" xfId="2948"/>
    <cellStyle name="TotRow - Opmaakprofiel4 2 13 2 3 2" xfId="11607"/>
    <cellStyle name="TotRow - Opmaakprofiel4 2 13 2 3 2 2" xfId="23906"/>
    <cellStyle name="TotRow - Opmaakprofiel4 2 13 2 3 2 3" xfId="35958"/>
    <cellStyle name="TotRow - Opmaakprofiel4 2 13 2 3 2 4" xfId="46681"/>
    <cellStyle name="TotRow - Opmaakprofiel4 2 13 2 3 2 5" xfId="56572"/>
    <cellStyle name="TotRow - Opmaakprofiel4 2 13 2 3 3" xfId="18056"/>
    <cellStyle name="TotRow - Opmaakprofiel4 2 13 2 3 4" xfId="30108"/>
    <cellStyle name="TotRow - Opmaakprofiel4 2 13 2 3 5" xfId="44164"/>
    <cellStyle name="TotRow - Opmaakprofiel4 2 13 2 3 6" xfId="50918"/>
    <cellStyle name="TotRow - Opmaakprofiel4 2 13 2 4" xfId="3796"/>
    <cellStyle name="TotRow - Opmaakprofiel4 2 13 2 4 2" xfId="11608"/>
    <cellStyle name="TotRow - Opmaakprofiel4 2 13 2 4 2 2" xfId="23907"/>
    <cellStyle name="TotRow - Opmaakprofiel4 2 13 2 4 2 3" xfId="35959"/>
    <cellStyle name="TotRow - Opmaakprofiel4 2 13 2 4 2 4" xfId="46682"/>
    <cellStyle name="TotRow - Opmaakprofiel4 2 13 2 4 2 5" xfId="56573"/>
    <cellStyle name="TotRow - Opmaakprofiel4 2 13 2 4 3" xfId="18057"/>
    <cellStyle name="TotRow - Opmaakprofiel4 2 13 2 4 4" xfId="30109"/>
    <cellStyle name="TotRow - Opmaakprofiel4 2 13 2 4 5" xfId="37827"/>
    <cellStyle name="TotRow - Opmaakprofiel4 2 13 2 4 6" xfId="50919"/>
    <cellStyle name="TotRow - Opmaakprofiel4 2 13 2 5" xfId="6467"/>
    <cellStyle name="TotRow - Opmaakprofiel4 2 13 2 5 2" xfId="11609"/>
    <cellStyle name="TotRow - Opmaakprofiel4 2 13 2 5 2 2" xfId="23908"/>
    <cellStyle name="TotRow - Opmaakprofiel4 2 13 2 5 2 3" xfId="35960"/>
    <cellStyle name="TotRow - Opmaakprofiel4 2 13 2 5 2 4" xfId="46683"/>
    <cellStyle name="TotRow - Opmaakprofiel4 2 13 2 5 2 5" xfId="56574"/>
    <cellStyle name="TotRow - Opmaakprofiel4 2 13 2 5 3" xfId="18058"/>
    <cellStyle name="TotRow - Opmaakprofiel4 2 13 2 5 4" xfId="30110"/>
    <cellStyle name="TotRow - Opmaakprofiel4 2 13 2 5 5" xfId="44163"/>
    <cellStyle name="TotRow - Opmaakprofiel4 2 13 2 5 6" xfId="50920"/>
    <cellStyle name="TotRow - Opmaakprofiel4 2 13 2 6" xfId="6468"/>
    <cellStyle name="TotRow - Opmaakprofiel4 2 13 2 6 2" xfId="11610"/>
    <cellStyle name="TotRow - Opmaakprofiel4 2 13 2 6 2 2" xfId="23909"/>
    <cellStyle name="TotRow - Opmaakprofiel4 2 13 2 6 2 3" xfId="35961"/>
    <cellStyle name="TotRow - Opmaakprofiel4 2 13 2 6 2 4" xfId="46684"/>
    <cellStyle name="TotRow - Opmaakprofiel4 2 13 2 6 2 5" xfId="56575"/>
    <cellStyle name="TotRow - Opmaakprofiel4 2 13 2 6 3" xfId="18059"/>
    <cellStyle name="TotRow - Opmaakprofiel4 2 13 2 6 4" xfId="30111"/>
    <cellStyle name="TotRow - Opmaakprofiel4 2 13 2 6 5" xfId="37826"/>
    <cellStyle name="TotRow - Opmaakprofiel4 2 13 2 6 6" xfId="50921"/>
    <cellStyle name="TotRow - Opmaakprofiel4 2 13 2 7" xfId="6469"/>
    <cellStyle name="TotRow - Opmaakprofiel4 2 13 2 7 2" xfId="18060"/>
    <cellStyle name="TotRow - Opmaakprofiel4 2 13 2 7 3" xfId="30112"/>
    <cellStyle name="TotRow - Opmaakprofiel4 2 13 2 7 4" xfId="37825"/>
    <cellStyle name="TotRow - Opmaakprofiel4 2 13 2 7 5" xfId="50922"/>
    <cellStyle name="TotRow - Opmaakprofiel4 2 13 2 8" xfId="7354"/>
    <cellStyle name="TotRow - Opmaakprofiel4 2 13 2 8 2" xfId="19652"/>
    <cellStyle name="TotRow - Opmaakprofiel4 2 13 2 8 3" xfId="41455"/>
    <cellStyle name="TotRow - Opmaakprofiel4 2 13 2 8 4" xfId="43544"/>
    <cellStyle name="TotRow - Opmaakprofiel4 2 13 2 8 5" xfId="52324"/>
    <cellStyle name="TotRow - Opmaakprofiel4 2 13 2 9" xfId="18054"/>
    <cellStyle name="TotRow - Opmaakprofiel4 2 13 3" xfId="1034"/>
    <cellStyle name="TotRow - Opmaakprofiel4 2 13 3 2" xfId="2110"/>
    <cellStyle name="TotRow - Opmaakprofiel4 2 13 3 2 2" xfId="11611"/>
    <cellStyle name="TotRow - Opmaakprofiel4 2 13 3 2 2 2" xfId="23910"/>
    <cellStyle name="TotRow - Opmaakprofiel4 2 13 3 2 2 3" xfId="35962"/>
    <cellStyle name="TotRow - Opmaakprofiel4 2 13 3 2 2 4" xfId="46685"/>
    <cellStyle name="TotRow - Opmaakprofiel4 2 13 3 2 2 5" xfId="56576"/>
    <cellStyle name="TotRow - Opmaakprofiel4 2 13 3 2 3" xfId="18062"/>
    <cellStyle name="TotRow - Opmaakprofiel4 2 13 3 2 4" xfId="30114"/>
    <cellStyle name="TotRow - Opmaakprofiel4 2 13 3 2 5" xfId="44161"/>
    <cellStyle name="TotRow - Opmaakprofiel4 2 13 3 2 6" xfId="50923"/>
    <cellStyle name="TotRow - Opmaakprofiel4 2 13 3 3" xfId="3045"/>
    <cellStyle name="TotRow - Opmaakprofiel4 2 13 3 3 2" xfId="11612"/>
    <cellStyle name="TotRow - Opmaakprofiel4 2 13 3 3 2 2" xfId="23911"/>
    <cellStyle name="TotRow - Opmaakprofiel4 2 13 3 3 2 3" xfId="35963"/>
    <cellStyle name="TotRow - Opmaakprofiel4 2 13 3 3 2 4" xfId="46686"/>
    <cellStyle name="TotRow - Opmaakprofiel4 2 13 3 3 2 5" xfId="56577"/>
    <cellStyle name="TotRow - Opmaakprofiel4 2 13 3 3 3" xfId="18063"/>
    <cellStyle name="TotRow - Opmaakprofiel4 2 13 3 3 4" xfId="30115"/>
    <cellStyle name="TotRow - Opmaakprofiel4 2 13 3 3 5" xfId="37823"/>
    <cellStyle name="TotRow - Opmaakprofiel4 2 13 3 3 6" xfId="50924"/>
    <cellStyle name="TotRow - Opmaakprofiel4 2 13 3 4" xfId="3886"/>
    <cellStyle name="TotRow - Opmaakprofiel4 2 13 3 4 2" xfId="11613"/>
    <cellStyle name="TotRow - Opmaakprofiel4 2 13 3 4 2 2" xfId="23912"/>
    <cellStyle name="TotRow - Opmaakprofiel4 2 13 3 4 2 3" xfId="35964"/>
    <cellStyle name="TotRow - Opmaakprofiel4 2 13 3 4 2 4" xfId="46687"/>
    <cellStyle name="TotRow - Opmaakprofiel4 2 13 3 4 2 5" xfId="56578"/>
    <cellStyle name="TotRow - Opmaakprofiel4 2 13 3 4 3" xfId="18064"/>
    <cellStyle name="TotRow - Opmaakprofiel4 2 13 3 4 4" xfId="30116"/>
    <cellStyle name="TotRow - Opmaakprofiel4 2 13 3 4 5" xfId="37822"/>
    <cellStyle name="TotRow - Opmaakprofiel4 2 13 3 4 6" xfId="50925"/>
    <cellStyle name="TotRow - Opmaakprofiel4 2 13 3 5" xfId="6470"/>
    <cellStyle name="TotRow - Opmaakprofiel4 2 13 3 5 2" xfId="11614"/>
    <cellStyle name="TotRow - Opmaakprofiel4 2 13 3 5 2 2" xfId="23913"/>
    <cellStyle name="TotRow - Opmaakprofiel4 2 13 3 5 2 3" xfId="35965"/>
    <cellStyle name="TotRow - Opmaakprofiel4 2 13 3 5 2 4" xfId="46688"/>
    <cellStyle name="TotRow - Opmaakprofiel4 2 13 3 5 2 5" xfId="56579"/>
    <cellStyle name="TotRow - Opmaakprofiel4 2 13 3 5 3" xfId="18065"/>
    <cellStyle name="TotRow - Opmaakprofiel4 2 13 3 5 4" xfId="30117"/>
    <cellStyle name="TotRow - Opmaakprofiel4 2 13 3 5 5" xfId="44160"/>
    <cellStyle name="TotRow - Opmaakprofiel4 2 13 3 5 6" xfId="50926"/>
    <cellStyle name="TotRow - Opmaakprofiel4 2 13 3 6" xfId="6471"/>
    <cellStyle name="TotRow - Opmaakprofiel4 2 13 3 6 2" xfId="11615"/>
    <cellStyle name="TotRow - Opmaakprofiel4 2 13 3 6 2 2" xfId="23914"/>
    <cellStyle name="TotRow - Opmaakprofiel4 2 13 3 6 2 3" xfId="35966"/>
    <cellStyle name="TotRow - Opmaakprofiel4 2 13 3 6 2 4" xfId="46689"/>
    <cellStyle name="TotRow - Opmaakprofiel4 2 13 3 6 2 5" xfId="56580"/>
    <cellStyle name="TotRow - Opmaakprofiel4 2 13 3 6 3" xfId="18066"/>
    <cellStyle name="TotRow - Opmaakprofiel4 2 13 3 6 4" xfId="30118"/>
    <cellStyle name="TotRow - Opmaakprofiel4 2 13 3 6 5" xfId="37821"/>
    <cellStyle name="TotRow - Opmaakprofiel4 2 13 3 6 6" xfId="50927"/>
    <cellStyle name="TotRow - Opmaakprofiel4 2 13 3 7" xfId="6472"/>
    <cellStyle name="TotRow - Opmaakprofiel4 2 13 3 7 2" xfId="18067"/>
    <cellStyle name="TotRow - Opmaakprofiel4 2 13 3 7 3" xfId="30119"/>
    <cellStyle name="TotRow - Opmaakprofiel4 2 13 3 7 4" xfId="37820"/>
    <cellStyle name="TotRow - Opmaakprofiel4 2 13 3 7 5" xfId="50928"/>
    <cellStyle name="TotRow - Opmaakprofiel4 2 13 3 8" xfId="7287"/>
    <cellStyle name="TotRow - Opmaakprofiel4 2 13 3 8 2" xfId="19585"/>
    <cellStyle name="TotRow - Opmaakprofiel4 2 13 3 8 3" xfId="41388"/>
    <cellStyle name="TotRow - Opmaakprofiel4 2 13 3 8 4" xfId="36867"/>
    <cellStyle name="TotRow - Opmaakprofiel4 2 13 3 8 5" xfId="52257"/>
    <cellStyle name="TotRow - Opmaakprofiel4 2 13 3 9" xfId="18061"/>
    <cellStyle name="TotRow - Opmaakprofiel4 2 13 4" xfId="1113"/>
    <cellStyle name="TotRow - Opmaakprofiel4 2 13 4 2" xfId="1420"/>
    <cellStyle name="TotRow - Opmaakprofiel4 2 13 4 2 2" xfId="11616"/>
    <cellStyle name="TotRow - Opmaakprofiel4 2 13 4 2 2 2" xfId="23915"/>
    <cellStyle name="TotRow - Opmaakprofiel4 2 13 4 2 2 3" xfId="35967"/>
    <cellStyle name="TotRow - Opmaakprofiel4 2 13 4 2 2 4" xfId="46690"/>
    <cellStyle name="TotRow - Opmaakprofiel4 2 13 4 2 2 5" xfId="56581"/>
    <cellStyle name="TotRow - Opmaakprofiel4 2 13 4 2 3" xfId="18069"/>
    <cellStyle name="TotRow - Opmaakprofiel4 2 13 4 2 4" xfId="30121"/>
    <cellStyle name="TotRow - Opmaakprofiel4 2 13 4 2 5" xfId="37818"/>
    <cellStyle name="TotRow - Opmaakprofiel4 2 13 4 2 6" xfId="50929"/>
    <cellStyle name="TotRow - Opmaakprofiel4 2 13 4 3" xfId="3124"/>
    <cellStyle name="TotRow - Opmaakprofiel4 2 13 4 3 2" xfId="11617"/>
    <cellStyle name="TotRow - Opmaakprofiel4 2 13 4 3 2 2" xfId="23916"/>
    <cellStyle name="TotRow - Opmaakprofiel4 2 13 4 3 2 3" xfId="35968"/>
    <cellStyle name="TotRow - Opmaakprofiel4 2 13 4 3 2 4" xfId="46691"/>
    <cellStyle name="TotRow - Opmaakprofiel4 2 13 4 3 2 5" xfId="56582"/>
    <cellStyle name="TotRow - Opmaakprofiel4 2 13 4 3 3" xfId="18070"/>
    <cellStyle name="TotRow - Opmaakprofiel4 2 13 4 3 4" xfId="30122"/>
    <cellStyle name="TotRow - Opmaakprofiel4 2 13 4 3 5" xfId="44157"/>
    <cellStyle name="TotRow - Opmaakprofiel4 2 13 4 3 6" xfId="50930"/>
    <cellStyle name="TotRow - Opmaakprofiel4 2 13 4 4" xfId="3958"/>
    <cellStyle name="TotRow - Opmaakprofiel4 2 13 4 4 2" xfId="11618"/>
    <cellStyle name="TotRow - Opmaakprofiel4 2 13 4 4 2 2" xfId="23917"/>
    <cellStyle name="TotRow - Opmaakprofiel4 2 13 4 4 2 3" xfId="35969"/>
    <cellStyle name="TotRow - Opmaakprofiel4 2 13 4 4 2 4" xfId="46692"/>
    <cellStyle name="TotRow - Opmaakprofiel4 2 13 4 4 2 5" xfId="56583"/>
    <cellStyle name="TotRow - Opmaakprofiel4 2 13 4 4 3" xfId="18071"/>
    <cellStyle name="TotRow - Opmaakprofiel4 2 13 4 4 4" xfId="30123"/>
    <cellStyle name="TotRow - Opmaakprofiel4 2 13 4 4 5" xfId="37817"/>
    <cellStyle name="TotRow - Opmaakprofiel4 2 13 4 4 6" xfId="50931"/>
    <cellStyle name="TotRow - Opmaakprofiel4 2 13 4 5" xfId="6473"/>
    <cellStyle name="TotRow - Opmaakprofiel4 2 13 4 5 2" xfId="11619"/>
    <cellStyle name="TotRow - Opmaakprofiel4 2 13 4 5 2 2" xfId="23918"/>
    <cellStyle name="TotRow - Opmaakprofiel4 2 13 4 5 2 3" xfId="35970"/>
    <cellStyle name="TotRow - Opmaakprofiel4 2 13 4 5 2 4" xfId="46693"/>
    <cellStyle name="TotRow - Opmaakprofiel4 2 13 4 5 2 5" xfId="56584"/>
    <cellStyle name="TotRow - Opmaakprofiel4 2 13 4 5 3" xfId="18072"/>
    <cellStyle name="TotRow - Opmaakprofiel4 2 13 4 5 4" xfId="30124"/>
    <cellStyle name="TotRow - Opmaakprofiel4 2 13 4 5 5" xfId="37816"/>
    <cellStyle name="TotRow - Opmaakprofiel4 2 13 4 5 6" xfId="50932"/>
    <cellStyle name="TotRow - Opmaakprofiel4 2 13 4 6" xfId="6474"/>
    <cellStyle name="TotRow - Opmaakprofiel4 2 13 4 6 2" xfId="11620"/>
    <cellStyle name="TotRow - Opmaakprofiel4 2 13 4 6 2 2" xfId="23919"/>
    <cellStyle name="TotRow - Opmaakprofiel4 2 13 4 6 2 3" xfId="35971"/>
    <cellStyle name="TotRow - Opmaakprofiel4 2 13 4 6 2 4" xfId="46694"/>
    <cellStyle name="TotRow - Opmaakprofiel4 2 13 4 6 2 5" xfId="56585"/>
    <cellStyle name="TotRow - Opmaakprofiel4 2 13 4 6 3" xfId="18073"/>
    <cellStyle name="TotRow - Opmaakprofiel4 2 13 4 6 4" xfId="30125"/>
    <cellStyle name="TotRow - Opmaakprofiel4 2 13 4 6 5" xfId="44156"/>
    <cellStyle name="TotRow - Opmaakprofiel4 2 13 4 6 6" xfId="50933"/>
    <cellStyle name="TotRow - Opmaakprofiel4 2 13 4 7" xfId="6475"/>
    <cellStyle name="TotRow - Opmaakprofiel4 2 13 4 7 2" xfId="18074"/>
    <cellStyle name="TotRow - Opmaakprofiel4 2 13 4 7 3" xfId="30126"/>
    <cellStyle name="TotRow - Opmaakprofiel4 2 13 4 7 4" xfId="37815"/>
    <cellStyle name="TotRow - Opmaakprofiel4 2 13 4 7 5" xfId="50934"/>
    <cellStyle name="TotRow - Opmaakprofiel4 2 13 4 8" xfId="7234"/>
    <cellStyle name="TotRow - Opmaakprofiel4 2 13 4 8 2" xfId="19532"/>
    <cellStyle name="TotRow - Opmaakprofiel4 2 13 4 8 3" xfId="41335"/>
    <cellStyle name="TotRow - Opmaakprofiel4 2 13 4 8 4" xfId="43594"/>
    <cellStyle name="TotRow - Opmaakprofiel4 2 13 4 8 5" xfId="52204"/>
    <cellStyle name="TotRow - Opmaakprofiel4 2 13 4 9" xfId="18068"/>
    <cellStyle name="TotRow - Opmaakprofiel4 2 13 5" xfId="1205"/>
    <cellStyle name="TotRow - Opmaakprofiel4 2 13 5 2" xfId="1934"/>
    <cellStyle name="TotRow - Opmaakprofiel4 2 13 5 2 2" xfId="11621"/>
    <cellStyle name="TotRow - Opmaakprofiel4 2 13 5 2 2 2" xfId="23920"/>
    <cellStyle name="TotRow - Opmaakprofiel4 2 13 5 2 2 3" xfId="35972"/>
    <cellStyle name="TotRow - Opmaakprofiel4 2 13 5 2 2 4" xfId="46695"/>
    <cellStyle name="TotRow - Opmaakprofiel4 2 13 5 2 2 5" xfId="56586"/>
    <cellStyle name="TotRow - Opmaakprofiel4 2 13 5 2 3" xfId="18076"/>
    <cellStyle name="TotRow - Opmaakprofiel4 2 13 5 2 4" xfId="30128"/>
    <cellStyle name="TotRow - Opmaakprofiel4 2 13 5 2 5" xfId="37813"/>
    <cellStyle name="TotRow - Opmaakprofiel4 2 13 5 2 6" xfId="50935"/>
    <cellStyle name="TotRow - Opmaakprofiel4 2 13 5 3" xfId="3216"/>
    <cellStyle name="TotRow - Opmaakprofiel4 2 13 5 3 2" xfId="11622"/>
    <cellStyle name="TotRow - Opmaakprofiel4 2 13 5 3 2 2" xfId="23921"/>
    <cellStyle name="TotRow - Opmaakprofiel4 2 13 5 3 2 3" xfId="35973"/>
    <cellStyle name="TotRow - Opmaakprofiel4 2 13 5 3 2 4" xfId="46696"/>
    <cellStyle name="TotRow - Opmaakprofiel4 2 13 5 3 2 5" xfId="56587"/>
    <cellStyle name="TotRow - Opmaakprofiel4 2 13 5 3 3" xfId="18077"/>
    <cellStyle name="TotRow - Opmaakprofiel4 2 13 5 3 4" xfId="30129"/>
    <cellStyle name="TotRow - Opmaakprofiel4 2 13 5 3 5" xfId="37812"/>
    <cellStyle name="TotRow - Opmaakprofiel4 2 13 5 3 6" xfId="50936"/>
    <cellStyle name="TotRow - Opmaakprofiel4 2 13 5 4" xfId="4031"/>
    <cellStyle name="TotRow - Opmaakprofiel4 2 13 5 4 2" xfId="11623"/>
    <cellStyle name="TotRow - Opmaakprofiel4 2 13 5 4 2 2" xfId="23922"/>
    <cellStyle name="TotRow - Opmaakprofiel4 2 13 5 4 2 3" xfId="35974"/>
    <cellStyle name="TotRow - Opmaakprofiel4 2 13 5 4 2 4" xfId="46697"/>
    <cellStyle name="TotRow - Opmaakprofiel4 2 13 5 4 2 5" xfId="56588"/>
    <cellStyle name="TotRow - Opmaakprofiel4 2 13 5 4 3" xfId="18078"/>
    <cellStyle name="TotRow - Opmaakprofiel4 2 13 5 4 4" xfId="30130"/>
    <cellStyle name="TotRow - Opmaakprofiel4 2 13 5 4 5" xfId="44153"/>
    <cellStyle name="TotRow - Opmaakprofiel4 2 13 5 4 6" xfId="50937"/>
    <cellStyle name="TotRow - Opmaakprofiel4 2 13 5 5" xfId="6476"/>
    <cellStyle name="TotRow - Opmaakprofiel4 2 13 5 5 2" xfId="11624"/>
    <cellStyle name="TotRow - Opmaakprofiel4 2 13 5 5 2 2" xfId="23923"/>
    <cellStyle name="TotRow - Opmaakprofiel4 2 13 5 5 2 3" xfId="35975"/>
    <cellStyle name="TotRow - Opmaakprofiel4 2 13 5 5 2 4" xfId="46698"/>
    <cellStyle name="TotRow - Opmaakprofiel4 2 13 5 5 2 5" xfId="56589"/>
    <cellStyle name="TotRow - Opmaakprofiel4 2 13 5 5 3" xfId="18079"/>
    <cellStyle name="TotRow - Opmaakprofiel4 2 13 5 5 4" xfId="30131"/>
    <cellStyle name="TotRow - Opmaakprofiel4 2 13 5 5 5" xfId="37811"/>
    <cellStyle name="TotRow - Opmaakprofiel4 2 13 5 5 6" xfId="50938"/>
    <cellStyle name="TotRow - Opmaakprofiel4 2 13 5 6" xfId="6477"/>
    <cellStyle name="TotRow - Opmaakprofiel4 2 13 5 6 2" xfId="11625"/>
    <cellStyle name="TotRow - Opmaakprofiel4 2 13 5 6 2 2" xfId="23924"/>
    <cellStyle name="TotRow - Opmaakprofiel4 2 13 5 6 2 3" xfId="35976"/>
    <cellStyle name="TotRow - Opmaakprofiel4 2 13 5 6 2 4" xfId="46699"/>
    <cellStyle name="TotRow - Opmaakprofiel4 2 13 5 6 2 5" xfId="56590"/>
    <cellStyle name="TotRow - Opmaakprofiel4 2 13 5 6 3" xfId="18080"/>
    <cellStyle name="TotRow - Opmaakprofiel4 2 13 5 6 4" xfId="30132"/>
    <cellStyle name="TotRow - Opmaakprofiel4 2 13 5 6 5" xfId="37810"/>
    <cellStyle name="TotRow - Opmaakprofiel4 2 13 5 6 6" xfId="50939"/>
    <cellStyle name="TotRow - Opmaakprofiel4 2 13 5 7" xfId="6478"/>
    <cellStyle name="TotRow - Opmaakprofiel4 2 13 5 7 2" xfId="18081"/>
    <cellStyle name="TotRow - Opmaakprofiel4 2 13 5 7 3" xfId="30133"/>
    <cellStyle name="TotRow - Opmaakprofiel4 2 13 5 7 4" xfId="44152"/>
    <cellStyle name="TotRow - Opmaakprofiel4 2 13 5 7 5" xfId="50940"/>
    <cellStyle name="TotRow - Opmaakprofiel4 2 13 5 8" xfId="7169"/>
    <cellStyle name="TotRow - Opmaakprofiel4 2 13 5 8 2" xfId="19467"/>
    <cellStyle name="TotRow - Opmaakprofiel4 2 13 5 8 3" xfId="41270"/>
    <cellStyle name="TotRow - Opmaakprofiel4 2 13 5 8 4" xfId="36935"/>
    <cellStyle name="TotRow - Opmaakprofiel4 2 13 5 8 5" xfId="52139"/>
    <cellStyle name="TotRow - Opmaakprofiel4 2 13 5 9" xfId="18075"/>
    <cellStyle name="TotRow - Opmaakprofiel4 2 13 6" xfId="427"/>
    <cellStyle name="TotRow - Opmaakprofiel4 2 13 6 2" xfId="2244"/>
    <cellStyle name="TotRow - Opmaakprofiel4 2 13 6 2 2" xfId="11626"/>
    <cellStyle name="TotRow - Opmaakprofiel4 2 13 6 2 2 2" xfId="23925"/>
    <cellStyle name="TotRow - Opmaakprofiel4 2 13 6 2 2 3" xfId="35977"/>
    <cellStyle name="TotRow - Opmaakprofiel4 2 13 6 2 2 4" xfId="46700"/>
    <cellStyle name="TotRow - Opmaakprofiel4 2 13 6 2 2 5" xfId="56591"/>
    <cellStyle name="TotRow - Opmaakprofiel4 2 13 6 2 3" xfId="18083"/>
    <cellStyle name="TotRow - Opmaakprofiel4 2 13 6 2 4" xfId="30135"/>
    <cellStyle name="TotRow - Opmaakprofiel4 2 13 6 2 5" xfId="37808"/>
    <cellStyle name="TotRow - Opmaakprofiel4 2 13 6 2 6" xfId="50941"/>
    <cellStyle name="TotRow - Opmaakprofiel4 2 13 6 3" xfId="2498"/>
    <cellStyle name="TotRow - Opmaakprofiel4 2 13 6 3 2" xfId="11627"/>
    <cellStyle name="TotRow - Opmaakprofiel4 2 13 6 3 2 2" xfId="23926"/>
    <cellStyle name="TotRow - Opmaakprofiel4 2 13 6 3 2 3" xfId="35978"/>
    <cellStyle name="TotRow - Opmaakprofiel4 2 13 6 3 2 4" xfId="46701"/>
    <cellStyle name="TotRow - Opmaakprofiel4 2 13 6 3 2 5" xfId="56592"/>
    <cellStyle name="TotRow - Opmaakprofiel4 2 13 6 3 3" xfId="18084"/>
    <cellStyle name="TotRow - Opmaakprofiel4 2 13 6 3 4" xfId="30136"/>
    <cellStyle name="TotRow - Opmaakprofiel4 2 13 6 3 5" xfId="37807"/>
    <cellStyle name="TotRow - Opmaakprofiel4 2 13 6 3 6" xfId="50942"/>
    <cellStyle name="TotRow - Opmaakprofiel4 2 13 6 4" xfId="2005"/>
    <cellStyle name="TotRow - Opmaakprofiel4 2 13 6 4 2" xfId="11628"/>
    <cellStyle name="TotRow - Opmaakprofiel4 2 13 6 4 2 2" xfId="23927"/>
    <cellStyle name="TotRow - Opmaakprofiel4 2 13 6 4 2 3" xfId="35979"/>
    <cellStyle name="TotRow - Opmaakprofiel4 2 13 6 4 2 4" xfId="46702"/>
    <cellStyle name="TotRow - Opmaakprofiel4 2 13 6 4 2 5" xfId="56593"/>
    <cellStyle name="TotRow - Opmaakprofiel4 2 13 6 4 3" xfId="18085"/>
    <cellStyle name="TotRow - Opmaakprofiel4 2 13 6 4 4" xfId="30137"/>
    <cellStyle name="TotRow - Opmaakprofiel4 2 13 6 4 5" xfId="37806"/>
    <cellStyle name="TotRow - Opmaakprofiel4 2 13 6 4 6" xfId="50943"/>
    <cellStyle name="TotRow - Opmaakprofiel4 2 13 6 5" xfId="6479"/>
    <cellStyle name="TotRow - Opmaakprofiel4 2 13 6 5 2" xfId="11629"/>
    <cellStyle name="TotRow - Opmaakprofiel4 2 13 6 5 2 2" xfId="23928"/>
    <cellStyle name="TotRow - Opmaakprofiel4 2 13 6 5 2 3" xfId="35980"/>
    <cellStyle name="TotRow - Opmaakprofiel4 2 13 6 5 2 4" xfId="46703"/>
    <cellStyle name="TotRow - Opmaakprofiel4 2 13 6 5 2 5" xfId="56594"/>
    <cellStyle name="TotRow - Opmaakprofiel4 2 13 6 5 3" xfId="18086"/>
    <cellStyle name="TotRow - Opmaakprofiel4 2 13 6 5 4" xfId="30138"/>
    <cellStyle name="TotRow - Opmaakprofiel4 2 13 6 5 5" xfId="44149"/>
    <cellStyle name="TotRow - Opmaakprofiel4 2 13 6 5 6" xfId="50944"/>
    <cellStyle name="TotRow - Opmaakprofiel4 2 13 6 6" xfId="6480"/>
    <cellStyle name="TotRow - Opmaakprofiel4 2 13 6 6 2" xfId="11630"/>
    <cellStyle name="TotRow - Opmaakprofiel4 2 13 6 6 2 2" xfId="23929"/>
    <cellStyle name="TotRow - Opmaakprofiel4 2 13 6 6 2 3" xfId="35981"/>
    <cellStyle name="TotRow - Opmaakprofiel4 2 13 6 6 2 4" xfId="46704"/>
    <cellStyle name="TotRow - Opmaakprofiel4 2 13 6 6 2 5" xfId="56595"/>
    <cellStyle name="TotRow - Opmaakprofiel4 2 13 6 6 3" xfId="18087"/>
    <cellStyle name="TotRow - Opmaakprofiel4 2 13 6 6 4" xfId="30139"/>
    <cellStyle name="TotRow - Opmaakprofiel4 2 13 6 6 5" xfId="37805"/>
    <cellStyle name="TotRow - Opmaakprofiel4 2 13 6 6 6" xfId="50945"/>
    <cellStyle name="TotRow - Opmaakprofiel4 2 13 6 7" xfId="6481"/>
    <cellStyle name="TotRow - Opmaakprofiel4 2 13 6 7 2" xfId="18088"/>
    <cellStyle name="TotRow - Opmaakprofiel4 2 13 6 7 3" xfId="30140"/>
    <cellStyle name="TotRow - Opmaakprofiel4 2 13 6 7 4" xfId="37804"/>
    <cellStyle name="TotRow - Opmaakprofiel4 2 13 6 7 5" xfId="50946"/>
    <cellStyle name="TotRow - Opmaakprofiel4 2 13 6 8" xfId="7698"/>
    <cellStyle name="TotRow - Opmaakprofiel4 2 13 6 8 2" xfId="19996"/>
    <cellStyle name="TotRow - Opmaakprofiel4 2 13 6 8 3" xfId="41799"/>
    <cellStyle name="TotRow - Opmaakprofiel4 2 13 6 8 4" xfId="43400"/>
    <cellStyle name="TotRow - Opmaakprofiel4 2 13 6 8 5" xfId="52668"/>
    <cellStyle name="TotRow - Opmaakprofiel4 2 13 6 9" xfId="18082"/>
    <cellStyle name="TotRow - Opmaakprofiel4 2 13 7" xfId="1594"/>
    <cellStyle name="TotRow - Opmaakprofiel4 2 13 7 2" xfId="11631"/>
    <cellStyle name="TotRow - Opmaakprofiel4 2 13 7 2 2" xfId="23930"/>
    <cellStyle name="TotRow - Opmaakprofiel4 2 13 7 2 3" xfId="35982"/>
    <cellStyle name="TotRow - Opmaakprofiel4 2 13 7 2 4" xfId="46705"/>
    <cellStyle name="TotRow - Opmaakprofiel4 2 13 7 2 5" xfId="56596"/>
    <cellStyle name="TotRow - Opmaakprofiel4 2 13 7 3" xfId="18089"/>
    <cellStyle name="TotRow - Opmaakprofiel4 2 13 7 4" xfId="30141"/>
    <cellStyle name="TotRow - Opmaakprofiel4 2 13 7 5" xfId="44148"/>
    <cellStyle name="TotRow - Opmaakprofiel4 2 13 7 6" xfId="50947"/>
    <cellStyle name="TotRow - Opmaakprofiel4 2 13 8" xfId="2805"/>
    <cellStyle name="TotRow - Opmaakprofiel4 2 13 8 2" xfId="11632"/>
    <cellStyle name="TotRow - Opmaakprofiel4 2 13 8 2 2" xfId="23931"/>
    <cellStyle name="TotRow - Opmaakprofiel4 2 13 8 2 3" xfId="35983"/>
    <cellStyle name="TotRow - Opmaakprofiel4 2 13 8 2 4" xfId="46706"/>
    <cellStyle name="TotRow - Opmaakprofiel4 2 13 8 2 5" xfId="56597"/>
    <cellStyle name="TotRow - Opmaakprofiel4 2 13 8 3" xfId="18090"/>
    <cellStyle name="TotRow - Opmaakprofiel4 2 13 8 4" xfId="30142"/>
    <cellStyle name="TotRow - Opmaakprofiel4 2 13 8 5" xfId="37803"/>
    <cellStyle name="TotRow - Opmaakprofiel4 2 13 8 6" xfId="50948"/>
    <cellStyle name="TotRow - Opmaakprofiel4 2 13 9" xfId="3665"/>
    <cellStyle name="TotRow - Opmaakprofiel4 2 13 9 2" xfId="11633"/>
    <cellStyle name="TotRow - Opmaakprofiel4 2 13 9 2 2" xfId="23932"/>
    <cellStyle name="TotRow - Opmaakprofiel4 2 13 9 2 3" xfId="35984"/>
    <cellStyle name="TotRow - Opmaakprofiel4 2 13 9 2 4" xfId="46707"/>
    <cellStyle name="TotRow - Opmaakprofiel4 2 13 9 2 5" xfId="56598"/>
    <cellStyle name="TotRow - Opmaakprofiel4 2 13 9 3" xfId="18091"/>
    <cellStyle name="TotRow - Opmaakprofiel4 2 13 9 4" xfId="30143"/>
    <cellStyle name="TotRow - Opmaakprofiel4 2 13 9 5" xfId="37802"/>
    <cellStyle name="TotRow - Opmaakprofiel4 2 13 9 6" xfId="50949"/>
    <cellStyle name="TotRow - Opmaakprofiel4 2 14" xfId="736"/>
    <cellStyle name="TotRow - Opmaakprofiel4 2 14 10" xfId="6482"/>
    <cellStyle name="TotRow - Opmaakprofiel4 2 14 10 2" xfId="11634"/>
    <cellStyle name="TotRow - Opmaakprofiel4 2 14 10 2 2" xfId="23933"/>
    <cellStyle name="TotRow - Opmaakprofiel4 2 14 10 2 3" xfId="35985"/>
    <cellStyle name="TotRow - Opmaakprofiel4 2 14 10 2 4" xfId="46708"/>
    <cellStyle name="TotRow - Opmaakprofiel4 2 14 10 2 5" xfId="56599"/>
    <cellStyle name="TotRow - Opmaakprofiel4 2 14 10 3" xfId="18093"/>
    <cellStyle name="TotRow - Opmaakprofiel4 2 14 10 4" xfId="30145"/>
    <cellStyle name="TotRow - Opmaakprofiel4 2 14 10 5" xfId="37801"/>
    <cellStyle name="TotRow - Opmaakprofiel4 2 14 10 6" xfId="50950"/>
    <cellStyle name="TotRow - Opmaakprofiel4 2 14 11" xfId="6483"/>
    <cellStyle name="TotRow - Opmaakprofiel4 2 14 11 2" xfId="11635"/>
    <cellStyle name="TotRow - Opmaakprofiel4 2 14 11 2 2" xfId="23934"/>
    <cellStyle name="TotRow - Opmaakprofiel4 2 14 11 2 3" xfId="35986"/>
    <cellStyle name="TotRow - Opmaakprofiel4 2 14 11 2 4" xfId="46709"/>
    <cellStyle name="TotRow - Opmaakprofiel4 2 14 11 2 5" xfId="56600"/>
    <cellStyle name="TotRow - Opmaakprofiel4 2 14 11 3" xfId="18094"/>
    <cellStyle name="TotRow - Opmaakprofiel4 2 14 11 4" xfId="30146"/>
    <cellStyle name="TotRow - Opmaakprofiel4 2 14 11 5" xfId="44145"/>
    <cellStyle name="TotRow - Opmaakprofiel4 2 14 11 6" xfId="50951"/>
    <cellStyle name="TotRow - Opmaakprofiel4 2 14 12" xfId="6484"/>
    <cellStyle name="TotRow - Opmaakprofiel4 2 14 12 2" xfId="18095"/>
    <cellStyle name="TotRow - Opmaakprofiel4 2 14 12 3" xfId="30147"/>
    <cellStyle name="TotRow - Opmaakprofiel4 2 14 12 4" xfId="37800"/>
    <cellStyle name="TotRow - Opmaakprofiel4 2 14 12 5" xfId="50952"/>
    <cellStyle name="TotRow - Opmaakprofiel4 2 14 13" xfId="10180"/>
    <cellStyle name="TotRow - Opmaakprofiel4 2 14 13 2" xfId="22478"/>
    <cellStyle name="TotRow - Opmaakprofiel4 2 14 13 3" xfId="44242"/>
    <cellStyle name="TotRow - Opmaakprofiel4 2 14 13 4" xfId="42382"/>
    <cellStyle name="TotRow - Opmaakprofiel4 2 14 13 5" xfId="55145"/>
    <cellStyle name="TotRow - Opmaakprofiel4 2 14 14" xfId="18092"/>
    <cellStyle name="TotRow - Opmaakprofiel4 2 14 2" xfId="906"/>
    <cellStyle name="TotRow - Opmaakprofiel4 2 14 2 2" xfId="1811"/>
    <cellStyle name="TotRow - Opmaakprofiel4 2 14 2 2 2" xfId="11636"/>
    <cellStyle name="TotRow - Opmaakprofiel4 2 14 2 2 2 2" xfId="23935"/>
    <cellStyle name="TotRow - Opmaakprofiel4 2 14 2 2 2 3" xfId="35987"/>
    <cellStyle name="TotRow - Opmaakprofiel4 2 14 2 2 2 4" xfId="46710"/>
    <cellStyle name="TotRow - Opmaakprofiel4 2 14 2 2 2 5" xfId="56601"/>
    <cellStyle name="TotRow - Opmaakprofiel4 2 14 2 2 3" xfId="18097"/>
    <cellStyle name="TotRow - Opmaakprofiel4 2 14 2 2 4" xfId="30149"/>
    <cellStyle name="TotRow - Opmaakprofiel4 2 14 2 2 5" xfId="44144"/>
    <cellStyle name="TotRow - Opmaakprofiel4 2 14 2 2 6" xfId="50953"/>
    <cellStyle name="TotRow - Opmaakprofiel4 2 14 2 3" xfId="2917"/>
    <cellStyle name="TotRow - Opmaakprofiel4 2 14 2 3 2" xfId="11637"/>
    <cellStyle name="TotRow - Opmaakprofiel4 2 14 2 3 2 2" xfId="23936"/>
    <cellStyle name="TotRow - Opmaakprofiel4 2 14 2 3 2 3" xfId="35988"/>
    <cellStyle name="TotRow - Opmaakprofiel4 2 14 2 3 2 4" xfId="46711"/>
    <cellStyle name="TotRow - Opmaakprofiel4 2 14 2 3 2 5" xfId="56602"/>
    <cellStyle name="TotRow - Opmaakprofiel4 2 14 2 3 3" xfId="18098"/>
    <cellStyle name="TotRow - Opmaakprofiel4 2 14 2 3 4" xfId="30150"/>
    <cellStyle name="TotRow - Opmaakprofiel4 2 14 2 3 5" xfId="37798"/>
    <cellStyle name="TotRow - Opmaakprofiel4 2 14 2 3 6" xfId="50954"/>
    <cellStyle name="TotRow - Opmaakprofiel4 2 14 2 4" xfId="3770"/>
    <cellStyle name="TotRow - Opmaakprofiel4 2 14 2 4 2" xfId="11638"/>
    <cellStyle name="TotRow - Opmaakprofiel4 2 14 2 4 2 2" xfId="23937"/>
    <cellStyle name="TotRow - Opmaakprofiel4 2 14 2 4 2 3" xfId="35989"/>
    <cellStyle name="TotRow - Opmaakprofiel4 2 14 2 4 2 4" xfId="46712"/>
    <cellStyle name="TotRow - Opmaakprofiel4 2 14 2 4 2 5" xfId="56603"/>
    <cellStyle name="TotRow - Opmaakprofiel4 2 14 2 4 3" xfId="18099"/>
    <cellStyle name="TotRow - Opmaakprofiel4 2 14 2 4 4" xfId="30151"/>
    <cellStyle name="TotRow - Opmaakprofiel4 2 14 2 4 5" xfId="37797"/>
    <cellStyle name="TotRow - Opmaakprofiel4 2 14 2 4 6" xfId="50955"/>
    <cellStyle name="TotRow - Opmaakprofiel4 2 14 2 5" xfId="6485"/>
    <cellStyle name="TotRow - Opmaakprofiel4 2 14 2 5 2" xfId="11639"/>
    <cellStyle name="TotRow - Opmaakprofiel4 2 14 2 5 2 2" xfId="23938"/>
    <cellStyle name="TotRow - Opmaakprofiel4 2 14 2 5 2 3" xfId="35990"/>
    <cellStyle name="TotRow - Opmaakprofiel4 2 14 2 5 2 4" xfId="46713"/>
    <cellStyle name="TotRow - Opmaakprofiel4 2 14 2 5 2 5" xfId="56604"/>
    <cellStyle name="TotRow - Opmaakprofiel4 2 14 2 5 3" xfId="18100"/>
    <cellStyle name="TotRow - Opmaakprofiel4 2 14 2 5 4" xfId="30152"/>
    <cellStyle name="TotRow - Opmaakprofiel4 2 14 2 5 5" xfId="37796"/>
    <cellStyle name="TotRow - Opmaakprofiel4 2 14 2 5 6" xfId="50956"/>
    <cellStyle name="TotRow - Opmaakprofiel4 2 14 2 6" xfId="6486"/>
    <cellStyle name="TotRow - Opmaakprofiel4 2 14 2 6 2" xfId="11640"/>
    <cellStyle name="TotRow - Opmaakprofiel4 2 14 2 6 2 2" xfId="23939"/>
    <cellStyle name="TotRow - Opmaakprofiel4 2 14 2 6 2 3" xfId="35991"/>
    <cellStyle name="TotRow - Opmaakprofiel4 2 14 2 6 2 4" xfId="46714"/>
    <cellStyle name="TotRow - Opmaakprofiel4 2 14 2 6 2 5" xfId="56605"/>
    <cellStyle name="TotRow - Opmaakprofiel4 2 14 2 6 3" xfId="18101"/>
    <cellStyle name="TotRow - Opmaakprofiel4 2 14 2 6 4" xfId="30153"/>
    <cellStyle name="TotRow - Opmaakprofiel4 2 14 2 6 5" xfId="37795"/>
    <cellStyle name="TotRow - Opmaakprofiel4 2 14 2 6 6" xfId="50957"/>
    <cellStyle name="TotRow - Opmaakprofiel4 2 14 2 7" xfId="6487"/>
    <cellStyle name="TotRow - Opmaakprofiel4 2 14 2 7 2" xfId="18102"/>
    <cellStyle name="TotRow - Opmaakprofiel4 2 14 2 7 3" xfId="30154"/>
    <cellStyle name="TotRow - Opmaakprofiel4 2 14 2 7 4" xfId="44141"/>
    <cellStyle name="TotRow - Opmaakprofiel4 2 14 2 7 5" xfId="50958"/>
    <cellStyle name="TotRow - Opmaakprofiel4 2 14 2 8" xfId="7375"/>
    <cellStyle name="TotRow - Opmaakprofiel4 2 14 2 8 2" xfId="19673"/>
    <cellStyle name="TotRow - Opmaakprofiel4 2 14 2 8 3" xfId="41476"/>
    <cellStyle name="TotRow - Opmaakprofiel4 2 14 2 8 4" xfId="43535"/>
    <cellStyle name="TotRow - Opmaakprofiel4 2 14 2 8 5" xfId="52345"/>
    <cellStyle name="TotRow - Opmaakprofiel4 2 14 2 9" xfId="18096"/>
    <cellStyle name="TotRow - Opmaakprofiel4 2 14 3" xfId="1004"/>
    <cellStyle name="TotRow - Opmaakprofiel4 2 14 3 2" xfId="1731"/>
    <cellStyle name="TotRow - Opmaakprofiel4 2 14 3 2 2" xfId="11641"/>
    <cellStyle name="TotRow - Opmaakprofiel4 2 14 3 2 2 2" xfId="23940"/>
    <cellStyle name="TotRow - Opmaakprofiel4 2 14 3 2 2 3" xfId="35992"/>
    <cellStyle name="TotRow - Opmaakprofiel4 2 14 3 2 2 4" xfId="46715"/>
    <cellStyle name="TotRow - Opmaakprofiel4 2 14 3 2 2 5" xfId="56606"/>
    <cellStyle name="TotRow - Opmaakprofiel4 2 14 3 2 3" xfId="18104"/>
    <cellStyle name="TotRow - Opmaakprofiel4 2 14 3 2 4" xfId="30156"/>
    <cellStyle name="TotRow - Opmaakprofiel4 2 14 3 2 5" xfId="37793"/>
    <cellStyle name="TotRow - Opmaakprofiel4 2 14 3 2 6" xfId="50959"/>
    <cellStyle name="TotRow - Opmaakprofiel4 2 14 3 3" xfId="3015"/>
    <cellStyle name="TotRow - Opmaakprofiel4 2 14 3 3 2" xfId="11642"/>
    <cellStyle name="TotRow - Opmaakprofiel4 2 14 3 3 2 2" xfId="23941"/>
    <cellStyle name="TotRow - Opmaakprofiel4 2 14 3 3 2 3" xfId="35993"/>
    <cellStyle name="TotRow - Opmaakprofiel4 2 14 3 3 2 4" xfId="46716"/>
    <cellStyle name="TotRow - Opmaakprofiel4 2 14 3 3 2 5" xfId="56607"/>
    <cellStyle name="TotRow - Opmaakprofiel4 2 14 3 3 3" xfId="18105"/>
    <cellStyle name="TotRow - Opmaakprofiel4 2 14 3 3 4" xfId="30157"/>
    <cellStyle name="TotRow - Opmaakprofiel4 2 14 3 3 5" xfId="44140"/>
    <cellStyle name="TotRow - Opmaakprofiel4 2 14 3 3 6" xfId="50960"/>
    <cellStyle name="TotRow - Opmaakprofiel4 2 14 3 4" xfId="3861"/>
    <cellStyle name="TotRow - Opmaakprofiel4 2 14 3 4 2" xfId="11643"/>
    <cellStyle name="TotRow - Opmaakprofiel4 2 14 3 4 2 2" xfId="23942"/>
    <cellStyle name="TotRow - Opmaakprofiel4 2 14 3 4 2 3" xfId="35994"/>
    <cellStyle name="TotRow - Opmaakprofiel4 2 14 3 4 2 4" xfId="46717"/>
    <cellStyle name="TotRow - Opmaakprofiel4 2 14 3 4 2 5" xfId="56608"/>
    <cellStyle name="TotRow - Opmaakprofiel4 2 14 3 4 3" xfId="18106"/>
    <cellStyle name="TotRow - Opmaakprofiel4 2 14 3 4 4" xfId="30158"/>
    <cellStyle name="TotRow - Opmaakprofiel4 2 14 3 4 5" xfId="37792"/>
    <cellStyle name="TotRow - Opmaakprofiel4 2 14 3 4 6" xfId="50961"/>
    <cellStyle name="TotRow - Opmaakprofiel4 2 14 3 5" xfId="6488"/>
    <cellStyle name="TotRow - Opmaakprofiel4 2 14 3 5 2" xfId="11644"/>
    <cellStyle name="TotRow - Opmaakprofiel4 2 14 3 5 2 2" xfId="23943"/>
    <cellStyle name="TotRow - Opmaakprofiel4 2 14 3 5 2 3" xfId="35995"/>
    <cellStyle name="TotRow - Opmaakprofiel4 2 14 3 5 2 4" xfId="46718"/>
    <cellStyle name="TotRow - Opmaakprofiel4 2 14 3 5 2 5" xfId="56609"/>
    <cellStyle name="TotRow - Opmaakprofiel4 2 14 3 5 3" xfId="18107"/>
    <cellStyle name="TotRow - Opmaakprofiel4 2 14 3 5 4" xfId="30159"/>
    <cellStyle name="TotRow - Opmaakprofiel4 2 14 3 5 5" xfId="37791"/>
    <cellStyle name="TotRow - Opmaakprofiel4 2 14 3 5 6" xfId="50962"/>
    <cellStyle name="TotRow - Opmaakprofiel4 2 14 3 6" xfId="6489"/>
    <cellStyle name="TotRow - Opmaakprofiel4 2 14 3 6 2" xfId="11645"/>
    <cellStyle name="TotRow - Opmaakprofiel4 2 14 3 6 2 2" xfId="23944"/>
    <cellStyle name="TotRow - Opmaakprofiel4 2 14 3 6 2 3" xfId="35996"/>
    <cellStyle name="TotRow - Opmaakprofiel4 2 14 3 6 2 4" xfId="46719"/>
    <cellStyle name="TotRow - Opmaakprofiel4 2 14 3 6 2 5" xfId="56610"/>
    <cellStyle name="TotRow - Opmaakprofiel4 2 14 3 6 3" xfId="18108"/>
    <cellStyle name="TotRow - Opmaakprofiel4 2 14 3 6 4" xfId="30160"/>
    <cellStyle name="TotRow - Opmaakprofiel4 2 14 3 6 5" xfId="37790"/>
    <cellStyle name="TotRow - Opmaakprofiel4 2 14 3 6 6" xfId="50963"/>
    <cellStyle name="TotRow - Opmaakprofiel4 2 14 3 7" xfId="6490"/>
    <cellStyle name="TotRow - Opmaakprofiel4 2 14 3 7 2" xfId="18109"/>
    <cellStyle name="TotRow - Opmaakprofiel4 2 14 3 7 3" xfId="30161"/>
    <cellStyle name="TotRow - Opmaakprofiel4 2 14 3 7 4" xfId="37789"/>
    <cellStyle name="TotRow - Opmaakprofiel4 2 14 3 7 5" xfId="50964"/>
    <cellStyle name="TotRow - Opmaakprofiel4 2 14 3 8" xfId="7309"/>
    <cellStyle name="TotRow - Opmaakprofiel4 2 14 3 8 2" xfId="19607"/>
    <cellStyle name="TotRow - Opmaakprofiel4 2 14 3 8 3" xfId="41410"/>
    <cellStyle name="TotRow - Opmaakprofiel4 2 14 3 8 4" xfId="36854"/>
    <cellStyle name="TotRow - Opmaakprofiel4 2 14 3 8 5" xfId="52279"/>
    <cellStyle name="TotRow - Opmaakprofiel4 2 14 3 9" xfId="18103"/>
    <cellStyle name="TotRow - Opmaakprofiel4 2 14 4" xfId="827"/>
    <cellStyle name="TotRow - Opmaakprofiel4 2 14 4 2" xfId="203"/>
    <cellStyle name="TotRow - Opmaakprofiel4 2 14 4 2 2" xfId="11646"/>
    <cellStyle name="TotRow - Opmaakprofiel4 2 14 4 2 2 2" xfId="23945"/>
    <cellStyle name="TotRow - Opmaakprofiel4 2 14 4 2 2 3" xfId="35997"/>
    <cellStyle name="TotRow - Opmaakprofiel4 2 14 4 2 2 4" xfId="46720"/>
    <cellStyle name="TotRow - Opmaakprofiel4 2 14 4 2 2 5" xfId="56611"/>
    <cellStyle name="TotRow - Opmaakprofiel4 2 14 4 2 3" xfId="18111"/>
    <cellStyle name="TotRow - Opmaakprofiel4 2 14 4 2 4" xfId="30163"/>
    <cellStyle name="TotRow - Opmaakprofiel4 2 14 4 2 5" xfId="37788"/>
    <cellStyle name="TotRow - Opmaakprofiel4 2 14 4 2 6" xfId="50965"/>
    <cellStyle name="TotRow - Opmaakprofiel4 2 14 4 3" xfId="2838"/>
    <cellStyle name="TotRow - Opmaakprofiel4 2 14 4 3 2" xfId="11647"/>
    <cellStyle name="TotRow - Opmaakprofiel4 2 14 4 3 2 2" xfId="23946"/>
    <cellStyle name="TotRow - Opmaakprofiel4 2 14 4 3 2 3" xfId="35998"/>
    <cellStyle name="TotRow - Opmaakprofiel4 2 14 4 3 2 4" xfId="46721"/>
    <cellStyle name="TotRow - Opmaakprofiel4 2 14 4 3 2 5" xfId="56612"/>
    <cellStyle name="TotRow - Opmaakprofiel4 2 14 4 3 3" xfId="18112"/>
    <cellStyle name="TotRow - Opmaakprofiel4 2 14 4 3 4" xfId="30164"/>
    <cellStyle name="TotRow - Opmaakprofiel4 2 14 4 3 5" xfId="37787"/>
    <cellStyle name="TotRow - Opmaakprofiel4 2 14 4 3 6" xfId="50966"/>
    <cellStyle name="TotRow - Opmaakprofiel4 2 14 4 4" xfId="3695"/>
    <cellStyle name="TotRow - Opmaakprofiel4 2 14 4 4 2" xfId="11648"/>
    <cellStyle name="TotRow - Opmaakprofiel4 2 14 4 4 2 2" xfId="23947"/>
    <cellStyle name="TotRow - Opmaakprofiel4 2 14 4 4 2 3" xfId="35999"/>
    <cellStyle name="TotRow - Opmaakprofiel4 2 14 4 4 2 4" xfId="46722"/>
    <cellStyle name="TotRow - Opmaakprofiel4 2 14 4 4 2 5" xfId="56613"/>
    <cellStyle name="TotRow - Opmaakprofiel4 2 14 4 4 3" xfId="18113"/>
    <cellStyle name="TotRow - Opmaakprofiel4 2 14 4 4 4" xfId="30165"/>
    <cellStyle name="TotRow - Opmaakprofiel4 2 14 4 4 5" xfId="44136"/>
    <cellStyle name="TotRow - Opmaakprofiel4 2 14 4 4 6" xfId="50967"/>
    <cellStyle name="TotRow - Opmaakprofiel4 2 14 4 5" xfId="6491"/>
    <cellStyle name="TotRow - Opmaakprofiel4 2 14 4 5 2" xfId="11649"/>
    <cellStyle name="TotRow - Opmaakprofiel4 2 14 4 5 2 2" xfId="23948"/>
    <cellStyle name="TotRow - Opmaakprofiel4 2 14 4 5 2 3" xfId="36000"/>
    <cellStyle name="TotRow - Opmaakprofiel4 2 14 4 5 2 4" xfId="46723"/>
    <cellStyle name="TotRow - Opmaakprofiel4 2 14 4 5 2 5" xfId="56614"/>
    <cellStyle name="TotRow - Opmaakprofiel4 2 14 4 5 3" xfId="18114"/>
    <cellStyle name="TotRow - Opmaakprofiel4 2 14 4 5 4" xfId="30166"/>
    <cellStyle name="TotRow - Opmaakprofiel4 2 14 4 5 5" xfId="37786"/>
    <cellStyle name="TotRow - Opmaakprofiel4 2 14 4 5 6" xfId="50968"/>
    <cellStyle name="TotRow - Opmaakprofiel4 2 14 4 6" xfId="6492"/>
    <cellStyle name="TotRow - Opmaakprofiel4 2 14 4 6 2" xfId="11650"/>
    <cellStyle name="TotRow - Opmaakprofiel4 2 14 4 6 2 2" xfId="23949"/>
    <cellStyle name="TotRow - Opmaakprofiel4 2 14 4 6 2 3" xfId="36001"/>
    <cellStyle name="TotRow - Opmaakprofiel4 2 14 4 6 2 4" xfId="46724"/>
    <cellStyle name="TotRow - Opmaakprofiel4 2 14 4 6 2 5" xfId="56615"/>
    <cellStyle name="TotRow - Opmaakprofiel4 2 14 4 6 3" xfId="18115"/>
    <cellStyle name="TotRow - Opmaakprofiel4 2 14 4 6 4" xfId="30167"/>
    <cellStyle name="TotRow - Opmaakprofiel4 2 14 4 6 5" xfId="37785"/>
    <cellStyle name="TotRow - Opmaakprofiel4 2 14 4 6 6" xfId="50969"/>
    <cellStyle name="TotRow - Opmaakprofiel4 2 14 4 7" xfId="6493"/>
    <cellStyle name="TotRow - Opmaakprofiel4 2 14 4 7 2" xfId="18116"/>
    <cellStyle name="TotRow - Opmaakprofiel4 2 14 4 7 3" xfId="30168"/>
    <cellStyle name="TotRow - Opmaakprofiel4 2 14 4 7 4" xfId="37784"/>
    <cellStyle name="TotRow - Opmaakprofiel4 2 14 4 7 5" xfId="50970"/>
    <cellStyle name="TotRow - Opmaakprofiel4 2 14 4 8" xfId="7429"/>
    <cellStyle name="TotRow - Opmaakprofiel4 2 14 4 8 2" xfId="19727"/>
    <cellStyle name="TotRow - Opmaakprofiel4 2 14 4 8 3" xfId="41530"/>
    <cellStyle name="TotRow - Opmaakprofiel4 2 14 4 8 4" xfId="15561"/>
    <cellStyle name="TotRow - Opmaakprofiel4 2 14 4 8 5" xfId="52399"/>
    <cellStyle name="TotRow - Opmaakprofiel4 2 14 4 9" xfId="18110"/>
    <cellStyle name="TotRow - Opmaakprofiel4 2 14 5" xfId="1177"/>
    <cellStyle name="TotRow - Opmaakprofiel4 2 14 5 2" xfId="1762"/>
    <cellStyle name="TotRow - Opmaakprofiel4 2 14 5 2 2" xfId="11651"/>
    <cellStyle name="TotRow - Opmaakprofiel4 2 14 5 2 2 2" xfId="23950"/>
    <cellStyle name="TotRow - Opmaakprofiel4 2 14 5 2 2 3" xfId="36002"/>
    <cellStyle name="TotRow - Opmaakprofiel4 2 14 5 2 2 4" xfId="46725"/>
    <cellStyle name="TotRow - Opmaakprofiel4 2 14 5 2 2 5" xfId="56616"/>
    <cellStyle name="TotRow - Opmaakprofiel4 2 14 5 2 3" xfId="18118"/>
    <cellStyle name="TotRow - Opmaakprofiel4 2 14 5 2 4" xfId="30170"/>
    <cellStyle name="TotRow - Opmaakprofiel4 2 14 5 2 5" xfId="37783"/>
    <cellStyle name="TotRow - Opmaakprofiel4 2 14 5 2 6" xfId="50971"/>
    <cellStyle name="TotRow - Opmaakprofiel4 2 14 5 3" xfId="3188"/>
    <cellStyle name="TotRow - Opmaakprofiel4 2 14 5 3 2" xfId="11652"/>
    <cellStyle name="TotRow - Opmaakprofiel4 2 14 5 3 2 2" xfId="23951"/>
    <cellStyle name="TotRow - Opmaakprofiel4 2 14 5 3 2 3" xfId="36003"/>
    <cellStyle name="TotRow - Opmaakprofiel4 2 14 5 3 2 4" xfId="46726"/>
    <cellStyle name="TotRow - Opmaakprofiel4 2 14 5 3 2 5" xfId="56617"/>
    <cellStyle name="TotRow - Opmaakprofiel4 2 14 5 3 3" xfId="18119"/>
    <cellStyle name="TotRow - Opmaakprofiel4 2 14 5 3 4" xfId="30171"/>
    <cellStyle name="TotRow - Opmaakprofiel4 2 14 5 3 5" xfId="37782"/>
    <cellStyle name="TotRow - Opmaakprofiel4 2 14 5 3 6" xfId="50972"/>
    <cellStyle name="TotRow - Opmaakprofiel4 2 14 5 4" xfId="4007"/>
    <cellStyle name="TotRow - Opmaakprofiel4 2 14 5 4 2" xfId="11653"/>
    <cellStyle name="TotRow - Opmaakprofiel4 2 14 5 4 2 2" xfId="23952"/>
    <cellStyle name="TotRow - Opmaakprofiel4 2 14 5 4 2 3" xfId="36004"/>
    <cellStyle name="TotRow - Opmaakprofiel4 2 14 5 4 2 4" xfId="46727"/>
    <cellStyle name="TotRow - Opmaakprofiel4 2 14 5 4 2 5" xfId="56618"/>
    <cellStyle name="TotRow - Opmaakprofiel4 2 14 5 4 3" xfId="18120"/>
    <cellStyle name="TotRow - Opmaakprofiel4 2 14 5 4 4" xfId="30172"/>
    <cellStyle name="TotRow - Opmaakprofiel4 2 14 5 4 5" xfId="44133"/>
    <cellStyle name="TotRow - Opmaakprofiel4 2 14 5 4 6" xfId="50973"/>
    <cellStyle name="TotRow - Opmaakprofiel4 2 14 5 5" xfId="6494"/>
    <cellStyle name="TotRow - Opmaakprofiel4 2 14 5 5 2" xfId="11654"/>
    <cellStyle name="TotRow - Opmaakprofiel4 2 14 5 5 2 2" xfId="23953"/>
    <cellStyle name="TotRow - Opmaakprofiel4 2 14 5 5 2 3" xfId="36005"/>
    <cellStyle name="TotRow - Opmaakprofiel4 2 14 5 5 2 4" xfId="46728"/>
    <cellStyle name="TotRow - Opmaakprofiel4 2 14 5 5 2 5" xfId="56619"/>
    <cellStyle name="TotRow - Opmaakprofiel4 2 14 5 5 3" xfId="18121"/>
    <cellStyle name="TotRow - Opmaakprofiel4 2 14 5 5 4" xfId="30173"/>
    <cellStyle name="TotRow - Opmaakprofiel4 2 14 5 5 5" xfId="37781"/>
    <cellStyle name="TotRow - Opmaakprofiel4 2 14 5 5 6" xfId="50974"/>
    <cellStyle name="TotRow - Opmaakprofiel4 2 14 5 6" xfId="6495"/>
    <cellStyle name="TotRow - Opmaakprofiel4 2 14 5 6 2" xfId="11655"/>
    <cellStyle name="TotRow - Opmaakprofiel4 2 14 5 6 2 2" xfId="23954"/>
    <cellStyle name="TotRow - Opmaakprofiel4 2 14 5 6 2 3" xfId="36006"/>
    <cellStyle name="TotRow - Opmaakprofiel4 2 14 5 6 2 4" xfId="46729"/>
    <cellStyle name="TotRow - Opmaakprofiel4 2 14 5 6 2 5" xfId="56620"/>
    <cellStyle name="TotRow - Opmaakprofiel4 2 14 5 6 3" xfId="18122"/>
    <cellStyle name="TotRow - Opmaakprofiel4 2 14 5 6 4" xfId="30174"/>
    <cellStyle name="TotRow - Opmaakprofiel4 2 14 5 6 5" xfId="37780"/>
    <cellStyle name="TotRow - Opmaakprofiel4 2 14 5 6 6" xfId="50975"/>
    <cellStyle name="TotRow - Opmaakprofiel4 2 14 5 7" xfId="6496"/>
    <cellStyle name="TotRow - Opmaakprofiel4 2 14 5 7 2" xfId="18123"/>
    <cellStyle name="TotRow - Opmaakprofiel4 2 14 5 7 3" xfId="30175"/>
    <cellStyle name="TotRow - Opmaakprofiel4 2 14 5 7 4" xfId="44132"/>
    <cellStyle name="TotRow - Opmaakprofiel4 2 14 5 7 5" xfId="50976"/>
    <cellStyle name="TotRow - Opmaakprofiel4 2 14 5 8" xfId="9882"/>
    <cellStyle name="TotRow - Opmaakprofiel4 2 14 5 8 2" xfId="22180"/>
    <cellStyle name="TotRow - Opmaakprofiel4 2 14 5 8 3" xfId="43947"/>
    <cellStyle name="TotRow - Opmaakprofiel4 2 14 5 8 4" xfId="42507"/>
    <cellStyle name="TotRow - Opmaakprofiel4 2 14 5 8 5" xfId="54847"/>
    <cellStyle name="TotRow - Opmaakprofiel4 2 14 5 9" xfId="18117"/>
    <cellStyle name="TotRow - Opmaakprofiel4 2 14 6" xfId="1139"/>
    <cellStyle name="TotRow - Opmaakprofiel4 2 14 6 2" xfId="1866"/>
    <cellStyle name="TotRow - Opmaakprofiel4 2 14 6 2 2" xfId="11656"/>
    <cellStyle name="TotRow - Opmaakprofiel4 2 14 6 2 2 2" xfId="23955"/>
    <cellStyle name="TotRow - Opmaakprofiel4 2 14 6 2 2 3" xfId="36007"/>
    <cellStyle name="TotRow - Opmaakprofiel4 2 14 6 2 2 4" xfId="46730"/>
    <cellStyle name="TotRow - Opmaakprofiel4 2 14 6 2 2 5" xfId="56621"/>
    <cellStyle name="TotRow - Opmaakprofiel4 2 14 6 2 3" xfId="18125"/>
    <cellStyle name="TotRow - Opmaakprofiel4 2 14 6 2 4" xfId="30177"/>
    <cellStyle name="TotRow - Opmaakprofiel4 2 14 6 2 5" xfId="37778"/>
    <cellStyle name="TotRow - Opmaakprofiel4 2 14 6 2 6" xfId="50977"/>
    <cellStyle name="TotRow - Opmaakprofiel4 2 14 6 3" xfId="3150"/>
    <cellStyle name="TotRow - Opmaakprofiel4 2 14 6 3 2" xfId="11657"/>
    <cellStyle name="TotRow - Opmaakprofiel4 2 14 6 3 2 2" xfId="23956"/>
    <cellStyle name="TotRow - Opmaakprofiel4 2 14 6 3 2 3" xfId="36008"/>
    <cellStyle name="TotRow - Opmaakprofiel4 2 14 6 3 2 4" xfId="46731"/>
    <cellStyle name="TotRow - Opmaakprofiel4 2 14 6 3 2 5" xfId="56622"/>
    <cellStyle name="TotRow - Opmaakprofiel4 2 14 6 3 3" xfId="18126"/>
    <cellStyle name="TotRow - Opmaakprofiel4 2 14 6 3 4" xfId="30178"/>
    <cellStyle name="TotRow - Opmaakprofiel4 2 14 6 3 5" xfId="37777"/>
    <cellStyle name="TotRow - Opmaakprofiel4 2 14 6 3 6" xfId="50978"/>
    <cellStyle name="TotRow - Opmaakprofiel4 2 14 6 4" xfId="3978"/>
    <cellStyle name="TotRow - Opmaakprofiel4 2 14 6 4 2" xfId="11658"/>
    <cellStyle name="TotRow - Opmaakprofiel4 2 14 6 4 2 2" xfId="23957"/>
    <cellStyle name="TotRow - Opmaakprofiel4 2 14 6 4 2 3" xfId="36009"/>
    <cellStyle name="TotRow - Opmaakprofiel4 2 14 6 4 2 4" xfId="46732"/>
    <cellStyle name="TotRow - Opmaakprofiel4 2 14 6 4 2 5" xfId="56623"/>
    <cellStyle name="TotRow - Opmaakprofiel4 2 14 6 4 3" xfId="18127"/>
    <cellStyle name="TotRow - Opmaakprofiel4 2 14 6 4 4" xfId="30179"/>
    <cellStyle name="TotRow - Opmaakprofiel4 2 14 6 4 5" xfId="44130"/>
    <cellStyle name="TotRow - Opmaakprofiel4 2 14 6 4 6" xfId="50979"/>
    <cellStyle name="TotRow - Opmaakprofiel4 2 14 6 5" xfId="6497"/>
    <cellStyle name="TotRow - Opmaakprofiel4 2 14 6 5 2" xfId="11659"/>
    <cellStyle name="TotRow - Opmaakprofiel4 2 14 6 5 2 2" xfId="23958"/>
    <cellStyle name="TotRow - Opmaakprofiel4 2 14 6 5 2 3" xfId="36010"/>
    <cellStyle name="TotRow - Opmaakprofiel4 2 14 6 5 2 4" xfId="46733"/>
    <cellStyle name="TotRow - Opmaakprofiel4 2 14 6 5 2 5" xfId="56624"/>
    <cellStyle name="TotRow - Opmaakprofiel4 2 14 6 5 3" xfId="18128"/>
    <cellStyle name="TotRow - Opmaakprofiel4 2 14 6 5 4" xfId="30180"/>
    <cellStyle name="TotRow - Opmaakprofiel4 2 14 6 5 5" xfId="37776"/>
    <cellStyle name="TotRow - Opmaakprofiel4 2 14 6 5 6" xfId="50980"/>
    <cellStyle name="TotRow - Opmaakprofiel4 2 14 6 6" xfId="6498"/>
    <cellStyle name="TotRow - Opmaakprofiel4 2 14 6 6 2" xfId="11660"/>
    <cellStyle name="TotRow - Opmaakprofiel4 2 14 6 6 2 2" xfId="23959"/>
    <cellStyle name="TotRow - Opmaakprofiel4 2 14 6 6 2 3" xfId="36011"/>
    <cellStyle name="TotRow - Opmaakprofiel4 2 14 6 6 2 4" xfId="46734"/>
    <cellStyle name="TotRow - Opmaakprofiel4 2 14 6 6 2 5" xfId="56625"/>
    <cellStyle name="TotRow - Opmaakprofiel4 2 14 6 6 3" xfId="18129"/>
    <cellStyle name="TotRow - Opmaakprofiel4 2 14 6 6 4" xfId="30181"/>
    <cellStyle name="TotRow - Opmaakprofiel4 2 14 6 6 5" xfId="37775"/>
    <cellStyle name="TotRow - Opmaakprofiel4 2 14 6 6 6" xfId="50981"/>
    <cellStyle name="TotRow - Opmaakprofiel4 2 14 6 7" xfId="6499"/>
    <cellStyle name="TotRow - Opmaakprofiel4 2 14 6 7 2" xfId="18130"/>
    <cellStyle name="TotRow - Opmaakprofiel4 2 14 6 7 3" xfId="30182"/>
    <cellStyle name="TotRow - Opmaakprofiel4 2 14 6 7 4" xfId="37774"/>
    <cellStyle name="TotRow - Opmaakprofiel4 2 14 6 7 5" xfId="50982"/>
    <cellStyle name="TotRow - Opmaakprofiel4 2 14 6 8" xfId="7216"/>
    <cellStyle name="TotRow - Opmaakprofiel4 2 14 6 8 2" xfId="19514"/>
    <cellStyle name="TotRow - Opmaakprofiel4 2 14 6 8 3" xfId="41317"/>
    <cellStyle name="TotRow - Opmaakprofiel4 2 14 6 8 4" xfId="36908"/>
    <cellStyle name="TotRow - Opmaakprofiel4 2 14 6 8 5" xfId="52186"/>
    <cellStyle name="TotRow - Opmaakprofiel4 2 14 6 9" xfId="18124"/>
    <cellStyle name="TotRow - Opmaakprofiel4 2 14 7" xfId="1661"/>
    <cellStyle name="TotRow - Opmaakprofiel4 2 14 7 2" xfId="11661"/>
    <cellStyle name="TotRow - Opmaakprofiel4 2 14 7 2 2" xfId="23960"/>
    <cellStyle name="TotRow - Opmaakprofiel4 2 14 7 2 3" xfId="36012"/>
    <cellStyle name="TotRow - Opmaakprofiel4 2 14 7 2 4" xfId="46735"/>
    <cellStyle name="TotRow - Opmaakprofiel4 2 14 7 2 5" xfId="56626"/>
    <cellStyle name="TotRow - Opmaakprofiel4 2 14 7 3" xfId="18131"/>
    <cellStyle name="TotRow - Opmaakprofiel4 2 14 7 4" xfId="30183"/>
    <cellStyle name="TotRow - Opmaakprofiel4 2 14 7 5" xfId="37773"/>
    <cellStyle name="TotRow - Opmaakprofiel4 2 14 7 6" xfId="50983"/>
    <cellStyle name="TotRow - Opmaakprofiel4 2 14 8" xfId="2785"/>
    <cellStyle name="TotRow - Opmaakprofiel4 2 14 8 2" xfId="11662"/>
    <cellStyle name="TotRow - Opmaakprofiel4 2 14 8 2 2" xfId="23961"/>
    <cellStyle name="TotRow - Opmaakprofiel4 2 14 8 2 3" xfId="36013"/>
    <cellStyle name="TotRow - Opmaakprofiel4 2 14 8 2 4" xfId="46736"/>
    <cellStyle name="TotRow - Opmaakprofiel4 2 14 8 2 5" xfId="56627"/>
    <cellStyle name="TotRow - Opmaakprofiel4 2 14 8 3" xfId="18132"/>
    <cellStyle name="TotRow - Opmaakprofiel4 2 14 8 4" xfId="30184"/>
    <cellStyle name="TotRow - Opmaakprofiel4 2 14 8 5" xfId="37772"/>
    <cellStyle name="TotRow - Opmaakprofiel4 2 14 8 6" xfId="50984"/>
    <cellStyle name="TotRow - Opmaakprofiel4 2 14 9" xfId="3647"/>
    <cellStyle name="TotRow - Opmaakprofiel4 2 14 9 2" xfId="11663"/>
    <cellStyle name="TotRow - Opmaakprofiel4 2 14 9 2 2" xfId="23962"/>
    <cellStyle name="TotRow - Opmaakprofiel4 2 14 9 2 3" xfId="36014"/>
    <cellStyle name="TotRow - Opmaakprofiel4 2 14 9 2 4" xfId="46737"/>
    <cellStyle name="TotRow - Opmaakprofiel4 2 14 9 2 5" xfId="56628"/>
    <cellStyle name="TotRow - Opmaakprofiel4 2 14 9 3" xfId="18133"/>
    <cellStyle name="TotRow - Opmaakprofiel4 2 14 9 4" xfId="30185"/>
    <cellStyle name="TotRow - Opmaakprofiel4 2 14 9 5" xfId="44126"/>
    <cellStyle name="TotRow - Opmaakprofiel4 2 14 9 6" xfId="50985"/>
    <cellStyle name="TotRow - Opmaakprofiel4 2 15" xfId="703"/>
    <cellStyle name="TotRow - Opmaakprofiel4 2 15 10" xfId="6500"/>
    <cellStyle name="TotRow - Opmaakprofiel4 2 15 10 2" xfId="11664"/>
    <cellStyle name="TotRow - Opmaakprofiel4 2 15 10 2 2" xfId="23963"/>
    <cellStyle name="TotRow - Opmaakprofiel4 2 15 10 2 3" xfId="36015"/>
    <cellStyle name="TotRow - Opmaakprofiel4 2 15 10 2 4" xfId="46738"/>
    <cellStyle name="TotRow - Opmaakprofiel4 2 15 10 2 5" xfId="56629"/>
    <cellStyle name="TotRow - Opmaakprofiel4 2 15 10 3" xfId="18135"/>
    <cellStyle name="TotRow - Opmaakprofiel4 2 15 10 4" xfId="30187"/>
    <cellStyle name="TotRow - Opmaakprofiel4 2 15 10 5" xfId="37770"/>
    <cellStyle name="TotRow - Opmaakprofiel4 2 15 10 6" xfId="50986"/>
    <cellStyle name="TotRow - Opmaakprofiel4 2 15 11" xfId="6501"/>
    <cellStyle name="TotRow - Opmaakprofiel4 2 15 11 2" xfId="11665"/>
    <cellStyle name="TotRow - Opmaakprofiel4 2 15 11 2 2" xfId="23964"/>
    <cellStyle name="TotRow - Opmaakprofiel4 2 15 11 2 3" xfId="36016"/>
    <cellStyle name="TotRow - Opmaakprofiel4 2 15 11 2 4" xfId="46739"/>
    <cellStyle name="TotRow - Opmaakprofiel4 2 15 11 2 5" xfId="56630"/>
    <cellStyle name="TotRow - Opmaakprofiel4 2 15 11 3" xfId="18136"/>
    <cellStyle name="TotRow - Opmaakprofiel4 2 15 11 4" xfId="30188"/>
    <cellStyle name="TotRow - Opmaakprofiel4 2 15 11 5" xfId="44125"/>
    <cellStyle name="TotRow - Opmaakprofiel4 2 15 11 6" xfId="50987"/>
    <cellStyle name="TotRow - Opmaakprofiel4 2 15 12" xfId="6502"/>
    <cellStyle name="TotRow - Opmaakprofiel4 2 15 12 2" xfId="18137"/>
    <cellStyle name="TotRow - Opmaakprofiel4 2 15 12 3" xfId="30189"/>
    <cellStyle name="TotRow - Opmaakprofiel4 2 15 12 4" xfId="37769"/>
    <cellStyle name="TotRow - Opmaakprofiel4 2 15 12 5" xfId="50988"/>
    <cellStyle name="TotRow - Opmaakprofiel4 2 15 13" xfId="7511"/>
    <cellStyle name="TotRow - Opmaakprofiel4 2 15 13 2" xfId="19809"/>
    <cellStyle name="TotRow - Opmaakprofiel4 2 15 13 3" xfId="41612"/>
    <cellStyle name="TotRow - Opmaakprofiel4 2 15 13 4" xfId="14089"/>
    <cellStyle name="TotRow - Opmaakprofiel4 2 15 13 5" xfId="52481"/>
    <cellStyle name="TotRow - Opmaakprofiel4 2 15 14" xfId="18134"/>
    <cellStyle name="TotRow - Opmaakprofiel4 2 15 2" xfId="876"/>
    <cellStyle name="TotRow - Opmaakprofiel4 2 15 2 2" xfId="1511"/>
    <cellStyle name="TotRow - Opmaakprofiel4 2 15 2 2 2" xfId="11666"/>
    <cellStyle name="TotRow - Opmaakprofiel4 2 15 2 2 2 2" xfId="23965"/>
    <cellStyle name="TotRow - Opmaakprofiel4 2 15 2 2 2 3" xfId="36017"/>
    <cellStyle name="TotRow - Opmaakprofiel4 2 15 2 2 2 4" xfId="46740"/>
    <cellStyle name="TotRow - Opmaakprofiel4 2 15 2 2 2 5" xfId="56631"/>
    <cellStyle name="TotRow - Opmaakprofiel4 2 15 2 2 3" xfId="18139"/>
    <cellStyle name="TotRow - Opmaakprofiel4 2 15 2 2 4" xfId="30191"/>
    <cellStyle name="TotRow - Opmaakprofiel4 2 15 2 2 5" xfId="44124"/>
    <cellStyle name="TotRow - Opmaakprofiel4 2 15 2 2 6" xfId="50989"/>
    <cellStyle name="TotRow - Opmaakprofiel4 2 15 2 3" xfId="2887"/>
    <cellStyle name="TotRow - Opmaakprofiel4 2 15 2 3 2" xfId="11667"/>
    <cellStyle name="TotRow - Opmaakprofiel4 2 15 2 3 2 2" xfId="23966"/>
    <cellStyle name="TotRow - Opmaakprofiel4 2 15 2 3 2 3" xfId="36018"/>
    <cellStyle name="TotRow - Opmaakprofiel4 2 15 2 3 2 4" xfId="46741"/>
    <cellStyle name="TotRow - Opmaakprofiel4 2 15 2 3 2 5" xfId="56632"/>
    <cellStyle name="TotRow - Opmaakprofiel4 2 15 2 3 3" xfId="18140"/>
    <cellStyle name="TotRow - Opmaakprofiel4 2 15 2 3 4" xfId="30192"/>
    <cellStyle name="TotRow - Opmaakprofiel4 2 15 2 3 5" xfId="37768"/>
    <cellStyle name="TotRow - Opmaakprofiel4 2 15 2 3 6" xfId="50990"/>
    <cellStyle name="TotRow - Opmaakprofiel4 2 15 2 4" xfId="3740"/>
    <cellStyle name="TotRow - Opmaakprofiel4 2 15 2 4 2" xfId="11668"/>
    <cellStyle name="TotRow - Opmaakprofiel4 2 15 2 4 2 2" xfId="23967"/>
    <cellStyle name="TotRow - Opmaakprofiel4 2 15 2 4 2 3" xfId="36019"/>
    <cellStyle name="TotRow - Opmaakprofiel4 2 15 2 4 2 4" xfId="46742"/>
    <cellStyle name="TotRow - Opmaakprofiel4 2 15 2 4 2 5" xfId="56633"/>
    <cellStyle name="TotRow - Opmaakprofiel4 2 15 2 4 3" xfId="18141"/>
    <cellStyle name="TotRow - Opmaakprofiel4 2 15 2 4 4" xfId="30193"/>
    <cellStyle name="TotRow - Opmaakprofiel4 2 15 2 4 5" xfId="37767"/>
    <cellStyle name="TotRow - Opmaakprofiel4 2 15 2 4 6" xfId="50991"/>
    <cellStyle name="TotRow - Opmaakprofiel4 2 15 2 5" xfId="6503"/>
    <cellStyle name="TotRow - Opmaakprofiel4 2 15 2 5 2" xfId="11669"/>
    <cellStyle name="TotRow - Opmaakprofiel4 2 15 2 5 2 2" xfId="23968"/>
    <cellStyle name="TotRow - Opmaakprofiel4 2 15 2 5 2 3" xfId="36020"/>
    <cellStyle name="TotRow - Opmaakprofiel4 2 15 2 5 2 4" xfId="46743"/>
    <cellStyle name="TotRow - Opmaakprofiel4 2 15 2 5 2 5" xfId="56634"/>
    <cellStyle name="TotRow - Opmaakprofiel4 2 15 2 5 3" xfId="18142"/>
    <cellStyle name="TotRow - Opmaakprofiel4 2 15 2 5 4" xfId="30194"/>
    <cellStyle name="TotRow - Opmaakprofiel4 2 15 2 5 5" xfId="37766"/>
    <cellStyle name="TotRow - Opmaakprofiel4 2 15 2 5 6" xfId="50992"/>
    <cellStyle name="TotRow - Opmaakprofiel4 2 15 2 6" xfId="6504"/>
    <cellStyle name="TotRow - Opmaakprofiel4 2 15 2 6 2" xfId="11670"/>
    <cellStyle name="TotRow - Opmaakprofiel4 2 15 2 6 2 2" xfId="23969"/>
    <cellStyle name="TotRow - Opmaakprofiel4 2 15 2 6 2 3" xfId="36021"/>
    <cellStyle name="TotRow - Opmaakprofiel4 2 15 2 6 2 4" xfId="46744"/>
    <cellStyle name="TotRow - Opmaakprofiel4 2 15 2 6 2 5" xfId="56635"/>
    <cellStyle name="TotRow - Opmaakprofiel4 2 15 2 6 3" xfId="18143"/>
    <cellStyle name="TotRow - Opmaakprofiel4 2 15 2 6 4" xfId="30195"/>
    <cellStyle name="TotRow - Opmaakprofiel4 2 15 2 6 5" xfId="44122"/>
    <cellStyle name="TotRow - Opmaakprofiel4 2 15 2 6 6" xfId="50993"/>
    <cellStyle name="TotRow - Opmaakprofiel4 2 15 2 7" xfId="6505"/>
    <cellStyle name="TotRow - Opmaakprofiel4 2 15 2 7 2" xfId="18144"/>
    <cellStyle name="TotRow - Opmaakprofiel4 2 15 2 7 3" xfId="30196"/>
    <cellStyle name="TotRow - Opmaakprofiel4 2 15 2 7 4" xfId="37765"/>
    <cellStyle name="TotRow - Opmaakprofiel4 2 15 2 7 5" xfId="50994"/>
    <cellStyle name="TotRow - Opmaakprofiel4 2 15 2 8" xfId="10085"/>
    <cellStyle name="TotRow - Opmaakprofiel4 2 15 2 8 2" xfId="22383"/>
    <cellStyle name="TotRow - Opmaakprofiel4 2 15 2 8 3" xfId="44147"/>
    <cellStyle name="TotRow - Opmaakprofiel4 2 15 2 8 4" xfId="32040"/>
    <cellStyle name="TotRow - Opmaakprofiel4 2 15 2 8 5" xfId="55050"/>
    <cellStyle name="TotRow - Opmaakprofiel4 2 15 2 9" xfId="18138"/>
    <cellStyle name="TotRow - Opmaakprofiel4 2 15 3" xfId="665"/>
    <cellStyle name="TotRow - Opmaakprofiel4 2 15 3 2" xfId="2162"/>
    <cellStyle name="TotRow - Opmaakprofiel4 2 15 3 2 2" xfId="11671"/>
    <cellStyle name="TotRow - Opmaakprofiel4 2 15 3 2 2 2" xfId="23970"/>
    <cellStyle name="TotRow - Opmaakprofiel4 2 15 3 2 2 3" xfId="36022"/>
    <cellStyle name="TotRow - Opmaakprofiel4 2 15 3 2 2 4" xfId="46745"/>
    <cellStyle name="TotRow - Opmaakprofiel4 2 15 3 2 2 5" xfId="56636"/>
    <cellStyle name="TotRow - Opmaakprofiel4 2 15 3 2 3" xfId="18146"/>
    <cellStyle name="TotRow - Opmaakprofiel4 2 15 3 2 4" xfId="30198"/>
    <cellStyle name="TotRow - Opmaakprofiel4 2 15 3 2 5" xfId="37763"/>
    <cellStyle name="TotRow - Opmaakprofiel4 2 15 3 2 6" xfId="50995"/>
    <cellStyle name="TotRow - Opmaakprofiel4 2 15 3 3" xfId="2731"/>
    <cellStyle name="TotRow - Opmaakprofiel4 2 15 3 3 2" xfId="11672"/>
    <cellStyle name="TotRow - Opmaakprofiel4 2 15 3 3 2 2" xfId="23971"/>
    <cellStyle name="TotRow - Opmaakprofiel4 2 15 3 3 2 3" xfId="36023"/>
    <cellStyle name="TotRow - Opmaakprofiel4 2 15 3 3 2 4" xfId="46746"/>
    <cellStyle name="TotRow - Opmaakprofiel4 2 15 3 3 2 5" xfId="56637"/>
    <cellStyle name="TotRow - Opmaakprofiel4 2 15 3 3 3" xfId="18147"/>
    <cellStyle name="TotRow - Opmaakprofiel4 2 15 3 3 4" xfId="30199"/>
    <cellStyle name="TotRow - Opmaakprofiel4 2 15 3 3 5" xfId="37762"/>
    <cellStyle name="TotRow - Opmaakprofiel4 2 15 3 3 6" xfId="50996"/>
    <cellStyle name="TotRow - Opmaakprofiel4 2 15 3 4" xfId="3598"/>
    <cellStyle name="TotRow - Opmaakprofiel4 2 15 3 4 2" xfId="11673"/>
    <cellStyle name="TotRow - Opmaakprofiel4 2 15 3 4 2 2" xfId="23972"/>
    <cellStyle name="TotRow - Opmaakprofiel4 2 15 3 4 2 3" xfId="36024"/>
    <cellStyle name="TotRow - Opmaakprofiel4 2 15 3 4 2 4" xfId="46747"/>
    <cellStyle name="TotRow - Opmaakprofiel4 2 15 3 4 2 5" xfId="56638"/>
    <cellStyle name="TotRow - Opmaakprofiel4 2 15 3 4 3" xfId="18148"/>
    <cellStyle name="TotRow - Opmaakprofiel4 2 15 3 4 4" xfId="30200"/>
    <cellStyle name="TotRow - Opmaakprofiel4 2 15 3 4 5" xfId="37761"/>
    <cellStyle name="TotRow - Opmaakprofiel4 2 15 3 4 6" xfId="50997"/>
    <cellStyle name="TotRow - Opmaakprofiel4 2 15 3 5" xfId="6506"/>
    <cellStyle name="TotRow - Opmaakprofiel4 2 15 3 5 2" xfId="11674"/>
    <cellStyle name="TotRow - Opmaakprofiel4 2 15 3 5 2 2" xfId="23973"/>
    <cellStyle name="TotRow - Opmaakprofiel4 2 15 3 5 2 3" xfId="36025"/>
    <cellStyle name="TotRow - Opmaakprofiel4 2 15 3 5 2 4" xfId="46748"/>
    <cellStyle name="TotRow - Opmaakprofiel4 2 15 3 5 2 5" xfId="56639"/>
    <cellStyle name="TotRow - Opmaakprofiel4 2 15 3 5 3" xfId="18149"/>
    <cellStyle name="TotRow - Opmaakprofiel4 2 15 3 5 4" xfId="30201"/>
    <cellStyle name="TotRow - Opmaakprofiel4 2 15 3 5 5" xfId="37760"/>
    <cellStyle name="TotRow - Opmaakprofiel4 2 15 3 5 6" xfId="50998"/>
    <cellStyle name="TotRow - Opmaakprofiel4 2 15 3 6" xfId="6507"/>
    <cellStyle name="TotRow - Opmaakprofiel4 2 15 3 6 2" xfId="11675"/>
    <cellStyle name="TotRow - Opmaakprofiel4 2 15 3 6 2 2" xfId="23974"/>
    <cellStyle name="TotRow - Opmaakprofiel4 2 15 3 6 2 3" xfId="36026"/>
    <cellStyle name="TotRow - Opmaakprofiel4 2 15 3 6 2 4" xfId="46749"/>
    <cellStyle name="TotRow - Opmaakprofiel4 2 15 3 6 2 5" xfId="56640"/>
    <cellStyle name="TotRow - Opmaakprofiel4 2 15 3 6 3" xfId="18150"/>
    <cellStyle name="TotRow - Opmaakprofiel4 2 15 3 6 4" xfId="30202"/>
    <cellStyle name="TotRow - Opmaakprofiel4 2 15 3 6 5" xfId="44117"/>
    <cellStyle name="TotRow - Opmaakprofiel4 2 15 3 6 6" xfId="50999"/>
    <cellStyle name="TotRow - Opmaakprofiel4 2 15 3 7" xfId="6508"/>
    <cellStyle name="TotRow - Opmaakprofiel4 2 15 3 7 2" xfId="18151"/>
    <cellStyle name="TotRow - Opmaakprofiel4 2 15 3 7 3" xfId="30203"/>
    <cellStyle name="TotRow - Opmaakprofiel4 2 15 3 7 4" xfId="37759"/>
    <cellStyle name="TotRow - Opmaakprofiel4 2 15 3 7 5" xfId="51000"/>
    <cellStyle name="TotRow - Opmaakprofiel4 2 15 3 8" xfId="7539"/>
    <cellStyle name="TotRow - Opmaakprofiel4 2 15 3 8 2" xfId="19837"/>
    <cellStyle name="TotRow - Opmaakprofiel4 2 15 3 8 3" xfId="41640"/>
    <cellStyle name="TotRow - Opmaakprofiel4 2 15 3 8 4" xfId="12494"/>
    <cellStyle name="TotRow - Opmaakprofiel4 2 15 3 8 5" xfId="52509"/>
    <cellStyle name="TotRow - Opmaakprofiel4 2 15 3 9" xfId="18145"/>
    <cellStyle name="TotRow - Opmaakprofiel4 2 15 4" xfId="829"/>
    <cellStyle name="TotRow - Opmaakprofiel4 2 15 4 2" xfId="1570"/>
    <cellStyle name="TotRow - Opmaakprofiel4 2 15 4 2 2" xfId="11676"/>
    <cellStyle name="TotRow - Opmaakprofiel4 2 15 4 2 2 2" xfId="23975"/>
    <cellStyle name="TotRow - Opmaakprofiel4 2 15 4 2 2 3" xfId="36027"/>
    <cellStyle name="TotRow - Opmaakprofiel4 2 15 4 2 2 4" xfId="46750"/>
    <cellStyle name="TotRow - Opmaakprofiel4 2 15 4 2 2 5" xfId="56641"/>
    <cellStyle name="TotRow - Opmaakprofiel4 2 15 4 2 3" xfId="18153"/>
    <cellStyle name="TotRow - Opmaakprofiel4 2 15 4 2 4" xfId="30205"/>
    <cellStyle name="TotRow - Opmaakprofiel4 2 15 4 2 5" xfId="44116"/>
    <cellStyle name="TotRow - Opmaakprofiel4 2 15 4 2 6" xfId="51001"/>
    <cellStyle name="TotRow - Opmaakprofiel4 2 15 4 3" xfId="2840"/>
    <cellStyle name="TotRow - Opmaakprofiel4 2 15 4 3 2" xfId="11677"/>
    <cellStyle name="TotRow - Opmaakprofiel4 2 15 4 3 2 2" xfId="23976"/>
    <cellStyle name="TotRow - Opmaakprofiel4 2 15 4 3 2 3" xfId="36028"/>
    <cellStyle name="TotRow - Opmaakprofiel4 2 15 4 3 2 4" xfId="46751"/>
    <cellStyle name="TotRow - Opmaakprofiel4 2 15 4 3 2 5" xfId="56642"/>
    <cellStyle name="TotRow - Opmaakprofiel4 2 15 4 3 3" xfId="18154"/>
    <cellStyle name="TotRow - Opmaakprofiel4 2 15 4 3 4" xfId="30206"/>
    <cellStyle name="TotRow - Opmaakprofiel4 2 15 4 3 5" xfId="37757"/>
    <cellStyle name="TotRow - Opmaakprofiel4 2 15 4 3 6" xfId="51002"/>
    <cellStyle name="TotRow - Opmaakprofiel4 2 15 4 4" xfId="3697"/>
    <cellStyle name="TotRow - Opmaakprofiel4 2 15 4 4 2" xfId="11678"/>
    <cellStyle name="TotRow - Opmaakprofiel4 2 15 4 4 2 2" xfId="23977"/>
    <cellStyle name="TotRow - Opmaakprofiel4 2 15 4 4 2 3" xfId="36029"/>
    <cellStyle name="TotRow - Opmaakprofiel4 2 15 4 4 2 4" xfId="46752"/>
    <cellStyle name="TotRow - Opmaakprofiel4 2 15 4 4 2 5" xfId="56643"/>
    <cellStyle name="TotRow - Opmaakprofiel4 2 15 4 4 3" xfId="18155"/>
    <cellStyle name="TotRow - Opmaakprofiel4 2 15 4 4 4" xfId="30207"/>
    <cellStyle name="TotRow - Opmaakprofiel4 2 15 4 4 5" xfId="37756"/>
    <cellStyle name="TotRow - Opmaakprofiel4 2 15 4 4 6" xfId="51003"/>
    <cellStyle name="TotRow - Opmaakprofiel4 2 15 4 5" xfId="6509"/>
    <cellStyle name="TotRow - Opmaakprofiel4 2 15 4 5 2" xfId="11679"/>
    <cellStyle name="TotRow - Opmaakprofiel4 2 15 4 5 2 2" xfId="23978"/>
    <cellStyle name="TotRow - Opmaakprofiel4 2 15 4 5 2 3" xfId="36030"/>
    <cellStyle name="TotRow - Opmaakprofiel4 2 15 4 5 2 4" xfId="46753"/>
    <cellStyle name="TotRow - Opmaakprofiel4 2 15 4 5 2 5" xfId="56644"/>
    <cellStyle name="TotRow - Opmaakprofiel4 2 15 4 5 3" xfId="18156"/>
    <cellStyle name="TotRow - Opmaakprofiel4 2 15 4 5 4" xfId="30208"/>
    <cellStyle name="TotRow - Opmaakprofiel4 2 15 4 5 5" xfId="37755"/>
    <cellStyle name="TotRow - Opmaakprofiel4 2 15 4 5 6" xfId="51004"/>
    <cellStyle name="TotRow - Opmaakprofiel4 2 15 4 6" xfId="6510"/>
    <cellStyle name="TotRow - Opmaakprofiel4 2 15 4 6 2" xfId="11680"/>
    <cellStyle name="TotRow - Opmaakprofiel4 2 15 4 6 2 2" xfId="23979"/>
    <cellStyle name="TotRow - Opmaakprofiel4 2 15 4 6 2 3" xfId="36031"/>
    <cellStyle name="TotRow - Opmaakprofiel4 2 15 4 6 2 4" xfId="46754"/>
    <cellStyle name="TotRow - Opmaakprofiel4 2 15 4 6 2 5" xfId="56645"/>
    <cellStyle name="TotRow - Opmaakprofiel4 2 15 4 6 3" xfId="18157"/>
    <cellStyle name="TotRow - Opmaakprofiel4 2 15 4 6 4" xfId="30209"/>
    <cellStyle name="TotRow - Opmaakprofiel4 2 15 4 6 5" xfId="37754"/>
    <cellStyle name="TotRow - Opmaakprofiel4 2 15 4 6 6" xfId="51005"/>
    <cellStyle name="TotRow - Opmaakprofiel4 2 15 4 7" xfId="6511"/>
    <cellStyle name="TotRow - Opmaakprofiel4 2 15 4 7 2" xfId="18158"/>
    <cellStyle name="TotRow - Opmaakprofiel4 2 15 4 7 3" xfId="30210"/>
    <cellStyle name="TotRow - Opmaakprofiel4 2 15 4 7 4" xfId="44113"/>
    <cellStyle name="TotRow - Opmaakprofiel4 2 15 4 7 5" xfId="51006"/>
    <cellStyle name="TotRow - Opmaakprofiel4 2 15 4 8" xfId="7428"/>
    <cellStyle name="TotRow - Opmaakprofiel4 2 15 4 8 2" xfId="19726"/>
    <cellStyle name="TotRow - Opmaakprofiel4 2 15 4 8 3" xfId="41529"/>
    <cellStyle name="TotRow - Opmaakprofiel4 2 15 4 8 4" xfId="43513"/>
    <cellStyle name="TotRow - Opmaakprofiel4 2 15 4 8 5" xfId="52398"/>
    <cellStyle name="TotRow - Opmaakprofiel4 2 15 4 9" xfId="18152"/>
    <cellStyle name="TotRow - Opmaakprofiel4 2 15 5" xfId="450"/>
    <cellStyle name="TotRow - Opmaakprofiel4 2 15 5 2" xfId="2344"/>
    <cellStyle name="TotRow - Opmaakprofiel4 2 15 5 2 2" xfId="11681"/>
    <cellStyle name="TotRow - Opmaakprofiel4 2 15 5 2 2 2" xfId="23980"/>
    <cellStyle name="TotRow - Opmaakprofiel4 2 15 5 2 2 3" xfId="36032"/>
    <cellStyle name="TotRow - Opmaakprofiel4 2 15 5 2 2 4" xfId="46755"/>
    <cellStyle name="TotRow - Opmaakprofiel4 2 15 5 2 2 5" xfId="56646"/>
    <cellStyle name="TotRow - Opmaakprofiel4 2 15 5 2 3" xfId="18160"/>
    <cellStyle name="TotRow - Opmaakprofiel4 2 15 5 2 4" xfId="30212"/>
    <cellStyle name="TotRow - Opmaakprofiel4 2 15 5 2 5" xfId="37752"/>
    <cellStyle name="TotRow - Opmaakprofiel4 2 15 5 2 6" xfId="51007"/>
    <cellStyle name="TotRow - Opmaakprofiel4 2 15 5 3" xfId="2521"/>
    <cellStyle name="TotRow - Opmaakprofiel4 2 15 5 3 2" xfId="11682"/>
    <cellStyle name="TotRow - Opmaakprofiel4 2 15 5 3 2 2" xfId="23981"/>
    <cellStyle name="TotRow - Opmaakprofiel4 2 15 5 3 2 3" xfId="36033"/>
    <cellStyle name="TotRow - Opmaakprofiel4 2 15 5 3 2 4" xfId="46756"/>
    <cellStyle name="TotRow - Opmaakprofiel4 2 15 5 3 2 5" xfId="56647"/>
    <cellStyle name="TotRow - Opmaakprofiel4 2 15 5 3 3" xfId="18161"/>
    <cellStyle name="TotRow - Opmaakprofiel4 2 15 5 3 4" xfId="30213"/>
    <cellStyle name="TotRow - Opmaakprofiel4 2 15 5 3 5" xfId="44112"/>
    <cellStyle name="TotRow - Opmaakprofiel4 2 15 5 3 6" xfId="51008"/>
    <cellStyle name="TotRow - Opmaakprofiel4 2 15 5 4" xfId="3409"/>
    <cellStyle name="TotRow - Opmaakprofiel4 2 15 5 4 2" xfId="11683"/>
    <cellStyle name="TotRow - Opmaakprofiel4 2 15 5 4 2 2" xfId="23982"/>
    <cellStyle name="TotRow - Opmaakprofiel4 2 15 5 4 2 3" xfId="36034"/>
    <cellStyle name="TotRow - Opmaakprofiel4 2 15 5 4 2 4" xfId="46757"/>
    <cellStyle name="TotRow - Opmaakprofiel4 2 15 5 4 2 5" xfId="56648"/>
    <cellStyle name="TotRow - Opmaakprofiel4 2 15 5 4 3" xfId="18162"/>
    <cellStyle name="TotRow - Opmaakprofiel4 2 15 5 4 4" xfId="30214"/>
    <cellStyle name="TotRow - Opmaakprofiel4 2 15 5 4 5" xfId="37751"/>
    <cellStyle name="TotRow - Opmaakprofiel4 2 15 5 4 6" xfId="51009"/>
    <cellStyle name="TotRow - Opmaakprofiel4 2 15 5 5" xfId="6512"/>
    <cellStyle name="TotRow - Opmaakprofiel4 2 15 5 5 2" xfId="11684"/>
    <cellStyle name="TotRow - Opmaakprofiel4 2 15 5 5 2 2" xfId="23983"/>
    <cellStyle name="TotRow - Opmaakprofiel4 2 15 5 5 2 3" xfId="36035"/>
    <cellStyle name="TotRow - Opmaakprofiel4 2 15 5 5 2 4" xfId="46758"/>
    <cellStyle name="TotRow - Opmaakprofiel4 2 15 5 5 2 5" xfId="56649"/>
    <cellStyle name="TotRow - Opmaakprofiel4 2 15 5 5 3" xfId="18163"/>
    <cellStyle name="TotRow - Opmaakprofiel4 2 15 5 5 4" xfId="30215"/>
    <cellStyle name="TotRow - Opmaakprofiel4 2 15 5 5 5" xfId="37750"/>
    <cellStyle name="TotRow - Opmaakprofiel4 2 15 5 5 6" xfId="51010"/>
    <cellStyle name="TotRow - Opmaakprofiel4 2 15 5 6" xfId="6513"/>
    <cellStyle name="TotRow - Opmaakprofiel4 2 15 5 6 2" xfId="11685"/>
    <cellStyle name="TotRow - Opmaakprofiel4 2 15 5 6 2 2" xfId="23984"/>
    <cellStyle name="TotRow - Opmaakprofiel4 2 15 5 6 2 3" xfId="36036"/>
    <cellStyle name="TotRow - Opmaakprofiel4 2 15 5 6 2 4" xfId="46759"/>
    <cellStyle name="TotRow - Opmaakprofiel4 2 15 5 6 2 5" xfId="56650"/>
    <cellStyle name="TotRow - Opmaakprofiel4 2 15 5 6 3" xfId="18164"/>
    <cellStyle name="TotRow - Opmaakprofiel4 2 15 5 6 4" xfId="30216"/>
    <cellStyle name="TotRow - Opmaakprofiel4 2 15 5 6 5" xfId="37749"/>
    <cellStyle name="TotRow - Opmaakprofiel4 2 15 5 6 6" xfId="51011"/>
    <cellStyle name="TotRow - Opmaakprofiel4 2 15 5 7" xfId="6514"/>
    <cellStyle name="TotRow - Opmaakprofiel4 2 15 5 7 2" xfId="18165"/>
    <cellStyle name="TotRow - Opmaakprofiel4 2 15 5 7 3" xfId="30217"/>
    <cellStyle name="TotRow - Opmaakprofiel4 2 15 5 7 4" xfId="37748"/>
    <cellStyle name="TotRow - Opmaakprofiel4 2 15 5 7 5" xfId="51012"/>
    <cellStyle name="TotRow - Opmaakprofiel4 2 15 5 8" xfId="7683"/>
    <cellStyle name="TotRow - Opmaakprofiel4 2 15 5 8 2" xfId="19981"/>
    <cellStyle name="TotRow - Opmaakprofiel4 2 15 5 8 3" xfId="41784"/>
    <cellStyle name="TotRow - Opmaakprofiel4 2 15 5 8 4" xfId="25062"/>
    <cellStyle name="TotRow - Opmaakprofiel4 2 15 5 8 5" xfId="52653"/>
    <cellStyle name="TotRow - Opmaakprofiel4 2 15 5 9" xfId="18159"/>
    <cellStyle name="TotRow - Opmaakprofiel4 2 15 6" xfId="643"/>
    <cellStyle name="TotRow - Opmaakprofiel4 2 15 6 2" xfId="2311"/>
    <cellStyle name="TotRow - Opmaakprofiel4 2 15 6 2 2" xfId="11686"/>
    <cellStyle name="TotRow - Opmaakprofiel4 2 15 6 2 2 2" xfId="23985"/>
    <cellStyle name="TotRow - Opmaakprofiel4 2 15 6 2 2 3" xfId="36037"/>
    <cellStyle name="TotRow - Opmaakprofiel4 2 15 6 2 2 4" xfId="46760"/>
    <cellStyle name="TotRow - Opmaakprofiel4 2 15 6 2 2 5" xfId="56651"/>
    <cellStyle name="TotRow - Opmaakprofiel4 2 15 6 2 3" xfId="18167"/>
    <cellStyle name="TotRow - Opmaakprofiel4 2 15 6 2 4" xfId="30219"/>
    <cellStyle name="TotRow - Opmaakprofiel4 2 15 6 2 5" xfId="37747"/>
    <cellStyle name="TotRow - Opmaakprofiel4 2 15 6 2 6" xfId="51013"/>
    <cellStyle name="TotRow - Opmaakprofiel4 2 15 6 3" xfId="2709"/>
    <cellStyle name="TotRow - Opmaakprofiel4 2 15 6 3 2" xfId="11687"/>
    <cellStyle name="TotRow - Opmaakprofiel4 2 15 6 3 2 2" xfId="23986"/>
    <cellStyle name="TotRow - Opmaakprofiel4 2 15 6 3 2 3" xfId="36038"/>
    <cellStyle name="TotRow - Opmaakprofiel4 2 15 6 3 2 4" xfId="46761"/>
    <cellStyle name="TotRow - Opmaakprofiel4 2 15 6 3 2 5" xfId="56652"/>
    <cellStyle name="TotRow - Opmaakprofiel4 2 15 6 3 3" xfId="18168"/>
    <cellStyle name="TotRow - Opmaakprofiel4 2 15 6 3 4" xfId="30220"/>
    <cellStyle name="TotRow - Opmaakprofiel4 2 15 6 3 5" xfId="37746"/>
    <cellStyle name="TotRow - Opmaakprofiel4 2 15 6 3 6" xfId="51014"/>
    <cellStyle name="TotRow - Opmaakprofiel4 2 15 6 4" xfId="3579"/>
    <cellStyle name="TotRow - Opmaakprofiel4 2 15 6 4 2" xfId="11688"/>
    <cellStyle name="TotRow - Opmaakprofiel4 2 15 6 4 2 2" xfId="23987"/>
    <cellStyle name="TotRow - Opmaakprofiel4 2 15 6 4 2 3" xfId="36039"/>
    <cellStyle name="TotRow - Opmaakprofiel4 2 15 6 4 2 4" xfId="46762"/>
    <cellStyle name="TotRow - Opmaakprofiel4 2 15 6 4 2 5" xfId="56653"/>
    <cellStyle name="TotRow - Opmaakprofiel4 2 15 6 4 3" xfId="18169"/>
    <cellStyle name="TotRow - Opmaakprofiel4 2 15 6 4 4" xfId="30221"/>
    <cellStyle name="TotRow - Opmaakprofiel4 2 15 6 4 5" xfId="44108"/>
    <cellStyle name="TotRow - Opmaakprofiel4 2 15 6 4 6" xfId="51015"/>
    <cellStyle name="TotRow - Opmaakprofiel4 2 15 6 5" xfId="6515"/>
    <cellStyle name="TotRow - Opmaakprofiel4 2 15 6 5 2" xfId="11689"/>
    <cellStyle name="TotRow - Opmaakprofiel4 2 15 6 5 2 2" xfId="23988"/>
    <cellStyle name="TotRow - Opmaakprofiel4 2 15 6 5 2 3" xfId="36040"/>
    <cellStyle name="TotRow - Opmaakprofiel4 2 15 6 5 2 4" xfId="46763"/>
    <cellStyle name="TotRow - Opmaakprofiel4 2 15 6 5 2 5" xfId="56654"/>
    <cellStyle name="TotRow - Opmaakprofiel4 2 15 6 5 3" xfId="18170"/>
    <cellStyle name="TotRow - Opmaakprofiel4 2 15 6 5 4" xfId="30222"/>
    <cellStyle name="TotRow - Opmaakprofiel4 2 15 6 5 5" xfId="37745"/>
    <cellStyle name="TotRow - Opmaakprofiel4 2 15 6 5 6" xfId="51016"/>
    <cellStyle name="TotRow - Opmaakprofiel4 2 15 6 6" xfId="6516"/>
    <cellStyle name="TotRow - Opmaakprofiel4 2 15 6 6 2" xfId="11690"/>
    <cellStyle name="TotRow - Opmaakprofiel4 2 15 6 6 2 2" xfId="23989"/>
    <cellStyle name="TotRow - Opmaakprofiel4 2 15 6 6 2 3" xfId="36041"/>
    <cellStyle name="TotRow - Opmaakprofiel4 2 15 6 6 2 4" xfId="46764"/>
    <cellStyle name="TotRow - Opmaakprofiel4 2 15 6 6 2 5" xfId="56655"/>
    <cellStyle name="TotRow - Opmaakprofiel4 2 15 6 6 3" xfId="18171"/>
    <cellStyle name="TotRow - Opmaakprofiel4 2 15 6 6 4" xfId="30223"/>
    <cellStyle name="TotRow - Opmaakprofiel4 2 15 6 6 5" xfId="37744"/>
    <cellStyle name="TotRow - Opmaakprofiel4 2 15 6 6 6" xfId="51017"/>
    <cellStyle name="TotRow - Opmaakprofiel4 2 15 6 7" xfId="6517"/>
    <cellStyle name="TotRow - Opmaakprofiel4 2 15 6 7 2" xfId="18172"/>
    <cellStyle name="TotRow - Opmaakprofiel4 2 15 6 7 3" xfId="30224"/>
    <cellStyle name="TotRow - Opmaakprofiel4 2 15 6 7 4" xfId="37743"/>
    <cellStyle name="TotRow - Opmaakprofiel4 2 15 6 7 5" xfId="51018"/>
    <cellStyle name="TotRow - Opmaakprofiel4 2 15 6 8" xfId="7553"/>
    <cellStyle name="TotRow - Opmaakprofiel4 2 15 6 8 2" xfId="19851"/>
    <cellStyle name="TotRow - Opmaakprofiel4 2 15 6 8 3" xfId="41654"/>
    <cellStyle name="TotRow - Opmaakprofiel4 2 15 6 8 4" xfId="24793"/>
    <cellStyle name="TotRow - Opmaakprofiel4 2 15 6 8 5" xfId="52523"/>
    <cellStyle name="TotRow - Opmaakprofiel4 2 15 6 9" xfId="18166"/>
    <cellStyle name="TotRow - Opmaakprofiel4 2 15 7" xfId="1637"/>
    <cellStyle name="TotRow - Opmaakprofiel4 2 15 7 2" xfId="11691"/>
    <cellStyle name="TotRow - Opmaakprofiel4 2 15 7 2 2" xfId="23990"/>
    <cellStyle name="TotRow - Opmaakprofiel4 2 15 7 2 3" xfId="36042"/>
    <cellStyle name="TotRow - Opmaakprofiel4 2 15 7 2 4" xfId="46765"/>
    <cellStyle name="TotRow - Opmaakprofiel4 2 15 7 2 5" xfId="56656"/>
    <cellStyle name="TotRow - Opmaakprofiel4 2 15 7 3" xfId="18173"/>
    <cellStyle name="TotRow - Opmaakprofiel4 2 15 7 4" xfId="30225"/>
    <cellStyle name="TotRow - Opmaakprofiel4 2 15 7 5" xfId="37742"/>
    <cellStyle name="TotRow - Opmaakprofiel4 2 15 7 6" xfId="51019"/>
    <cellStyle name="TotRow - Opmaakprofiel4 2 15 8" xfId="2765"/>
    <cellStyle name="TotRow - Opmaakprofiel4 2 15 8 2" xfId="11692"/>
    <cellStyle name="TotRow - Opmaakprofiel4 2 15 8 2 2" xfId="23991"/>
    <cellStyle name="TotRow - Opmaakprofiel4 2 15 8 2 3" xfId="36043"/>
    <cellStyle name="TotRow - Opmaakprofiel4 2 15 8 2 4" xfId="46766"/>
    <cellStyle name="TotRow - Opmaakprofiel4 2 15 8 2 5" xfId="56657"/>
    <cellStyle name="TotRow - Opmaakprofiel4 2 15 8 3" xfId="18174"/>
    <cellStyle name="TotRow - Opmaakprofiel4 2 15 8 4" xfId="30226"/>
    <cellStyle name="TotRow - Opmaakprofiel4 2 15 8 5" xfId="44105"/>
    <cellStyle name="TotRow - Opmaakprofiel4 2 15 8 6" xfId="51020"/>
    <cellStyle name="TotRow - Opmaakprofiel4 2 15 9" xfId="3627"/>
    <cellStyle name="TotRow - Opmaakprofiel4 2 15 9 2" xfId="11693"/>
    <cellStyle name="TotRow - Opmaakprofiel4 2 15 9 2 2" xfId="23992"/>
    <cellStyle name="TotRow - Opmaakprofiel4 2 15 9 2 3" xfId="36044"/>
    <cellStyle name="TotRow - Opmaakprofiel4 2 15 9 2 4" xfId="46767"/>
    <cellStyle name="TotRow - Opmaakprofiel4 2 15 9 2 5" xfId="56658"/>
    <cellStyle name="TotRow - Opmaakprofiel4 2 15 9 3" xfId="18175"/>
    <cellStyle name="TotRow - Opmaakprofiel4 2 15 9 4" xfId="30227"/>
    <cellStyle name="TotRow - Opmaakprofiel4 2 15 9 5" xfId="37741"/>
    <cellStyle name="TotRow - Opmaakprofiel4 2 15 9 6" xfId="51021"/>
    <cellStyle name="TotRow - Opmaakprofiel4 2 16" xfId="738"/>
    <cellStyle name="TotRow - Opmaakprofiel4 2 16 10" xfId="6518"/>
    <cellStyle name="TotRow - Opmaakprofiel4 2 16 10 2" xfId="11694"/>
    <cellStyle name="TotRow - Opmaakprofiel4 2 16 10 2 2" xfId="23993"/>
    <cellStyle name="TotRow - Opmaakprofiel4 2 16 10 2 3" xfId="36045"/>
    <cellStyle name="TotRow - Opmaakprofiel4 2 16 10 2 4" xfId="46768"/>
    <cellStyle name="TotRow - Opmaakprofiel4 2 16 10 2 5" xfId="56659"/>
    <cellStyle name="TotRow - Opmaakprofiel4 2 16 10 3" xfId="18177"/>
    <cellStyle name="TotRow - Opmaakprofiel4 2 16 10 4" xfId="30229"/>
    <cellStyle name="TotRow - Opmaakprofiel4 2 16 10 5" xfId="44104"/>
    <cellStyle name="TotRow - Opmaakprofiel4 2 16 10 6" xfId="51022"/>
    <cellStyle name="TotRow - Opmaakprofiel4 2 16 11" xfId="6519"/>
    <cellStyle name="TotRow - Opmaakprofiel4 2 16 11 2" xfId="11695"/>
    <cellStyle name="TotRow - Opmaakprofiel4 2 16 11 2 2" xfId="23994"/>
    <cellStyle name="TotRow - Opmaakprofiel4 2 16 11 2 3" xfId="36046"/>
    <cellStyle name="TotRow - Opmaakprofiel4 2 16 11 2 4" xfId="46769"/>
    <cellStyle name="TotRow - Opmaakprofiel4 2 16 11 2 5" xfId="56660"/>
    <cellStyle name="TotRow - Opmaakprofiel4 2 16 11 3" xfId="18178"/>
    <cellStyle name="TotRow - Opmaakprofiel4 2 16 11 4" xfId="30230"/>
    <cellStyle name="TotRow - Opmaakprofiel4 2 16 11 5" xfId="37739"/>
    <cellStyle name="TotRow - Opmaakprofiel4 2 16 11 6" xfId="51023"/>
    <cellStyle name="TotRow - Opmaakprofiel4 2 16 12" xfId="6520"/>
    <cellStyle name="TotRow - Opmaakprofiel4 2 16 12 2" xfId="18179"/>
    <cellStyle name="TotRow - Opmaakprofiel4 2 16 12 3" xfId="30231"/>
    <cellStyle name="TotRow - Opmaakprofiel4 2 16 12 4" xfId="37738"/>
    <cellStyle name="TotRow - Opmaakprofiel4 2 16 12 5" xfId="51024"/>
    <cellStyle name="TotRow - Opmaakprofiel4 2 16 13" xfId="7488"/>
    <cellStyle name="TotRow - Opmaakprofiel4 2 16 13 2" xfId="19786"/>
    <cellStyle name="TotRow - Opmaakprofiel4 2 16 13 3" xfId="41589"/>
    <cellStyle name="TotRow - Opmaakprofiel4 2 16 13 4" xfId="43488"/>
    <cellStyle name="TotRow - Opmaakprofiel4 2 16 13 5" xfId="52458"/>
    <cellStyle name="TotRow - Opmaakprofiel4 2 16 14" xfId="18176"/>
    <cellStyle name="TotRow - Opmaakprofiel4 2 16 2" xfId="908"/>
    <cellStyle name="TotRow - Opmaakprofiel4 2 16 2 2" xfId="1726"/>
    <cellStyle name="TotRow - Opmaakprofiel4 2 16 2 2 2" xfId="11696"/>
    <cellStyle name="TotRow - Opmaakprofiel4 2 16 2 2 2 2" xfId="23995"/>
    <cellStyle name="TotRow - Opmaakprofiel4 2 16 2 2 2 3" xfId="36047"/>
    <cellStyle name="TotRow - Opmaakprofiel4 2 16 2 2 2 4" xfId="46770"/>
    <cellStyle name="TotRow - Opmaakprofiel4 2 16 2 2 2 5" xfId="56661"/>
    <cellStyle name="TotRow - Opmaakprofiel4 2 16 2 2 3" xfId="18181"/>
    <cellStyle name="TotRow - Opmaakprofiel4 2 16 2 2 4" xfId="30233"/>
    <cellStyle name="TotRow - Opmaakprofiel4 2 16 2 2 5" xfId="37736"/>
    <cellStyle name="TotRow - Opmaakprofiel4 2 16 2 2 6" xfId="51025"/>
    <cellStyle name="TotRow - Opmaakprofiel4 2 16 2 3" xfId="2919"/>
    <cellStyle name="TotRow - Opmaakprofiel4 2 16 2 3 2" xfId="11697"/>
    <cellStyle name="TotRow - Opmaakprofiel4 2 16 2 3 2 2" xfId="23996"/>
    <cellStyle name="TotRow - Opmaakprofiel4 2 16 2 3 2 3" xfId="36048"/>
    <cellStyle name="TotRow - Opmaakprofiel4 2 16 2 3 2 4" xfId="46771"/>
    <cellStyle name="TotRow - Opmaakprofiel4 2 16 2 3 2 5" xfId="56662"/>
    <cellStyle name="TotRow - Opmaakprofiel4 2 16 2 3 3" xfId="18182"/>
    <cellStyle name="TotRow - Opmaakprofiel4 2 16 2 3 4" xfId="30234"/>
    <cellStyle name="TotRow - Opmaakprofiel4 2 16 2 3 5" xfId="44101"/>
    <cellStyle name="TotRow - Opmaakprofiel4 2 16 2 3 6" xfId="51026"/>
    <cellStyle name="TotRow - Opmaakprofiel4 2 16 2 4" xfId="3772"/>
    <cellStyle name="TotRow - Opmaakprofiel4 2 16 2 4 2" xfId="11698"/>
    <cellStyle name="TotRow - Opmaakprofiel4 2 16 2 4 2 2" xfId="23997"/>
    <cellStyle name="TotRow - Opmaakprofiel4 2 16 2 4 2 3" xfId="36049"/>
    <cellStyle name="TotRow - Opmaakprofiel4 2 16 2 4 2 4" xfId="46772"/>
    <cellStyle name="TotRow - Opmaakprofiel4 2 16 2 4 2 5" xfId="56663"/>
    <cellStyle name="TotRow - Opmaakprofiel4 2 16 2 4 3" xfId="18183"/>
    <cellStyle name="TotRow - Opmaakprofiel4 2 16 2 4 4" xfId="30235"/>
    <cellStyle name="TotRow - Opmaakprofiel4 2 16 2 4 5" xfId="37735"/>
    <cellStyle name="TotRow - Opmaakprofiel4 2 16 2 4 6" xfId="51027"/>
    <cellStyle name="TotRow - Opmaakprofiel4 2 16 2 5" xfId="6521"/>
    <cellStyle name="TotRow - Opmaakprofiel4 2 16 2 5 2" xfId="11699"/>
    <cellStyle name="TotRow - Opmaakprofiel4 2 16 2 5 2 2" xfId="23998"/>
    <cellStyle name="TotRow - Opmaakprofiel4 2 16 2 5 2 3" xfId="36050"/>
    <cellStyle name="TotRow - Opmaakprofiel4 2 16 2 5 2 4" xfId="46773"/>
    <cellStyle name="TotRow - Opmaakprofiel4 2 16 2 5 2 5" xfId="56664"/>
    <cellStyle name="TotRow - Opmaakprofiel4 2 16 2 5 3" xfId="18184"/>
    <cellStyle name="TotRow - Opmaakprofiel4 2 16 2 5 4" xfId="30236"/>
    <cellStyle name="TotRow - Opmaakprofiel4 2 16 2 5 5" xfId="37734"/>
    <cellStyle name="TotRow - Opmaakprofiel4 2 16 2 5 6" xfId="51028"/>
    <cellStyle name="TotRow - Opmaakprofiel4 2 16 2 6" xfId="6522"/>
    <cellStyle name="TotRow - Opmaakprofiel4 2 16 2 6 2" xfId="11700"/>
    <cellStyle name="TotRow - Opmaakprofiel4 2 16 2 6 2 2" xfId="23999"/>
    <cellStyle name="TotRow - Opmaakprofiel4 2 16 2 6 2 3" xfId="36051"/>
    <cellStyle name="TotRow - Opmaakprofiel4 2 16 2 6 2 4" xfId="46774"/>
    <cellStyle name="TotRow - Opmaakprofiel4 2 16 2 6 2 5" xfId="56665"/>
    <cellStyle name="TotRow - Opmaakprofiel4 2 16 2 6 3" xfId="18185"/>
    <cellStyle name="TotRow - Opmaakprofiel4 2 16 2 6 4" xfId="30237"/>
    <cellStyle name="TotRow - Opmaakprofiel4 2 16 2 6 5" xfId="44100"/>
    <cellStyle name="TotRow - Opmaakprofiel4 2 16 2 6 6" xfId="51029"/>
    <cellStyle name="TotRow - Opmaakprofiel4 2 16 2 7" xfId="6523"/>
    <cellStyle name="TotRow - Opmaakprofiel4 2 16 2 7 2" xfId="18186"/>
    <cellStyle name="TotRow - Opmaakprofiel4 2 16 2 7 3" xfId="30238"/>
    <cellStyle name="TotRow - Opmaakprofiel4 2 16 2 7 4" xfId="37733"/>
    <cellStyle name="TotRow - Opmaakprofiel4 2 16 2 7 5" xfId="51030"/>
    <cellStyle name="TotRow - Opmaakprofiel4 2 16 2 8" xfId="7373"/>
    <cellStyle name="TotRow - Opmaakprofiel4 2 16 2 8 2" xfId="19671"/>
    <cellStyle name="TotRow - Opmaakprofiel4 2 16 2 8 3" xfId="41474"/>
    <cellStyle name="TotRow - Opmaakprofiel4 2 16 2 8 4" xfId="43536"/>
    <cellStyle name="TotRow - Opmaakprofiel4 2 16 2 8 5" xfId="52343"/>
    <cellStyle name="TotRow - Opmaakprofiel4 2 16 2 9" xfId="18180"/>
    <cellStyle name="TotRow - Opmaakprofiel4 2 16 3" xfId="1005"/>
    <cellStyle name="TotRow - Opmaakprofiel4 2 16 3 2" xfId="1743"/>
    <cellStyle name="TotRow - Opmaakprofiel4 2 16 3 2 2" xfId="11701"/>
    <cellStyle name="TotRow - Opmaakprofiel4 2 16 3 2 2 2" xfId="24000"/>
    <cellStyle name="TotRow - Opmaakprofiel4 2 16 3 2 2 3" xfId="36052"/>
    <cellStyle name="TotRow - Opmaakprofiel4 2 16 3 2 2 4" xfId="46775"/>
    <cellStyle name="TotRow - Opmaakprofiel4 2 16 3 2 2 5" xfId="56666"/>
    <cellStyle name="TotRow - Opmaakprofiel4 2 16 3 2 3" xfId="18188"/>
    <cellStyle name="TotRow - Opmaakprofiel4 2 16 3 2 4" xfId="30240"/>
    <cellStyle name="TotRow - Opmaakprofiel4 2 16 3 2 5" xfId="37732"/>
    <cellStyle name="TotRow - Opmaakprofiel4 2 16 3 2 6" xfId="51031"/>
    <cellStyle name="TotRow - Opmaakprofiel4 2 16 3 3" xfId="3016"/>
    <cellStyle name="TotRow - Opmaakprofiel4 2 16 3 3 2" xfId="11702"/>
    <cellStyle name="TotRow - Opmaakprofiel4 2 16 3 3 2 2" xfId="24001"/>
    <cellStyle name="TotRow - Opmaakprofiel4 2 16 3 3 2 3" xfId="36053"/>
    <cellStyle name="TotRow - Opmaakprofiel4 2 16 3 3 2 4" xfId="46776"/>
    <cellStyle name="TotRow - Opmaakprofiel4 2 16 3 3 2 5" xfId="56667"/>
    <cellStyle name="TotRow - Opmaakprofiel4 2 16 3 3 3" xfId="18189"/>
    <cellStyle name="TotRow - Opmaakprofiel4 2 16 3 3 4" xfId="30241"/>
    <cellStyle name="TotRow - Opmaakprofiel4 2 16 3 3 5" xfId="37731"/>
    <cellStyle name="TotRow - Opmaakprofiel4 2 16 3 3 6" xfId="51032"/>
    <cellStyle name="TotRow - Opmaakprofiel4 2 16 3 4" xfId="3862"/>
    <cellStyle name="TotRow - Opmaakprofiel4 2 16 3 4 2" xfId="11703"/>
    <cellStyle name="TotRow - Opmaakprofiel4 2 16 3 4 2 2" xfId="24002"/>
    <cellStyle name="TotRow - Opmaakprofiel4 2 16 3 4 2 3" xfId="36054"/>
    <cellStyle name="TotRow - Opmaakprofiel4 2 16 3 4 2 4" xfId="46777"/>
    <cellStyle name="TotRow - Opmaakprofiel4 2 16 3 4 2 5" xfId="56668"/>
    <cellStyle name="TotRow - Opmaakprofiel4 2 16 3 4 3" xfId="18190"/>
    <cellStyle name="TotRow - Opmaakprofiel4 2 16 3 4 4" xfId="30242"/>
    <cellStyle name="TotRow - Opmaakprofiel4 2 16 3 4 5" xfId="44097"/>
    <cellStyle name="TotRow - Opmaakprofiel4 2 16 3 4 6" xfId="51033"/>
    <cellStyle name="TotRow - Opmaakprofiel4 2 16 3 5" xfId="6524"/>
    <cellStyle name="TotRow - Opmaakprofiel4 2 16 3 5 2" xfId="11704"/>
    <cellStyle name="TotRow - Opmaakprofiel4 2 16 3 5 2 2" xfId="24003"/>
    <cellStyle name="TotRow - Opmaakprofiel4 2 16 3 5 2 3" xfId="36055"/>
    <cellStyle name="TotRow - Opmaakprofiel4 2 16 3 5 2 4" xfId="46778"/>
    <cellStyle name="TotRow - Opmaakprofiel4 2 16 3 5 2 5" xfId="56669"/>
    <cellStyle name="TotRow - Opmaakprofiel4 2 16 3 5 3" xfId="18191"/>
    <cellStyle name="TotRow - Opmaakprofiel4 2 16 3 5 4" xfId="30243"/>
    <cellStyle name="TotRow - Opmaakprofiel4 2 16 3 5 5" xfId="37730"/>
    <cellStyle name="TotRow - Opmaakprofiel4 2 16 3 5 6" xfId="51034"/>
    <cellStyle name="TotRow - Opmaakprofiel4 2 16 3 6" xfId="6525"/>
    <cellStyle name="TotRow - Opmaakprofiel4 2 16 3 6 2" xfId="11705"/>
    <cellStyle name="TotRow - Opmaakprofiel4 2 16 3 6 2 2" xfId="24004"/>
    <cellStyle name="TotRow - Opmaakprofiel4 2 16 3 6 2 3" xfId="36056"/>
    <cellStyle name="TotRow - Opmaakprofiel4 2 16 3 6 2 4" xfId="46779"/>
    <cellStyle name="TotRow - Opmaakprofiel4 2 16 3 6 2 5" xfId="56670"/>
    <cellStyle name="TotRow - Opmaakprofiel4 2 16 3 6 3" xfId="18192"/>
    <cellStyle name="TotRow - Opmaakprofiel4 2 16 3 6 4" xfId="30244"/>
    <cellStyle name="TotRow - Opmaakprofiel4 2 16 3 6 5" xfId="37729"/>
    <cellStyle name="TotRow - Opmaakprofiel4 2 16 3 6 6" xfId="51035"/>
    <cellStyle name="TotRow - Opmaakprofiel4 2 16 3 7" xfId="6526"/>
    <cellStyle name="TotRow - Opmaakprofiel4 2 16 3 7 2" xfId="18193"/>
    <cellStyle name="TotRow - Opmaakprofiel4 2 16 3 7 3" xfId="30245"/>
    <cellStyle name="TotRow - Opmaakprofiel4 2 16 3 7 4" xfId="44096"/>
    <cellStyle name="TotRow - Opmaakprofiel4 2 16 3 7 5" xfId="51036"/>
    <cellStyle name="TotRow - Opmaakprofiel4 2 16 3 8" xfId="7308"/>
    <cellStyle name="TotRow - Opmaakprofiel4 2 16 3 8 2" xfId="19606"/>
    <cellStyle name="TotRow - Opmaakprofiel4 2 16 3 8 3" xfId="41409"/>
    <cellStyle name="TotRow - Opmaakprofiel4 2 16 3 8 4" xfId="43563"/>
    <cellStyle name="TotRow - Opmaakprofiel4 2 16 3 8 5" xfId="52278"/>
    <cellStyle name="TotRow - Opmaakprofiel4 2 16 3 9" xfId="18187"/>
    <cellStyle name="TotRow - Opmaakprofiel4 2 16 4" xfId="463"/>
    <cellStyle name="TotRow - Opmaakprofiel4 2 16 4 2" xfId="1732"/>
    <cellStyle name="TotRow - Opmaakprofiel4 2 16 4 2 2" xfId="11706"/>
    <cellStyle name="TotRow - Opmaakprofiel4 2 16 4 2 2 2" xfId="24005"/>
    <cellStyle name="TotRow - Opmaakprofiel4 2 16 4 2 2 3" xfId="36057"/>
    <cellStyle name="TotRow - Opmaakprofiel4 2 16 4 2 2 4" xfId="46780"/>
    <cellStyle name="TotRow - Opmaakprofiel4 2 16 4 2 2 5" xfId="56671"/>
    <cellStyle name="TotRow - Opmaakprofiel4 2 16 4 2 3" xfId="18195"/>
    <cellStyle name="TotRow - Opmaakprofiel4 2 16 4 2 4" xfId="30247"/>
    <cellStyle name="TotRow - Opmaakprofiel4 2 16 4 2 5" xfId="37727"/>
    <cellStyle name="TotRow - Opmaakprofiel4 2 16 4 2 6" xfId="51037"/>
    <cellStyle name="TotRow - Opmaakprofiel4 2 16 4 3" xfId="2534"/>
    <cellStyle name="TotRow - Opmaakprofiel4 2 16 4 3 2" xfId="11707"/>
    <cellStyle name="TotRow - Opmaakprofiel4 2 16 4 3 2 2" xfId="24006"/>
    <cellStyle name="TotRow - Opmaakprofiel4 2 16 4 3 2 3" xfId="36058"/>
    <cellStyle name="TotRow - Opmaakprofiel4 2 16 4 3 2 4" xfId="46781"/>
    <cellStyle name="TotRow - Opmaakprofiel4 2 16 4 3 2 5" xfId="56672"/>
    <cellStyle name="TotRow - Opmaakprofiel4 2 16 4 3 3" xfId="18196"/>
    <cellStyle name="TotRow - Opmaakprofiel4 2 16 4 3 4" xfId="30248"/>
    <cellStyle name="TotRow - Opmaakprofiel4 2 16 4 3 5" xfId="37726"/>
    <cellStyle name="TotRow - Opmaakprofiel4 2 16 4 3 6" xfId="51038"/>
    <cellStyle name="TotRow - Opmaakprofiel4 2 16 4 4" xfId="3422"/>
    <cellStyle name="TotRow - Opmaakprofiel4 2 16 4 4 2" xfId="11708"/>
    <cellStyle name="TotRow - Opmaakprofiel4 2 16 4 4 2 2" xfId="24007"/>
    <cellStyle name="TotRow - Opmaakprofiel4 2 16 4 4 2 3" xfId="36059"/>
    <cellStyle name="TotRow - Opmaakprofiel4 2 16 4 4 2 4" xfId="46782"/>
    <cellStyle name="TotRow - Opmaakprofiel4 2 16 4 4 2 5" xfId="56673"/>
    <cellStyle name="TotRow - Opmaakprofiel4 2 16 4 4 3" xfId="18197"/>
    <cellStyle name="TotRow - Opmaakprofiel4 2 16 4 4 4" xfId="30249"/>
    <cellStyle name="TotRow - Opmaakprofiel4 2 16 4 4 5" xfId="37725"/>
    <cellStyle name="TotRow - Opmaakprofiel4 2 16 4 4 6" xfId="51039"/>
    <cellStyle name="TotRow - Opmaakprofiel4 2 16 4 5" xfId="6527"/>
    <cellStyle name="TotRow - Opmaakprofiel4 2 16 4 5 2" xfId="11709"/>
    <cellStyle name="TotRow - Opmaakprofiel4 2 16 4 5 2 2" xfId="24008"/>
    <cellStyle name="TotRow - Opmaakprofiel4 2 16 4 5 2 3" xfId="36060"/>
    <cellStyle name="TotRow - Opmaakprofiel4 2 16 4 5 2 4" xfId="46783"/>
    <cellStyle name="TotRow - Opmaakprofiel4 2 16 4 5 2 5" xfId="56674"/>
    <cellStyle name="TotRow - Opmaakprofiel4 2 16 4 5 3" xfId="18198"/>
    <cellStyle name="TotRow - Opmaakprofiel4 2 16 4 5 4" xfId="30250"/>
    <cellStyle name="TotRow - Opmaakprofiel4 2 16 4 5 5" xfId="44093"/>
    <cellStyle name="TotRow - Opmaakprofiel4 2 16 4 5 6" xfId="51040"/>
    <cellStyle name="TotRow - Opmaakprofiel4 2 16 4 6" xfId="6528"/>
    <cellStyle name="TotRow - Opmaakprofiel4 2 16 4 6 2" xfId="11710"/>
    <cellStyle name="TotRow - Opmaakprofiel4 2 16 4 6 2 2" xfId="24009"/>
    <cellStyle name="TotRow - Opmaakprofiel4 2 16 4 6 2 3" xfId="36061"/>
    <cellStyle name="TotRow - Opmaakprofiel4 2 16 4 6 2 4" xfId="46784"/>
    <cellStyle name="TotRow - Opmaakprofiel4 2 16 4 6 2 5" xfId="56675"/>
    <cellStyle name="TotRow - Opmaakprofiel4 2 16 4 6 3" xfId="18199"/>
    <cellStyle name="TotRow - Opmaakprofiel4 2 16 4 6 4" xfId="30251"/>
    <cellStyle name="TotRow - Opmaakprofiel4 2 16 4 6 5" xfId="37724"/>
    <cellStyle name="TotRow - Opmaakprofiel4 2 16 4 6 6" xfId="51041"/>
    <cellStyle name="TotRow - Opmaakprofiel4 2 16 4 7" xfId="6529"/>
    <cellStyle name="TotRow - Opmaakprofiel4 2 16 4 7 2" xfId="18200"/>
    <cellStyle name="TotRow - Opmaakprofiel4 2 16 4 7 3" xfId="30252"/>
    <cellStyle name="TotRow - Opmaakprofiel4 2 16 4 7 4" xfId="37723"/>
    <cellStyle name="TotRow - Opmaakprofiel4 2 16 4 7 5" xfId="51042"/>
    <cellStyle name="TotRow - Opmaakprofiel4 2 16 4 8" xfId="7674"/>
    <cellStyle name="TotRow - Opmaakprofiel4 2 16 4 8 2" xfId="19972"/>
    <cellStyle name="TotRow - Opmaakprofiel4 2 16 4 8 3" xfId="41775"/>
    <cellStyle name="TotRow - Opmaakprofiel4 2 16 4 8 4" xfId="43410"/>
    <cellStyle name="TotRow - Opmaakprofiel4 2 16 4 8 5" xfId="52644"/>
    <cellStyle name="TotRow - Opmaakprofiel4 2 16 4 9" xfId="18194"/>
    <cellStyle name="TotRow - Opmaakprofiel4 2 16 5" xfId="1178"/>
    <cellStyle name="TotRow - Opmaakprofiel4 2 16 5 2" xfId="1746"/>
    <cellStyle name="TotRow - Opmaakprofiel4 2 16 5 2 2" xfId="11711"/>
    <cellStyle name="TotRow - Opmaakprofiel4 2 16 5 2 2 2" xfId="24010"/>
    <cellStyle name="TotRow - Opmaakprofiel4 2 16 5 2 2 3" xfId="36062"/>
    <cellStyle name="TotRow - Opmaakprofiel4 2 16 5 2 2 4" xfId="46785"/>
    <cellStyle name="TotRow - Opmaakprofiel4 2 16 5 2 2 5" xfId="56676"/>
    <cellStyle name="TotRow - Opmaakprofiel4 2 16 5 2 3" xfId="18202"/>
    <cellStyle name="TotRow - Opmaakprofiel4 2 16 5 2 4" xfId="30254"/>
    <cellStyle name="TotRow - Opmaakprofiel4 2 16 5 2 5" xfId="37722"/>
    <cellStyle name="TotRow - Opmaakprofiel4 2 16 5 2 6" xfId="51043"/>
    <cellStyle name="TotRow - Opmaakprofiel4 2 16 5 3" xfId="3189"/>
    <cellStyle name="TotRow - Opmaakprofiel4 2 16 5 3 2" xfId="11712"/>
    <cellStyle name="TotRow - Opmaakprofiel4 2 16 5 3 2 2" xfId="24011"/>
    <cellStyle name="TotRow - Opmaakprofiel4 2 16 5 3 2 3" xfId="36063"/>
    <cellStyle name="TotRow - Opmaakprofiel4 2 16 5 3 2 4" xfId="46786"/>
    <cellStyle name="TotRow - Opmaakprofiel4 2 16 5 3 2 5" xfId="56677"/>
    <cellStyle name="TotRow - Opmaakprofiel4 2 16 5 3 3" xfId="18203"/>
    <cellStyle name="TotRow - Opmaakprofiel4 2 16 5 3 4" xfId="30255"/>
    <cellStyle name="TotRow - Opmaakprofiel4 2 16 5 3 5" xfId="37721"/>
    <cellStyle name="TotRow - Opmaakprofiel4 2 16 5 3 6" xfId="51044"/>
    <cellStyle name="TotRow - Opmaakprofiel4 2 16 5 4" xfId="4008"/>
    <cellStyle name="TotRow - Opmaakprofiel4 2 16 5 4 2" xfId="11713"/>
    <cellStyle name="TotRow - Opmaakprofiel4 2 16 5 4 2 2" xfId="24012"/>
    <cellStyle name="TotRow - Opmaakprofiel4 2 16 5 4 2 3" xfId="36064"/>
    <cellStyle name="TotRow - Opmaakprofiel4 2 16 5 4 2 4" xfId="46787"/>
    <cellStyle name="TotRow - Opmaakprofiel4 2 16 5 4 2 5" xfId="56678"/>
    <cellStyle name="TotRow - Opmaakprofiel4 2 16 5 4 3" xfId="18204"/>
    <cellStyle name="TotRow - Opmaakprofiel4 2 16 5 4 4" xfId="30256"/>
    <cellStyle name="TotRow - Opmaakprofiel4 2 16 5 4 5" xfId="44091"/>
    <cellStyle name="TotRow - Opmaakprofiel4 2 16 5 4 6" xfId="51045"/>
    <cellStyle name="TotRow - Opmaakprofiel4 2 16 5 5" xfId="6530"/>
    <cellStyle name="TotRow - Opmaakprofiel4 2 16 5 5 2" xfId="11714"/>
    <cellStyle name="TotRow - Opmaakprofiel4 2 16 5 5 2 2" xfId="24013"/>
    <cellStyle name="TotRow - Opmaakprofiel4 2 16 5 5 2 3" xfId="36065"/>
    <cellStyle name="TotRow - Opmaakprofiel4 2 16 5 5 2 4" xfId="46788"/>
    <cellStyle name="TotRow - Opmaakprofiel4 2 16 5 5 2 5" xfId="56679"/>
    <cellStyle name="TotRow - Opmaakprofiel4 2 16 5 5 3" xfId="18205"/>
    <cellStyle name="TotRow - Opmaakprofiel4 2 16 5 5 4" xfId="30257"/>
    <cellStyle name="TotRow - Opmaakprofiel4 2 16 5 5 5" xfId="37720"/>
    <cellStyle name="TotRow - Opmaakprofiel4 2 16 5 5 6" xfId="51046"/>
    <cellStyle name="TotRow - Opmaakprofiel4 2 16 5 6" xfId="6531"/>
    <cellStyle name="TotRow - Opmaakprofiel4 2 16 5 6 2" xfId="11715"/>
    <cellStyle name="TotRow - Opmaakprofiel4 2 16 5 6 2 2" xfId="24014"/>
    <cellStyle name="TotRow - Opmaakprofiel4 2 16 5 6 2 3" xfId="36066"/>
    <cellStyle name="TotRow - Opmaakprofiel4 2 16 5 6 2 4" xfId="46789"/>
    <cellStyle name="TotRow - Opmaakprofiel4 2 16 5 6 2 5" xfId="56680"/>
    <cellStyle name="TotRow - Opmaakprofiel4 2 16 5 6 3" xfId="18206"/>
    <cellStyle name="TotRow - Opmaakprofiel4 2 16 5 6 4" xfId="30258"/>
    <cellStyle name="TotRow - Opmaakprofiel4 2 16 5 6 5" xfId="37719"/>
    <cellStyle name="TotRow - Opmaakprofiel4 2 16 5 6 6" xfId="51047"/>
    <cellStyle name="TotRow - Opmaakprofiel4 2 16 5 7" xfId="6532"/>
    <cellStyle name="TotRow - Opmaakprofiel4 2 16 5 7 2" xfId="18207"/>
    <cellStyle name="TotRow - Opmaakprofiel4 2 16 5 7 3" xfId="30259"/>
    <cellStyle name="TotRow - Opmaakprofiel4 2 16 5 7 4" xfId="37718"/>
    <cellStyle name="TotRow - Opmaakprofiel4 2 16 5 7 5" xfId="51048"/>
    <cellStyle name="TotRow - Opmaakprofiel4 2 16 5 8" xfId="7191"/>
    <cellStyle name="TotRow - Opmaakprofiel4 2 16 5 8 2" xfId="19489"/>
    <cellStyle name="TotRow - Opmaakprofiel4 2 16 5 8 3" xfId="41292"/>
    <cellStyle name="TotRow - Opmaakprofiel4 2 16 5 8 4" xfId="36923"/>
    <cellStyle name="TotRow - Opmaakprofiel4 2 16 5 8 5" xfId="52161"/>
    <cellStyle name="TotRow - Opmaakprofiel4 2 16 5 9" xfId="18201"/>
    <cellStyle name="TotRow - Opmaakprofiel4 2 16 6" xfId="570"/>
    <cellStyle name="TotRow - Opmaakprofiel4 2 16 6 2" xfId="2446"/>
    <cellStyle name="TotRow - Opmaakprofiel4 2 16 6 2 2" xfId="11716"/>
    <cellStyle name="TotRow - Opmaakprofiel4 2 16 6 2 2 2" xfId="24015"/>
    <cellStyle name="TotRow - Opmaakprofiel4 2 16 6 2 2 3" xfId="36067"/>
    <cellStyle name="TotRow - Opmaakprofiel4 2 16 6 2 2 4" xfId="46790"/>
    <cellStyle name="TotRow - Opmaakprofiel4 2 16 6 2 2 5" xfId="56681"/>
    <cellStyle name="TotRow - Opmaakprofiel4 2 16 6 2 3" xfId="18209"/>
    <cellStyle name="TotRow - Opmaakprofiel4 2 16 6 2 4" xfId="30261"/>
    <cellStyle name="TotRow - Opmaakprofiel4 2 16 6 2 5" xfId="37717"/>
    <cellStyle name="TotRow - Opmaakprofiel4 2 16 6 2 6" xfId="51049"/>
    <cellStyle name="TotRow - Opmaakprofiel4 2 16 6 3" xfId="2641"/>
    <cellStyle name="TotRow - Opmaakprofiel4 2 16 6 3 2" xfId="11717"/>
    <cellStyle name="TotRow - Opmaakprofiel4 2 16 6 3 2 2" xfId="24016"/>
    <cellStyle name="TotRow - Opmaakprofiel4 2 16 6 3 2 3" xfId="36068"/>
    <cellStyle name="TotRow - Opmaakprofiel4 2 16 6 3 2 4" xfId="46791"/>
    <cellStyle name="TotRow - Opmaakprofiel4 2 16 6 3 2 5" xfId="56682"/>
    <cellStyle name="TotRow - Opmaakprofiel4 2 16 6 3 3" xfId="18210"/>
    <cellStyle name="TotRow - Opmaakprofiel4 2 16 6 3 4" xfId="30262"/>
    <cellStyle name="TotRow - Opmaakprofiel4 2 16 6 3 5" xfId="37716"/>
    <cellStyle name="TotRow - Opmaakprofiel4 2 16 6 3 6" xfId="51050"/>
    <cellStyle name="TotRow - Opmaakprofiel4 2 16 6 4" xfId="3518"/>
    <cellStyle name="TotRow - Opmaakprofiel4 2 16 6 4 2" xfId="11718"/>
    <cellStyle name="TotRow - Opmaakprofiel4 2 16 6 4 2 2" xfId="24017"/>
    <cellStyle name="TotRow - Opmaakprofiel4 2 16 6 4 2 3" xfId="36069"/>
    <cellStyle name="TotRow - Opmaakprofiel4 2 16 6 4 2 4" xfId="46792"/>
    <cellStyle name="TotRow - Opmaakprofiel4 2 16 6 4 2 5" xfId="56683"/>
    <cellStyle name="TotRow - Opmaakprofiel4 2 16 6 4 3" xfId="18211"/>
    <cellStyle name="TotRow - Opmaakprofiel4 2 16 6 4 4" xfId="30263"/>
    <cellStyle name="TotRow - Opmaakprofiel4 2 16 6 4 5" xfId="37715"/>
    <cellStyle name="TotRow - Opmaakprofiel4 2 16 6 4 6" xfId="51051"/>
    <cellStyle name="TotRow - Opmaakprofiel4 2 16 6 5" xfId="6533"/>
    <cellStyle name="TotRow - Opmaakprofiel4 2 16 6 5 2" xfId="11719"/>
    <cellStyle name="TotRow - Opmaakprofiel4 2 16 6 5 2 2" xfId="24018"/>
    <cellStyle name="TotRow - Opmaakprofiel4 2 16 6 5 2 3" xfId="36070"/>
    <cellStyle name="TotRow - Opmaakprofiel4 2 16 6 5 2 4" xfId="46793"/>
    <cellStyle name="TotRow - Opmaakprofiel4 2 16 6 5 2 5" xfId="56684"/>
    <cellStyle name="TotRow - Opmaakprofiel4 2 16 6 5 3" xfId="18212"/>
    <cellStyle name="TotRow - Opmaakprofiel4 2 16 6 5 4" xfId="30264"/>
    <cellStyle name="TotRow - Opmaakprofiel4 2 16 6 5 5" xfId="37714"/>
    <cellStyle name="TotRow - Opmaakprofiel4 2 16 6 5 6" xfId="51052"/>
    <cellStyle name="TotRow - Opmaakprofiel4 2 16 6 6" xfId="6534"/>
    <cellStyle name="TotRow - Opmaakprofiel4 2 16 6 6 2" xfId="11720"/>
    <cellStyle name="TotRow - Opmaakprofiel4 2 16 6 6 2 2" xfId="24019"/>
    <cellStyle name="TotRow - Opmaakprofiel4 2 16 6 6 2 3" xfId="36071"/>
    <cellStyle name="TotRow - Opmaakprofiel4 2 16 6 6 2 4" xfId="46794"/>
    <cellStyle name="TotRow - Opmaakprofiel4 2 16 6 6 2 5" xfId="56685"/>
    <cellStyle name="TotRow - Opmaakprofiel4 2 16 6 6 3" xfId="18213"/>
    <cellStyle name="TotRow - Opmaakprofiel4 2 16 6 6 4" xfId="30265"/>
    <cellStyle name="TotRow - Opmaakprofiel4 2 16 6 6 5" xfId="37713"/>
    <cellStyle name="TotRow - Opmaakprofiel4 2 16 6 6 6" xfId="51053"/>
    <cellStyle name="TotRow - Opmaakprofiel4 2 16 6 7" xfId="6535"/>
    <cellStyle name="TotRow - Opmaakprofiel4 2 16 6 7 2" xfId="18214"/>
    <cellStyle name="TotRow - Opmaakprofiel4 2 16 6 7 3" xfId="30266"/>
    <cellStyle name="TotRow - Opmaakprofiel4 2 16 6 7 4" xfId="44085"/>
    <cellStyle name="TotRow - Opmaakprofiel4 2 16 6 7 5" xfId="51054"/>
    <cellStyle name="TotRow - Opmaakprofiel4 2 16 6 8" xfId="10290"/>
    <cellStyle name="TotRow - Opmaakprofiel4 2 16 6 8 2" xfId="22588"/>
    <cellStyle name="TotRow - Opmaakprofiel4 2 16 6 8 3" xfId="44349"/>
    <cellStyle name="TotRow - Opmaakprofiel4 2 16 6 8 4" xfId="42336"/>
    <cellStyle name="TotRow - Opmaakprofiel4 2 16 6 8 5" xfId="55255"/>
    <cellStyle name="TotRow - Opmaakprofiel4 2 16 6 9" xfId="18208"/>
    <cellStyle name="TotRow - Opmaakprofiel4 2 16 7" xfId="1521"/>
    <cellStyle name="TotRow - Opmaakprofiel4 2 16 7 2" xfId="11721"/>
    <cellStyle name="TotRow - Opmaakprofiel4 2 16 7 2 2" xfId="24020"/>
    <cellStyle name="TotRow - Opmaakprofiel4 2 16 7 2 3" xfId="36072"/>
    <cellStyle name="TotRow - Opmaakprofiel4 2 16 7 2 4" xfId="46795"/>
    <cellStyle name="TotRow - Opmaakprofiel4 2 16 7 2 5" xfId="56686"/>
    <cellStyle name="TotRow - Opmaakprofiel4 2 16 7 3" xfId="18215"/>
    <cellStyle name="TotRow - Opmaakprofiel4 2 16 7 4" xfId="30267"/>
    <cellStyle name="TotRow - Opmaakprofiel4 2 16 7 5" xfId="37712"/>
    <cellStyle name="TotRow - Opmaakprofiel4 2 16 7 6" xfId="51055"/>
    <cellStyle name="TotRow - Opmaakprofiel4 2 16 8" xfId="2786"/>
    <cellStyle name="TotRow - Opmaakprofiel4 2 16 8 2" xfId="11722"/>
    <cellStyle name="TotRow - Opmaakprofiel4 2 16 8 2 2" xfId="24021"/>
    <cellStyle name="TotRow - Opmaakprofiel4 2 16 8 2 3" xfId="36073"/>
    <cellStyle name="TotRow - Opmaakprofiel4 2 16 8 2 4" xfId="46796"/>
    <cellStyle name="TotRow - Opmaakprofiel4 2 16 8 2 5" xfId="56687"/>
    <cellStyle name="TotRow - Opmaakprofiel4 2 16 8 3" xfId="18216"/>
    <cellStyle name="TotRow - Opmaakprofiel4 2 16 8 4" xfId="30268"/>
    <cellStyle name="TotRow - Opmaakprofiel4 2 16 8 5" xfId="37711"/>
    <cellStyle name="TotRow - Opmaakprofiel4 2 16 8 6" xfId="51056"/>
    <cellStyle name="TotRow - Opmaakprofiel4 2 16 9" xfId="3648"/>
    <cellStyle name="TotRow - Opmaakprofiel4 2 16 9 2" xfId="11723"/>
    <cellStyle name="TotRow - Opmaakprofiel4 2 16 9 2 2" xfId="24022"/>
    <cellStyle name="TotRow - Opmaakprofiel4 2 16 9 2 3" xfId="36074"/>
    <cellStyle name="TotRow - Opmaakprofiel4 2 16 9 2 4" xfId="46797"/>
    <cellStyle name="TotRow - Opmaakprofiel4 2 16 9 2 5" xfId="56688"/>
    <cellStyle name="TotRow - Opmaakprofiel4 2 16 9 3" xfId="18217"/>
    <cellStyle name="TotRow - Opmaakprofiel4 2 16 9 4" xfId="30269"/>
    <cellStyle name="TotRow - Opmaakprofiel4 2 16 9 5" xfId="44084"/>
    <cellStyle name="TotRow - Opmaakprofiel4 2 16 9 6" xfId="51057"/>
    <cellStyle name="TotRow - Opmaakprofiel4 2 17" xfId="796"/>
    <cellStyle name="TotRow - Opmaakprofiel4 2 17 10" xfId="6536"/>
    <cellStyle name="TotRow - Opmaakprofiel4 2 17 10 2" xfId="11724"/>
    <cellStyle name="TotRow - Opmaakprofiel4 2 17 10 2 2" xfId="24023"/>
    <cellStyle name="TotRow - Opmaakprofiel4 2 17 10 2 3" xfId="36075"/>
    <cellStyle name="TotRow - Opmaakprofiel4 2 17 10 2 4" xfId="46798"/>
    <cellStyle name="TotRow - Opmaakprofiel4 2 17 10 2 5" xfId="56689"/>
    <cellStyle name="TotRow - Opmaakprofiel4 2 17 10 3" xfId="18219"/>
    <cellStyle name="TotRow - Opmaakprofiel4 2 17 10 4" xfId="30271"/>
    <cellStyle name="TotRow - Opmaakprofiel4 2 17 10 5" xfId="37709"/>
    <cellStyle name="TotRow - Opmaakprofiel4 2 17 10 6" xfId="51058"/>
    <cellStyle name="TotRow - Opmaakprofiel4 2 17 11" xfId="6537"/>
    <cellStyle name="TotRow - Opmaakprofiel4 2 17 11 2" xfId="11725"/>
    <cellStyle name="TotRow - Opmaakprofiel4 2 17 11 2 2" xfId="24024"/>
    <cellStyle name="TotRow - Opmaakprofiel4 2 17 11 2 3" xfId="36076"/>
    <cellStyle name="TotRow - Opmaakprofiel4 2 17 11 2 4" xfId="46799"/>
    <cellStyle name="TotRow - Opmaakprofiel4 2 17 11 2 5" xfId="56690"/>
    <cellStyle name="TotRow - Opmaakprofiel4 2 17 11 3" xfId="18220"/>
    <cellStyle name="TotRow - Opmaakprofiel4 2 17 11 4" xfId="30272"/>
    <cellStyle name="TotRow - Opmaakprofiel4 2 17 11 5" xfId="37708"/>
    <cellStyle name="TotRow - Opmaakprofiel4 2 17 11 6" xfId="51059"/>
    <cellStyle name="TotRow - Opmaakprofiel4 2 17 12" xfId="6538"/>
    <cellStyle name="TotRow - Opmaakprofiel4 2 17 12 2" xfId="18221"/>
    <cellStyle name="TotRow - Opmaakprofiel4 2 17 12 3" xfId="30273"/>
    <cellStyle name="TotRow - Opmaakprofiel4 2 17 12 4" xfId="44082"/>
    <cellStyle name="TotRow - Opmaakprofiel4 2 17 12 5" xfId="51060"/>
    <cellStyle name="TotRow - Opmaakprofiel4 2 17 13" xfId="10140"/>
    <cellStyle name="TotRow - Opmaakprofiel4 2 17 13 2" xfId="22438"/>
    <cellStyle name="TotRow - Opmaakprofiel4 2 17 13 3" xfId="44202"/>
    <cellStyle name="TotRow - Opmaakprofiel4 2 17 13 4" xfId="42399"/>
    <cellStyle name="TotRow - Opmaakprofiel4 2 17 13 5" xfId="55105"/>
    <cellStyle name="TotRow - Opmaakprofiel4 2 17 14" xfId="18218"/>
    <cellStyle name="TotRow - Opmaakprofiel4 2 17 2" xfId="958"/>
    <cellStyle name="TotRow - Opmaakprofiel4 2 17 2 2" xfId="2306"/>
    <cellStyle name="TotRow - Opmaakprofiel4 2 17 2 2 2" xfId="11726"/>
    <cellStyle name="TotRow - Opmaakprofiel4 2 17 2 2 2 2" xfId="24025"/>
    <cellStyle name="TotRow - Opmaakprofiel4 2 17 2 2 2 3" xfId="36077"/>
    <cellStyle name="TotRow - Opmaakprofiel4 2 17 2 2 2 4" xfId="46800"/>
    <cellStyle name="TotRow - Opmaakprofiel4 2 17 2 2 2 5" xfId="56691"/>
    <cellStyle name="TotRow - Opmaakprofiel4 2 17 2 2 3" xfId="18223"/>
    <cellStyle name="TotRow - Opmaakprofiel4 2 17 2 2 4" xfId="30275"/>
    <cellStyle name="TotRow - Opmaakprofiel4 2 17 2 2 5" xfId="37706"/>
    <cellStyle name="TotRow - Opmaakprofiel4 2 17 2 2 6" xfId="51061"/>
    <cellStyle name="TotRow - Opmaakprofiel4 2 17 2 3" xfId="2969"/>
    <cellStyle name="TotRow - Opmaakprofiel4 2 17 2 3 2" xfId="11727"/>
    <cellStyle name="TotRow - Opmaakprofiel4 2 17 2 3 2 2" xfId="24026"/>
    <cellStyle name="TotRow - Opmaakprofiel4 2 17 2 3 2 3" xfId="36078"/>
    <cellStyle name="TotRow - Opmaakprofiel4 2 17 2 3 2 4" xfId="46801"/>
    <cellStyle name="TotRow - Opmaakprofiel4 2 17 2 3 2 5" xfId="56692"/>
    <cellStyle name="TotRow - Opmaakprofiel4 2 17 2 3 3" xfId="18224"/>
    <cellStyle name="TotRow - Opmaakprofiel4 2 17 2 3 4" xfId="30276"/>
    <cellStyle name="TotRow - Opmaakprofiel4 2 17 2 3 5" xfId="44081"/>
    <cellStyle name="TotRow - Opmaakprofiel4 2 17 2 3 6" xfId="51062"/>
    <cellStyle name="TotRow - Opmaakprofiel4 2 17 2 4" xfId="3815"/>
    <cellStyle name="TotRow - Opmaakprofiel4 2 17 2 4 2" xfId="11728"/>
    <cellStyle name="TotRow - Opmaakprofiel4 2 17 2 4 2 2" xfId="24027"/>
    <cellStyle name="TotRow - Opmaakprofiel4 2 17 2 4 2 3" xfId="36079"/>
    <cellStyle name="TotRow - Opmaakprofiel4 2 17 2 4 2 4" xfId="46802"/>
    <cellStyle name="TotRow - Opmaakprofiel4 2 17 2 4 2 5" xfId="56693"/>
    <cellStyle name="TotRow - Opmaakprofiel4 2 17 2 4 3" xfId="18225"/>
    <cellStyle name="TotRow - Opmaakprofiel4 2 17 2 4 4" xfId="30277"/>
    <cellStyle name="TotRow - Opmaakprofiel4 2 17 2 4 5" xfId="37705"/>
    <cellStyle name="TotRow - Opmaakprofiel4 2 17 2 4 6" xfId="51063"/>
    <cellStyle name="TotRow - Opmaakprofiel4 2 17 2 5" xfId="6539"/>
    <cellStyle name="TotRow - Opmaakprofiel4 2 17 2 5 2" xfId="11729"/>
    <cellStyle name="TotRow - Opmaakprofiel4 2 17 2 5 2 2" xfId="24028"/>
    <cellStyle name="TotRow - Opmaakprofiel4 2 17 2 5 2 3" xfId="36080"/>
    <cellStyle name="TotRow - Opmaakprofiel4 2 17 2 5 2 4" xfId="46803"/>
    <cellStyle name="TotRow - Opmaakprofiel4 2 17 2 5 2 5" xfId="56694"/>
    <cellStyle name="TotRow - Opmaakprofiel4 2 17 2 5 3" xfId="18226"/>
    <cellStyle name="TotRow - Opmaakprofiel4 2 17 2 5 4" xfId="30278"/>
    <cellStyle name="TotRow - Opmaakprofiel4 2 17 2 5 5" xfId="37704"/>
    <cellStyle name="TotRow - Opmaakprofiel4 2 17 2 5 6" xfId="51064"/>
    <cellStyle name="TotRow - Opmaakprofiel4 2 17 2 6" xfId="6540"/>
    <cellStyle name="TotRow - Opmaakprofiel4 2 17 2 6 2" xfId="11730"/>
    <cellStyle name="TotRow - Opmaakprofiel4 2 17 2 6 2 2" xfId="24029"/>
    <cellStyle name="TotRow - Opmaakprofiel4 2 17 2 6 2 3" xfId="36081"/>
    <cellStyle name="TotRow - Opmaakprofiel4 2 17 2 6 2 4" xfId="46804"/>
    <cellStyle name="TotRow - Opmaakprofiel4 2 17 2 6 2 5" xfId="56695"/>
    <cellStyle name="TotRow - Opmaakprofiel4 2 17 2 6 3" xfId="18227"/>
    <cellStyle name="TotRow - Opmaakprofiel4 2 17 2 6 4" xfId="30279"/>
    <cellStyle name="TotRow - Opmaakprofiel4 2 17 2 6 5" xfId="37703"/>
    <cellStyle name="TotRow - Opmaakprofiel4 2 17 2 6 6" xfId="51065"/>
    <cellStyle name="TotRow - Opmaakprofiel4 2 17 2 7" xfId="6541"/>
    <cellStyle name="TotRow - Opmaakprofiel4 2 17 2 7 2" xfId="18228"/>
    <cellStyle name="TotRow - Opmaakprofiel4 2 17 2 7 3" xfId="30280"/>
    <cellStyle name="TotRow - Opmaakprofiel4 2 17 2 7 4" xfId="44079"/>
    <cellStyle name="TotRow - Opmaakprofiel4 2 17 2 7 5" xfId="51066"/>
    <cellStyle name="TotRow - Opmaakprofiel4 2 17 2 8" xfId="10024"/>
    <cellStyle name="TotRow - Opmaakprofiel4 2 17 2 8 2" xfId="22322"/>
    <cellStyle name="TotRow - Opmaakprofiel4 2 17 2 8 3" xfId="44086"/>
    <cellStyle name="TotRow - Opmaakprofiel4 2 17 2 8 4" xfId="28455"/>
    <cellStyle name="TotRow - Opmaakprofiel4 2 17 2 8 5" xfId="54989"/>
    <cellStyle name="TotRow - Opmaakprofiel4 2 17 2 9" xfId="18222"/>
    <cellStyle name="TotRow - Opmaakprofiel4 2 17 3" xfId="1053"/>
    <cellStyle name="TotRow - Opmaakprofiel4 2 17 3 2" xfId="1894"/>
    <cellStyle name="TotRow - Opmaakprofiel4 2 17 3 2 2" xfId="11731"/>
    <cellStyle name="TotRow - Opmaakprofiel4 2 17 3 2 2 2" xfId="24030"/>
    <cellStyle name="TotRow - Opmaakprofiel4 2 17 3 2 2 3" xfId="36082"/>
    <cellStyle name="TotRow - Opmaakprofiel4 2 17 3 2 2 4" xfId="46805"/>
    <cellStyle name="TotRow - Opmaakprofiel4 2 17 3 2 2 5" xfId="56696"/>
    <cellStyle name="TotRow - Opmaakprofiel4 2 17 3 2 3" xfId="18230"/>
    <cellStyle name="TotRow - Opmaakprofiel4 2 17 3 2 4" xfId="30282"/>
    <cellStyle name="TotRow - Opmaakprofiel4 2 17 3 2 5" xfId="37701"/>
    <cellStyle name="TotRow - Opmaakprofiel4 2 17 3 2 6" xfId="51067"/>
    <cellStyle name="TotRow - Opmaakprofiel4 2 17 3 3" xfId="3064"/>
    <cellStyle name="TotRow - Opmaakprofiel4 2 17 3 3 2" xfId="11732"/>
    <cellStyle name="TotRow - Opmaakprofiel4 2 17 3 3 2 2" xfId="24031"/>
    <cellStyle name="TotRow - Opmaakprofiel4 2 17 3 3 2 3" xfId="36083"/>
    <cellStyle name="TotRow - Opmaakprofiel4 2 17 3 3 2 4" xfId="46806"/>
    <cellStyle name="TotRow - Opmaakprofiel4 2 17 3 3 2 5" xfId="56697"/>
    <cellStyle name="TotRow - Opmaakprofiel4 2 17 3 3 3" xfId="18231"/>
    <cellStyle name="TotRow - Opmaakprofiel4 2 17 3 3 4" xfId="30283"/>
    <cellStyle name="TotRow - Opmaakprofiel4 2 17 3 3 5" xfId="37700"/>
    <cellStyle name="TotRow - Opmaakprofiel4 2 17 3 3 6" xfId="51068"/>
    <cellStyle name="TotRow - Opmaakprofiel4 2 17 3 4" xfId="3905"/>
    <cellStyle name="TotRow - Opmaakprofiel4 2 17 3 4 2" xfId="11733"/>
    <cellStyle name="TotRow - Opmaakprofiel4 2 17 3 4 2 2" xfId="24032"/>
    <cellStyle name="TotRow - Opmaakprofiel4 2 17 3 4 2 3" xfId="36084"/>
    <cellStyle name="TotRow - Opmaakprofiel4 2 17 3 4 2 4" xfId="46807"/>
    <cellStyle name="TotRow - Opmaakprofiel4 2 17 3 4 2 5" xfId="56698"/>
    <cellStyle name="TotRow - Opmaakprofiel4 2 17 3 4 3" xfId="18232"/>
    <cellStyle name="TotRow - Opmaakprofiel4 2 17 3 4 4" xfId="30284"/>
    <cellStyle name="TotRow - Opmaakprofiel4 2 17 3 4 5" xfId="37699"/>
    <cellStyle name="TotRow - Opmaakprofiel4 2 17 3 4 6" xfId="51069"/>
    <cellStyle name="TotRow - Opmaakprofiel4 2 17 3 5" xfId="6542"/>
    <cellStyle name="TotRow - Opmaakprofiel4 2 17 3 5 2" xfId="11734"/>
    <cellStyle name="TotRow - Opmaakprofiel4 2 17 3 5 2 2" xfId="24033"/>
    <cellStyle name="TotRow - Opmaakprofiel4 2 17 3 5 2 3" xfId="36085"/>
    <cellStyle name="TotRow - Opmaakprofiel4 2 17 3 5 2 4" xfId="46808"/>
    <cellStyle name="TotRow - Opmaakprofiel4 2 17 3 5 2 5" xfId="56699"/>
    <cellStyle name="TotRow - Opmaakprofiel4 2 17 3 5 3" xfId="18233"/>
    <cellStyle name="TotRow - Opmaakprofiel4 2 17 3 5 4" xfId="30285"/>
    <cellStyle name="TotRow - Opmaakprofiel4 2 17 3 5 5" xfId="44076"/>
    <cellStyle name="TotRow - Opmaakprofiel4 2 17 3 5 6" xfId="51070"/>
    <cellStyle name="TotRow - Opmaakprofiel4 2 17 3 6" xfId="6543"/>
    <cellStyle name="TotRow - Opmaakprofiel4 2 17 3 6 2" xfId="11735"/>
    <cellStyle name="TotRow - Opmaakprofiel4 2 17 3 6 2 2" xfId="24034"/>
    <cellStyle name="TotRow - Opmaakprofiel4 2 17 3 6 2 3" xfId="36086"/>
    <cellStyle name="TotRow - Opmaakprofiel4 2 17 3 6 2 4" xfId="46809"/>
    <cellStyle name="TotRow - Opmaakprofiel4 2 17 3 6 2 5" xfId="56700"/>
    <cellStyle name="TotRow - Opmaakprofiel4 2 17 3 6 3" xfId="18234"/>
    <cellStyle name="TotRow - Opmaakprofiel4 2 17 3 6 4" xfId="30286"/>
    <cellStyle name="TotRow - Opmaakprofiel4 2 17 3 6 5" xfId="37698"/>
    <cellStyle name="TotRow - Opmaakprofiel4 2 17 3 6 6" xfId="51071"/>
    <cellStyle name="TotRow - Opmaakprofiel4 2 17 3 7" xfId="6544"/>
    <cellStyle name="TotRow - Opmaakprofiel4 2 17 3 7 2" xfId="18235"/>
    <cellStyle name="TotRow - Opmaakprofiel4 2 17 3 7 3" xfId="30287"/>
    <cellStyle name="TotRow - Opmaakprofiel4 2 17 3 7 4" xfId="37697"/>
    <cellStyle name="TotRow - Opmaakprofiel4 2 17 3 7 5" xfId="51072"/>
    <cellStyle name="TotRow - Opmaakprofiel4 2 17 3 8" xfId="7274"/>
    <cellStyle name="TotRow - Opmaakprofiel4 2 17 3 8 2" xfId="19572"/>
    <cellStyle name="TotRow - Opmaakprofiel4 2 17 3 8 3" xfId="41375"/>
    <cellStyle name="TotRow - Opmaakprofiel4 2 17 3 8 4" xfId="43577"/>
    <cellStyle name="TotRow - Opmaakprofiel4 2 17 3 8 5" xfId="52244"/>
    <cellStyle name="TotRow - Opmaakprofiel4 2 17 3 9" xfId="18229"/>
    <cellStyle name="TotRow - Opmaakprofiel4 2 17 4" xfId="520"/>
    <cellStyle name="TotRow - Opmaakprofiel4 2 17 4 2" xfId="2443"/>
    <cellStyle name="TotRow - Opmaakprofiel4 2 17 4 2 2" xfId="11736"/>
    <cellStyle name="TotRow - Opmaakprofiel4 2 17 4 2 2 2" xfId="24035"/>
    <cellStyle name="TotRow - Opmaakprofiel4 2 17 4 2 2 3" xfId="36087"/>
    <cellStyle name="TotRow - Opmaakprofiel4 2 17 4 2 2 4" xfId="46810"/>
    <cellStyle name="TotRow - Opmaakprofiel4 2 17 4 2 2 5" xfId="56701"/>
    <cellStyle name="TotRow - Opmaakprofiel4 2 17 4 2 3" xfId="18237"/>
    <cellStyle name="TotRow - Opmaakprofiel4 2 17 4 2 4" xfId="30289"/>
    <cellStyle name="TotRow - Opmaakprofiel4 2 17 4 2 5" xfId="37696"/>
    <cellStyle name="TotRow - Opmaakprofiel4 2 17 4 2 6" xfId="51073"/>
    <cellStyle name="TotRow - Opmaakprofiel4 2 17 4 3" xfId="2591"/>
    <cellStyle name="TotRow - Opmaakprofiel4 2 17 4 3 2" xfId="11737"/>
    <cellStyle name="TotRow - Opmaakprofiel4 2 17 4 3 2 2" xfId="24036"/>
    <cellStyle name="TotRow - Opmaakprofiel4 2 17 4 3 2 3" xfId="36088"/>
    <cellStyle name="TotRow - Opmaakprofiel4 2 17 4 3 2 4" xfId="46811"/>
    <cellStyle name="TotRow - Opmaakprofiel4 2 17 4 3 2 5" xfId="56702"/>
    <cellStyle name="TotRow - Opmaakprofiel4 2 17 4 3 3" xfId="18238"/>
    <cellStyle name="TotRow - Opmaakprofiel4 2 17 4 3 4" xfId="30290"/>
    <cellStyle name="TotRow - Opmaakprofiel4 2 17 4 3 5" xfId="37695"/>
    <cellStyle name="TotRow - Opmaakprofiel4 2 17 4 3 6" xfId="51074"/>
    <cellStyle name="TotRow - Opmaakprofiel4 2 17 4 4" xfId="3472"/>
    <cellStyle name="TotRow - Opmaakprofiel4 2 17 4 4 2" xfId="11738"/>
    <cellStyle name="TotRow - Opmaakprofiel4 2 17 4 4 2 2" xfId="24037"/>
    <cellStyle name="TotRow - Opmaakprofiel4 2 17 4 4 2 3" xfId="36089"/>
    <cellStyle name="TotRow - Opmaakprofiel4 2 17 4 4 2 4" xfId="46812"/>
    <cellStyle name="TotRow - Opmaakprofiel4 2 17 4 4 2 5" xfId="56703"/>
    <cellStyle name="TotRow - Opmaakprofiel4 2 17 4 4 3" xfId="18239"/>
    <cellStyle name="TotRow - Opmaakprofiel4 2 17 4 4 4" xfId="30291"/>
    <cellStyle name="TotRow - Opmaakprofiel4 2 17 4 4 5" xfId="37694"/>
    <cellStyle name="TotRow - Opmaakprofiel4 2 17 4 4 6" xfId="51075"/>
    <cellStyle name="TotRow - Opmaakprofiel4 2 17 4 5" xfId="6545"/>
    <cellStyle name="TotRow - Opmaakprofiel4 2 17 4 5 2" xfId="11739"/>
    <cellStyle name="TotRow - Opmaakprofiel4 2 17 4 5 2 2" xfId="24038"/>
    <cellStyle name="TotRow - Opmaakprofiel4 2 17 4 5 2 3" xfId="36090"/>
    <cellStyle name="TotRow - Opmaakprofiel4 2 17 4 5 2 4" xfId="46813"/>
    <cellStyle name="TotRow - Opmaakprofiel4 2 17 4 5 2 5" xfId="56704"/>
    <cellStyle name="TotRow - Opmaakprofiel4 2 17 4 5 3" xfId="18240"/>
    <cellStyle name="TotRow - Opmaakprofiel4 2 17 4 5 4" xfId="30292"/>
    <cellStyle name="TotRow - Opmaakprofiel4 2 17 4 5 5" xfId="44074"/>
    <cellStyle name="TotRow - Opmaakprofiel4 2 17 4 5 6" xfId="51076"/>
    <cellStyle name="TotRow - Opmaakprofiel4 2 17 4 6" xfId="6546"/>
    <cellStyle name="TotRow - Opmaakprofiel4 2 17 4 6 2" xfId="11740"/>
    <cellStyle name="TotRow - Opmaakprofiel4 2 17 4 6 2 2" xfId="24039"/>
    <cellStyle name="TotRow - Opmaakprofiel4 2 17 4 6 2 3" xfId="36091"/>
    <cellStyle name="TotRow - Opmaakprofiel4 2 17 4 6 2 4" xfId="46814"/>
    <cellStyle name="TotRow - Opmaakprofiel4 2 17 4 6 2 5" xfId="56705"/>
    <cellStyle name="TotRow - Opmaakprofiel4 2 17 4 6 3" xfId="18241"/>
    <cellStyle name="TotRow - Opmaakprofiel4 2 17 4 6 4" xfId="30293"/>
    <cellStyle name="TotRow - Opmaakprofiel4 2 17 4 6 5" xfId="37693"/>
    <cellStyle name="TotRow - Opmaakprofiel4 2 17 4 6 6" xfId="51077"/>
    <cellStyle name="TotRow - Opmaakprofiel4 2 17 4 7" xfId="6547"/>
    <cellStyle name="TotRow - Opmaakprofiel4 2 17 4 7 2" xfId="18242"/>
    <cellStyle name="TotRow - Opmaakprofiel4 2 17 4 7 3" xfId="30294"/>
    <cellStyle name="TotRow - Opmaakprofiel4 2 17 4 7 4" xfId="37692"/>
    <cellStyle name="TotRow - Opmaakprofiel4 2 17 4 7 5" xfId="51078"/>
    <cellStyle name="TotRow - Opmaakprofiel4 2 17 4 8" xfId="7636"/>
    <cellStyle name="TotRow - Opmaakprofiel4 2 17 4 8 2" xfId="19934"/>
    <cellStyle name="TotRow - Opmaakprofiel4 2 17 4 8 3" xfId="41737"/>
    <cellStyle name="TotRow - Opmaakprofiel4 2 17 4 8 4" xfId="43426"/>
    <cellStyle name="TotRow - Opmaakprofiel4 2 17 4 8 5" xfId="52606"/>
    <cellStyle name="TotRow - Opmaakprofiel4 2 17 4 9" xfId="18236"/>
    <cellStyle name="TotRow - Opmaakprofiel4 2 17 5" xfId="1223"/>
    <cellStyle name="TotRow - Opmaakprofiel4 2 17 5 2" xfId="1764"/>
    <cellStyle name="TotRow - Opmaakprofiel4 2 17 5 2 2" xfId="11741"/>
    <cellStyle name="TotRow - Opmaakprofiel4 2 17 5 2 2 2" xfId="24040"/>
    <cellStyle name="TotRow - Opmaakprofiel4 2 17 5 2 2 3" xfId="36092"/>
    <cellStyle name="TotRow - Opmaakprofiel4 2 17 5 2 2 4" xfId="46815"/>
    <cellStyle name="TotRow - Opmaakprofiel4 2 17 5 2 2 5" xfId="56706"/>
    <cellStyle name="TotRow - Opmaakprofiel4 2 17 5 2 3" xfId="18244"/>
    <cellStyle name="TotRow - Opmaakprofiel4 2 17 5 2 4" xfId="30296"/>
    <cellStyle name="TotRow - Opmaakprofiel4 2 17 5 2 5" xfId="37690"/>
    <cellStyle name="TotRow - Opmaakprofiel4 2 17 5 2 6" xfId="51079"/>
    <cellStyle name="TotRow - Opmaakprofiel4 2 17 5 3" xfId="3234"/>
    <cellStyle name="TotRow - Opmaakprofiel4 2 17 5 3 2" xfId="11742"/>
    <cellStyle name="TotRow - Opmaakprofiel4 2 17 5 3 2 2" xfId="24041"/>
    <cellStyle name="TotRow - Opmaakprofiel4 2 17 5 3 2 3" xfId="36093"/>
    <cellStyle name="TotRow - Opmaakprofiel4 2 17 5 3 2 4" xfId="46816"/>
    <cellStyle name="TotRow - Opmaakprofiel4 2 17 5 3 2 5" xfId="56707"/>
    <cellStyle name="TotRow - Opmaakprofiel4 2 17 5 3 3" xfId="18245"/>
    <cellStyle name="TotRow - Opmaakprofiel4 2 17 5 3 4" xfId="30297"/>
    <cellStyle name="TotRow - Opmaakprofiel4 2 17 5 3 5" xfId="44071"/>
    <cellStyle name="TotRow - Opmaakprofiel4 2 17 5 3 6" xfId="51080"/>
    <cellStyle name="TotRow - Opmaakprofiel4 2 17 5 4" xfId="4049"/>
    <cellStyle name="TotRow - Opmaakprofiel4 2 17 5 4 2" xfId="11743"/>
    <cellStyle name="TotRow - Opmaakprofiel4 2 17 5 4 2 2" xfId="24042"/>
    <cellStyle name="TotRow - Opmaakprofiel4 2 17 5 4 2 3" xfId="36094"/>
    <cellStyle name="TotRow - Opmaakprofiel4 2 17 5 4 2 4" xfId="46817"/>
    <cellStyle name="TotRow - Opmaakprofiel4 2 17 5 4 2 5" xfId="56708"/>
    <cellStyle name="TotRow - Opmaakprofiel4 2 17 5 4 3" xfId="18246"/>
    <cellStyle name="TotRow - Opmaakprofiel4 2 17 5 4 4" xfId="30298"/>
    <cellStyle name="TotRow - Opmaakprofiel4 2 17 5 4 5" xfId="37689"/>
    <cellStyle name="TotRow - Opmaakprofiel4 2 17 5 4 6" xfId="51081"/>
    <cellStyle name="TotRow - Opmaakprofiel4 2 17 5 5" xfId="6548"/>
    <cellStyle name="TotRow - Opmaakprofiel4 2 17 5 5 2" xfId="11744"/>
    <cellStyle name="TotRow - Opmaakprofiel4 2 17 5 5 2 2" xfId="24043"/>
    <cellStyle name="TotRow - Opmaakprofiel4 2 17 5 5 2 3" xfId="36095"/>
    <cellStyle name="TotRow - Opmaakprofiel4 2 17 5 5 2 4" xfId="46818"/>
    <cellStyle name="TotRow - Opmaakprofiel4 2 17 5 5 2 5" xfId="56709"/>
    <cellStyle name="TotRow - Opmaakprofiel4 2 17 5 5 3" xfId="18247"/>
    <cellStyle name="TotRow - Opmaakprofiel4 2 17 5 5 4" xfId="30299"/>
    <cellStyle name="TotRow - Opmaakprofiel4 2 17 5 5 5" xfId="37688"/>
    <cellStyle name="TotRow - Opmaakprofiel4 2 17 5 5 6" xfId="51082"/>
    <cellStyle name="TotRow - Opmaakprofiel4 2 17 5 6" xfId="6549"/>
    <cellStyle name="TotRow - Opmaakprofiel4 2 17 5 6 2" xfId="11745"/>
    <cellStyle name="TotRow - Opmaakprofiel4 2 17 5 6 2 2" xfId="24044"/>
    <cellStyle name="TotRow - Opmaakprofiel4 2 17 5 6 2 3" xfId="36096"/>
    <cellStyle name="TotRow - Opmaakprofiel4 2 17 5 6 2 4" xfId="46819"/>
    <cellStyle name="TotRow - Opmaakprofiel4 2 17 5 6 2 5" xfId="56710"/>
    <cellStyle name="TotRow - Opmaakprofiel4 2 17 5 6 3" xfId="18248"/>
    <cellStyle name="TotRow - Opmaakprofiel4 2 17 5 6 4" xfId="30300"/>
    <cellStyle name="TotRow - Opmaakprofiel4 2 17 5 6 5" xfId="44070"/>
    <cellStyle name="TotRow - Opmaakprofiel4 2 17 5 6 6" xfId="51083"/>
    <cellStyle name="TotRow - Opmaakprofiel4 2 17 5 7" xfId="6550"/>
    <cellStyle name="TotRow - Opmaakprofiel4 2 17 5 7 2" xfId="18249"/>
    <cellStyle name="TotRow - Opmaakprofiel4 2 17 5 7 3" xfId="30301"/>
    <cellStyle name="TotRow - Opmaakprofiel4 2 17 5 7 4" xfId="37687"/>
    <cellStyle name="TotRow - Opmaakprofiel4 2 17 5 7 5" xfId="51084"/>
    <cellStyle name="TotRow - Opmaakprofiel4 2 17 5 8" xfId="7151"/>
    <cellStyle name="TotRow - Opmaakprofiel4 2 17 5 8 2" xfId="19449"/>
    <cellStyle name="TotRow - Opmaakprofiel4 2 17 5 8 3" xfId="41252"/>
    <cellStyle name="TotRow - Opmaakprofiel4 2 17 5 8 4" xfId="36946"/>
    <cellStyle name="TotRow - Opmaakprofiel4 2 17 5 8 5" xfId="52121"/>
    <cellStyle name="TotRow - Opmaakprofiel4 2 17 5 9" xfId="18243"/>
    <cellStyle name="TotRow - Opmaakprofiel4 2 17 6" xfId="480"/>
    <cellStyle name="TotRow - Opmaakprofiel4 2 17 6 2" xfId="2310"/>
    <cellStyle name="TotRow - Opmaakprofiel4 2 17 6 2 2" xfId="11746"/>
    <cellStyle name="TotRow - Opmaakprofiel4 2 17 6 2 2 2" xfId="24045"/>
    <cellStyle name="TotRow - Opmaakprofiel4 2 17 6 2 2 3" xfId="36097"/>
    <cellStyle name="TotRow - Opmaakprofiel4 2 17 6 2 2 4" xfId="46820"/>
    <cellStyle name="TotRow - Opmaakprofiel4 2 17 6 2 2 5" xfId="56711"/>
    <cellStyle name="TotRow - Opmaakprofiel4 2 17 6 2 3" xfId="18251"/>
    <cellStyle name="TotRow - Opmaakprofiel4 2 17 6 2 4" xfId="30303"/>
    <cellStyle name="TotRow - Opmaakprofiel4 2 17 6 2 5" xfId="37685"/>
    <cellStyle name="TotRow - Opmaakprofiel4 2 17 6 2 6" xfId="51085"/>
    <cellStyle name="TotRow - Opmaakprofiel4 2 17 6 3" xfId="2551"/>
    <cellStyle name="TotRow - Opmaakprofiel4 2 17 6 3 2" xfId="11747"/>
    <cellStyle name="TotRow - Opmaakprofiel4 2 17 6 3 2 2" xfId="24046"/>
    <cellStyle name="TotRow - Opmaakprofiel4 2 17 6 3 2 3" xfId="36098"/>
    <cellStyle name="TotRow - Opmaakprofiel4 2 17 6 3 2 4" xfId="46821"/>
    <cellStyle name="TotRow - Opmaakprofiel4 2 17 6 3 2 5" xfId="56712"/>
    <cellStyle name="TotRow - Opmaakprofiel4 2 17 6 3 3" xfId="18252"/>
    <cellStyle name="TotRow - Opmaakprofiel4 2 17 6 3 4" xfId="30304"/>
    <cellStyle name="TotRow - Opmaakprofiel4 2 17 6 3 5" xfId="44068"/>
    <cellStyle name="TotRow - Opmaakprofiel4 2 17 6 3 6" xfId="51086"/>
    <cellStyle name="TotRow - Opmaakprofiel4 2 17 6 4" xfId="3436"/>
    <cellStyle name="TotRow - Opmaakprofiel4 2 17 6 4 2" xfId="11748"/>
    <cellStyle name="TotRow - Opmaakprofiel4 2 17 6 4 2 2" xfId="24047"/>
    <cellStyle name="TotRow - Opmaakprofiel4 2 17 6 4 2 3" xfId="36099"/>
    <cellStyle name="TotRow - Opmaakprofiel4 2 17 6 4 2 4" xfId="46822"/>
    <cellStyle name="TotRow - Opmaakprofiel4 2 17 6 4 2 5" xfId="56713"/>
    <cellStyle name="TotRow - Opmaakprofiel4 2 17 6 4 3" xfId="18253"/>
    <cellStyle name="TotRow - Opmaakprofiel4 2 17 6 4 4" xfId="30305"/>
    <cellStyle name="TotRow - Opmaakprofiel4 2 17 6 4 5" xfId="37684"/>
    <cellStyle name="TotRow - Opmaakprofiel4 2 17 6 4 6" xfId="51087"/>
    <cellStyle name="TotRow - Opmaakprofiel4 2 17 6 5" xfId="6551"/>
    <cellStyle name="TotRow - Opmaakprofiel4 2 17 6 5 2" xfId="11749"/>
    <cellStyle name="TotRow - Opmaakprofiel4 2 17 6 5 2 2" xfId="24048"/>
    <cellStyle name="TotRow - Opmaakprofiel4 2 17 6 5 2 3" xfId="36100"/>
    <cellStyle name="TotRow - Opmaakprofiel4 2 17 6 5 2 4" xfId="46823"/>
    <cellStyle name="TotRow - Opmaakprofiel4 2 17 6 5 2 5" xfId="56714"/>
    <cellStyle name="TotRow - Opmaakprofiel4 2 17 6 5 3" xfId="18254"/>
    <cellStyle name="TotRow - Opmaakprofiel4 2 17 6 5 4" xfId="30306"/>
    <cellStyle name="TotRow - Opmaakprofiel4 2 17 6 5 5" xfId="37683"/>
    <cellStyle name="TotRow - Opmaakprofiel4 2 17 6 5 6" xfId="51088"/>
    <cellStyle name="TotRow - Opmaakprofiel4 2 17 6 6" xfId="6552"/>
    <cellStyle name="TotRow - Opmaakprofiel4 2 17 6 6 2" xfId="11750"/>
    <cellStyle name="TotRow - Opmaakprofiel4 2 17 6 6 2 2" xfId="24049"/>
    <cellStyle name="TotRow - Opmaakprofiel4 2 17 6 6 2 3" xfId="36101"/>
    <cellStyle name="TotRow - Opmaakprofiel4 2 17 6 6 2 4" xfId="46824"/>
    <cellStyle name="TotRow - Opmaakprofiel4 2 17 6 6 2 5" xfId="56715"/>
    <cellStyle name="TotRow - Opmaakprofiel4 2 17 6 6 3" xfId="18255"/>
    <cellStyle name="TotRow - Opmaakprofiel4 2 17 6 6 4" xfId="30307"/>
    <cellStyle name="TotRow - Opmaakprofiel4 2 17 6 6 5" xfId="37682"/>
    <cellStyle name="TotRow - Opmaakprofiel4 2 17 6 6 6" xfId="51089"/>
    <cellStyle name="TotRow - Opmaakprofiel4 2 17 6 7" xfId="6553"/>
    <cellStyle name="TotRow - Opmaakprofiel4 2 17 6 7 2" xfId="18256"/>
    <cellStyle name="TotRow - Opmaakprofiel4 2 17 6 7 3" xfId="30308"/>
    <cellStyle name="TotRow - Opmaakprofiel4 2 17 6 7 4" xfId="37681"/>
    <cellStyle name="TotRow - Opmaakprofiel4 2 17 6 7 5" xfId="51090"/>
    <cellStyle name="TotRow - Opmaakprofiel4 2 17 6 8" xfId="10353"/>
    <cellStyle name="TotRow - Opmaakprofiel4 2 17 6 8 2" xfId="22651"/>
    <cellStyle name="TotRow - Opmaakprofiel4 2 17 6 8 3" xfId="44411"/>
    <cellStyle name="TotRow - Opmaakprofiel4 2 17 6 8 4" xfId="31742"/>
    <cellStyle name="TotRow - Opmaakprofiel4 2 17 6 8 5" xfId="55318"/>
    <cellStyle name="TotRow - Opmaakprofiel4 2 17 6 9" xfId="18250"/>
    <cellStyle name="TotRow - Opmaakprofiel4 2 17 7" xfId="1464"/>
    <cellStyle name="TotRow - Opmaakprofiel4 2 17 7 2" xfId="11751"/>
    <cellStyle name="TotRow - Opmaakprofiel4 2 17 7 2 2" xfId="24050"/>
    <cellStyle name="TotRow - Opmaakprofiel4 2 17 7 2 3" xfId="36102"/>
    <cellStyle name="TotRow - Opmaakprofiel4 2 17 7 2 4" xfId="46825"/>
    <cellStyle name="TotRow - Opmaakprofiel4 2 17 7 2 5" xfId="56716"/>
    <cellStyle name="TotRow - Opmaakprofiel4 2 17 7 3" xfId="18257"/>
    <cellStyle name="TotRow - Opmaakprofiel4 2 17 7 4" xfId="30309"/>
    <cellStyle name="TotRow - Opmaakprofiel4 2 17 7 5" xfId="37680"/>
    <cellStyle name="TotRow - Opmaakprofiel4 2 17 7 6" xfId="51091"/>
    <cellStyle name="TotRow - Opmaakprofiel4 2 17 8" xfId="2820"/>
    <cellStyle name="TotRow - Opmaakprofiel4 2 17 8 2" xfId="11752"/>
    <cellStyle name="TotRow - Opmaakprofiel4 2 17 8 2 2" xfId="24051"/>
    <cellStyle name="TotRow - Opmaakprofiel4 2 17 8 2 3" xfId="36103"/>
    <cellStyle name="TotRow - Opmaakprofiel4 2 17 8 2 4" xfId="46826"/>
    <cellStyle name="TotRow - Opmaakprofiel4 2 17 8 2 5" xfId="56717"/>
    <cellStyle name="TotRow - Opmaakprofiel4 2 17 8 3" xfId="18258"/>
    <cellStyle name="TotRow - Opmaakprofiel4 2 17 8 4" xfId="30310"/>
    <cellStyle name="TotRow - Opmaakprofiel4 2 17 8 5" xfId="44064"/>
    <cellStyle name="TotRow - Opmaakprofiel4 2 17 8 6" xfId="51092"/>
    <cellStyle name="TotRow - Opmaakprofiel4 2 17 9" xfId="3679"/>
    <cellStyle name="TotRow - Opmaakprofiel4 2 17 9 2" xfId="11753"/>
    <cellStyle name="TotRow - Opmaakprofiel4 2 17 9 2 2" xfId="24052"/>
    <cellStyle name="TotRow - Opmaakprofiel4 2 17 9 2 3" xfId="36104"/>
    <cellStyle name="TotRow - Opmaakprofiel4 2 17 9 2 4" xfId="46827"/>
    <cellStyle name="TotRow - Opmaakprofiel4 2 17 9 2 5" xfId="56718"/>
    <cellStyle name="TotRow - Opmaakprofiel4 2 17 9 3" xfId="18259"/>
    <cellStyle name="TotRow - Opmaakprofiel4 2 17 9 4" xfId="30311"/>
    <cellStyle name="TotRow - Opmaakprofiel4 2 17 9 5" xfId="37679"/>
    <cellStyle name="TotRow - Opmaakprofiel4 2 17 9 6" xfId="51093"/>
    <cellStyle name="TotRow - Opmaakprofiel4 2 18" xfId="807"/>
    <cellStyle name="TotRow - Opmaakprofiel4 2 18 10" xfId="6554"/>
    <cellStyle name="TotRow - Opmaakprofiel4 2 18 10 2" xfId="11754"/>
    <cellStyle name="TotRow - Opmaakprofiel4 2 18 10 2 2" xfId="24053"/>
    <cellStyle name="TotRow - Opmaakprofiel4 2 18 10 2 3" xfId="36105"/>
    <cellStyle name="TotRow - Opmaakprofiel4 2 18 10 2 4" xfId="46828"/>
    <cellStyle name="TotRow - Opmaakprofiel4 2 18 10 2 5" xfId="56719"/>
    <cellStyle name="TotRow - Opmaakprofiel4 2 18 10 3" xfId="18261"/>
    <cellStyle name="TotRow - Opmaakprofiel4 2 18 10 4" xfId="30313"/>
    <cellStyle name="TotRow - Opmaakprofiel4 2 18 10 5" xfId="37678"/>
    <cellStyle name="TotRow - Opmaakprofiel4 2 18 10 6" xfId="51094"/>
    <cellStyle name="TotRow - Opmaakprofiel4 2 18 11" xfId="6555"/>
    <cellStyle name="TotRow - Opmaakprofiel4 2 18 11 2" xfId="11755"/>
    <cellStyle name="TotRow - Opmaakprofiel4 2 18 11 2 2" xfId="24054"/>
    <cellStyle name="TotRow - Opmaakprofiel4 2 18 11 2 3" xfId="36106"/>
    <cellStyle name="TotRow - Opmaakprofiel4 2 18 11 2 4" xfId="46829"/>
    <cellStyle name="TotRow - Opmaakprofiel4 2 18 11 2 5" xfId="56720"/>
    <cellStyle name="TotRow - Opmaakprofiel4 2 18 11 3" xfId="18262"/>
    <cellStyle name="TotRow - Opmaakprofiel4 2 18 11 4" xfId="30314"/>
    <cellStyle name="TotRow - Opmaakprofiel4 2 18 11 5" xfId="44062"/>
    <cellStyle name="TotRow - Opmaakprofiel4 2 18 11 6" xfId="51095"/>
    <cellStyle name="TotRow - Opmaakprofiel4 2 18 12" xfId="6556"/>
    <cellStyle name="TotRow - Opmaakprofiel4 2 18 12 2" xfId="18263"/>
    <cellStyle name="TotRow - Opmaakprofiel4 2 18 12 3" xfId="30315"/>
    <cellStyle name="TotRow - Opmaakprofiel4 2 18 12 4" xfId="37677"/>
    <cellStyle name="TotRow - Opmaakprofiel4 2 18 12 5" xfId="51096"/>
    <cellStyle name="TotRow - Opmaakprofiel4 2 18 13" xfId="10133"/>
    <cellStyle name="TotRow - Opmaakprofiel4 2 18 13 2" xfId="22431"/>
    <cellStyle name="TotRow - Opmaakprofiel4 2 18 13 3" xfId="44195"/>
    <cellStyle name="TotRow - Opmaakprofiel4 2 18 13 4" xfId="31494"/>
    <cellStyle name="TotRow - Opmaakprofiel4 2 18 13 5" xfId="55098"/>
    <cellStyle name="TotRow - Opmaakprofiel4 2 18 14" xfId="18260"/>
    <cellStyle name="TotRow - Opmaakprofiel4 2 18 2" xfId="967"/>
    <cellStyle name="TotRow - Opmaakprofiel4 2 18 2 2" xfId="2117"/>
    <cellStyle name="TotRow - Opmaakprofiel4 2 18 2 2 2" xfId="11756"/>
    <cellStyle name="TotRow - Opmaakprofiel4 2 18 2 2 2 2" xfId="24055"/>
    <cellStyle name="TotRow - Opmaakprofiel4 2 18 2 2 2 3" xfId="36107"/>
    <cellStyle name="TotRow - Opmaakprofiel4 2 18 2 2 2 4" xfId="46830"/>
    <cellStyle name="TotRow - Opmaakprofiel4 2 18 2 2 2 5" xfId="56721"/>
    <cellStyle name="TotRow - Opmaakprofiel4 2 18 2 2 3" xfId="18265"/>
    <cellStyle name="TotRow - Opmaakprofiel4 2 18 2 2 4" xfId="30317"/>
    <cellStyle name="TotRow - Opmaakprofiel4 2 18 2 2 5" xfId="41893"/>
    <cellStyle name="TotRow - Opmaakprofiel4 2 18 2 2 6" xfId="51097"/>
    <cellStyle name="TotRow - Opmaakprofiel4 2 18 2 3" xfId="2978"/>
    <cellStyle name="TotRow - Opmaakprofiel4 2 18 2 3 2" xfId="11757"/>
    <cellStyle name="TotRow - Opmaakprofiel4 2 18 2 3 2 2" xfId="24056"/>
    <cellStyle name="TotRow - Opmaakprofiel4 2 18 2 3 2 3" xfId="36108"/>
    <cellStyle name="TotRow - Opmaakprofiel4 2 18 2 3 2 4" xfId="46831"/>
    <cellStyle name="TotRow - Opmaakprofiel4 2 18 2 3 2 5" xfId="56722"/>
    <cellStyle name="TotRow - Opmaakprofiel4 2 18 2 3 3" xfId="18266"/>
    <cellStyle name="TotRow - Opmaakprofiel4 2 18 2 3 4" xfId="30318"/>
    <cellStyle name="TotRow - Opmaakprofiel4 2 18 2 3 5" xfId="37675"/>
    <cellStyle name="TotRow - Opmaakprofiel4 2 18 2 3 6" xfId="51098"/>
    <cellStyle name="TotRow - Opmaakprofiel4 2 18 2 4" xfId="3824"/>
    <cellStyle name="TotRow - Opmaakprofiel4 2 18 2 4 2" xfId="11758"/>
    <cellStyle name="TotRow - Opmaakprofiel4 2 18 2 4 2 2" xfId="24057"/>
    <cellStyle name="TotRow - Opmaakprofiel4 2 18 2 4 2 3" xfId="36109"/>
    <cellStyle name="TotRow - Opmaakprofiel4 2 18 2 4 2 4" xfId="46832"/>
    <cellStyle name="TotRow - Opmaakprofiel4 2 18 2 4 2 5" xfId="56723"/>
    <cellStyle name="TotRow - Opmaakprofiel4 2 18 2 4 3" xfId="18267"/>
    <cellStyle name="TotRow - Opmaakprofiel4 2 18 2 4 4" xfId="30319"/>
    <cellStyle name="TotRow - Opmaakprofiel4 2 18 2 4 5" xfId="44060"/>
    <cellStyle name="TotRow - Opmaakprofiel4 2 18 2 4 6" xfId="51099"/>
    <cellStyle name="TotRow - Opmaakprofiel4 2 18 2 5" xfId="6557"/>
    <cellStyle name="TotRow - Opmaakprofiel4 2 18 2 5 2" xfId="11759"/>
    <cellStyle name="TotRow - Opmaakprofiel4 2 18 2 5 2 2" xfId="24058"/>
    <cellStyle name="TotRow - Opmaakprofiel4 2 18 2 5 2 3" xfId="36110"/>
    <cellStyle name="TotRow - Opmaakprofiel4 2 18 2 5 2 4" xfId="46833"/>
    <cellStyle name="TotRow - Opmaakprofiel4 2 18 2 5 2 5" xfId="56724"/>
    <cellStyle name="TotRow - Opmaakprofiel4 2 18 2 5 3" xfId="18268"/>
    <cellStyle name="TotRow - Opmaakprofiel4 2 18 2 5 4" xfId="30320"/>
    <cellStyle name="TotRow - Opmaakprofiel4 2 18 2 5 5" xfId="37674"/>
    <cellStyle name="TotRow - Opmaakprofiel4 2 18 2 5 6" xfId="51100"/>
    <cellStyle name="TotRow - Opmaakprofiel4 2 18 2 6" xfId="6558"/>
    <cellStyle name="TotRow - Opmaakprofiel4 2 18 2 6 2" xfId="11760"/>
    <cellStyle name="TotRow - Opmaakprofiel4 2 18 2 6 2 2" xfId="24059"/>
    <cellStyle name="TotRow - Opmaakprofiel4 2 18 2 6 2 3" xfId="36111"/>
    <cellStyle name="TotRow - Opmaakprofiel4 2 18 2 6 2 4" xfId="46834"/>
    <cellStyle name="TotRow - Opmaakprofiel4 2 18 2 6 2 5" xfId="56725"/>
    <cellStyle name="TotRow - Opmaakprofiel4 2 18 2 6 3" xfId="18269"/>
    <cellStyle name="TotRow - Opmaakprofiel4 2 18 2 6 4" xfId="30321"/>
    <cellStyle name="TotRow - Opmaakprofiel4 2 18 2 6 5" xfId="44059"/>
    <cellStyle name="TotRow - Opmaakprofiel4 2 18 2 6 6" xfId="51101"/>
    <cellStyle name="TotRow - Opmaakprofiel4 2 18 2 7" xfId="6559"/>
    <cellStyle name="TotRow - Opmaakprofiel4 2 18 2 7 2" xfId="18270"/>
    <cellStyle name="TotRow - Opmaakprofiel4 2 18 2 7 3" xfId="30322"/>
    <cellStyle name="TotRow - Opmaakprofiel4 2 18 2 7 4" xfId="37673"/>
    <cellStyle name="TotRow - Opmaakprofiel4 2 18 2 7 5" xfId="51102"/>
    <cellStyle name="TotRow - Opmaakprofiel4 2 18 2 8" xfId="7334"/>
    <cellStyle name="TotRow - Opmaakprofiel4 2 18 2 8 2" xfId="19632"/>
    <cellStyle name="TotRow - Opmaakprofiel4 2 18 2 8 3" xfId="41435"/>
    <cellStyle name="TotRow - Opmaakprofiel4 2 18 2 8 4" xfId="43552"/>
    <cellStyle name="TotRow - Opmaakprofiel4 2 18 2 8 5" xfId="52304"/>
    <cellStyle name="TotRow - Opmaakprofiel4 2 18 2 9" xfId="18264"/>
    <cellStyle name="TotRow - Opmaakprofiel4 2 18 3" xfId="1062"/>
    <cellStyle name="TotRow - Opmaakprofiel4 2 18 3 2" xfId="2242"/>
    <cellStyle name="TotRow - Opmaakprofiel4 2 18 3 2 2" xfId="11761"/>
    <cellStyle name="TotRow - Opmaakprofiel4 2 18 3 2 2 2" xfId="24060"/>
    <cellStyle name="TotRow - Opmaakprofiel4 2 18 3 2 2 3" xfId="36112"/>
    <cellStyle name="TotRow - Opmaakprofiel4 2 18 3 2 2 4" xfId="46835"/>
    <cellStyle name="TotRow - Opmaakprofiel4 2 18 3 2 2 5" xfId="56726"/>
    <cellStyle name="TotRow - Opmaakprofiel4 2 18 3 2 3" xfId="18272"/>
    <cellStyle name="TotRow - Opmaakprofiel4 2 18 3 2 4" xfId="30324"/>
    <cellStyle name="TotRow - Opmaakprofiel4 2 18 3 2 5" xfId="37672"/>
    <cellStyle name="TotRow - Opmaakprofiel4 2 18 3 2 6" xfId="51103"/>
    <cellStyle name="TotRow - Opmaakprofiel4 2 18 3 3" xfId="3073"/>
    <cellStyle name="TotRow - Opmaakprofiel4 2 18 3 3 2" xfId="11762"/>
    <cellStyle name="TotRow - Opmaakprofiel4 2 18 3 3 2 2" xfId="24061"/>
    <cellStyle name="TotRow - Opmaakprofiel4 2 18 3 3 2 3" xfId="36113"/>
    <cellStyle name="TotRow - Opmaakprofiel4 2 18 3 3 2 4" xfId="46836"/>
    <cellStyle name="TotRow - Opmaakprofiel4 2 18 3 3 2 5" xfId="56727"/>
    <cellStyle name="TotRow - Opmaakprofiel4 2 18 3 3 3" xfId="18273"/>
    <cellStyle name="TotRow - Opmaakprofiel4 2 18 3 3 4" xfId="30325"/>
    <cellStyle name="TotRow - Opmaakprofiel4 2 18 3 3 5" xfId="44057"/>
    <cellStyle name="TotRow - Opmaakprofiel4 2 18 3 3 6" xfId="51104"/>
    <cellStyle name="TotRow - Opmaakprofiel4 2 18 3 4" xfId="3912"/>
    <cellStyle name="TotRow - Opmaakprofiel4 2 18 3 4 2" xfId="11763"/>
    <cellStyle name="TotRow - Opmaakprofiel4 2 18 3 4 2 2" xfId="24062"/>
    <cellStyle name="TotRow - Opmaakprofiel4 2 18 3 4 2 3" xfId="36114"/>
    <cellStyle name="TotRow - Opmaakprofiel4 2 18 3 4 2 4" xfId="46837"/>
    <cellStyle name="TotRow - Opmaakprofiel4 2 18 3 4 2 5" xfId="56728"/>
    <cellStyle name="TotRow - Opmaakprofiel4 2 18 3 4 3" xfId="18274"/>
    <cellStyle name="TotRow - Opmaakprofiel4 2 18 3 4 4" xfId="30326"/>
    <cellStyle name="TotRow - Opmaakprofiel4 2 18 3 4 5" xfId="37671"/>
    <cellStyle name="TotRow - Opmaakprofiel4 2 18 3 4 6" xfId="51105"/>
    <cellStyle name="TotRow - Opmaakprofiel4 2 18 3 5" xfId="6560"/>
    <cellStyle name="TotRow - Opmaakprofiel4 2 18 3 5 2" xfId="11764"/>
    <cellStyle name="TotRow - Opmaakprofiel4 2 18 3 5 2 2" xfId="24063"/>
    <cellStyle name="TotRow - Opmaakprofiel4 2 18 3 5 2 3" xfId="36115"/>
    <cellStyle name="TotRow - Opmaakprofiel4 2 18 3 5 2 4" xfId="46838"/>
    <cellStyle name="TotRow - Opmaakprofiel4 2 18 3 5 2 5" xfId="56729"/>
    <cellStyle name="TotRow - Opmaakprofiel4 2 18 3 5 3" xfId="18275"/>
    <cellStyle name="TotRow - Opmaakprofiel4 2 18 3 5 4" xfId="30327"/>
    <cellStyle name="TotRow - Opmaakprofiel4 2 18 3 5 5" xfId="37670"/>
    <cellStyle name="TotRow - Opmaakprofiel4 2 18 3 5 6" xfId="51106"/>
    <cellStyle name="TotRow - Opmaakprofiel4 2 18 3 6" xfId="6561"/>
    <cellStyle name="TotRow - Opmaakprofiel4 2 18 3 6 2" xfId="11765"/>
    <cellStyle name="TotRow - Opmaakprofiel4 2 18 3 6 2 2" xfId="24064"/>
    <cellStyle name="TotRow - Opmaakprofiel4 2 18 3 6 2 3" xfId="36116"/>
    <cellStyle name="TotRow - Opmaakprofiel4 2 18 3 6 2 4" xfId="46839"/>
    <cellStyle name="TotRow - Opmaakprofiel4 2 18 3 6 2 5" xfId="56730"/>
    <cellStyle name="TotRow - Opmaakprofiel4 2 18 3 6 3" xfId="18276"/>
    <cellStyle name="TotRow - Opmaakprofiel4 2 18 3 6 4" xfId="30328"/>
    <cellStyle name="TotRow - Opmaakprofiel4 2 18 3 6 5" xfId="41894"/>
    <cellStyle name="TotRow - Opmaakprofiel4 2 18 3 6 6" xfId="51107"/>
    <cellStyle name="TotRow - Opmaakprofiel4 2 18 3 7" xfId="6562"/>
    <cellStyle name="TotRow - Opmaakprofiel4 2 18 3 7 2" xfId="18277"/>
    <cellStyle name="TotRow - Opmaakprofiel4 2 18 3 7 3" xfId="30329"/>
    <cellStyle name="TotRow - Opmaakprofiel4 2 18 3 7 4" xfId="37669"/>
    <cellStyle name="TotRow - Opmaakprofiel4 2 18 3 7 5" xfId="51108"/>
    <cellStyle name="TotRow - Opmaakprofiel4 2 18 3 8" xfId="9956"/>
    <cellStyle name="TotRow - Opmaakprofiel4 2 18 3 8 2" xfId="22254"/>
    <cellStyle name="TotRow - Opmaakprofiel4 2 18 3 8 3" xfId="44019"/>
    <cellStyle name="TotRow - Opmaakprofiel4 2 18 3 8 4" xfId="42476"/>
    <cellStyle name="TotRow - Opmaakprofiel4 2 18 3 8 5" xfId="54921"/>
    <cellStyle name="TotRow - Opmaakprofiel4 2 18 3 9" xfId="18271"/>
    <cellStyle name="TotRow - Opmaakprofiel4 2 18 4" xfId="845"/>
    <cellStyle name="TotRow - Opmaakprofiel4 2 18 4 2" xfId="1450"/>
    <cellStyle name="TotRow - Opmaakprofiel4 2 18 4 2 2" xfId="11766"/>
    <cellStyle name="TotRow - Opmaakprofiel4 2 18 4 2 2 2" xfId="24065"/>
    <cellStyle name="TotRow - Opmaakprofiel4 2 18 4 2 2 3" xfId="36117"/>
    <cellStyle name="TotRow - Opmaakprofiel4 2 18 4 2 2 4" xfId="46840"/>
    <cellStyle name="TotRow - Opmaakprofiel4 2 18 4 2 2 5" xfId="56731"/>
    <cellStyle name="TotRow - Opmaakprofiel4 2 18 4 2 3" xfId="18279"/>
    <cellStyle name="TotRow - Opmaakprofiel4 2 18 4 2 4" xfId="30331"/>
    <cellStyle name="TotRow - Opmaakprofiel4 2 18 4 2 5" xfId="37668"/>
    <cellStyle name="TotRow - Opmaakprofiel4 2 18 4 2 6" xfId="51109"/>
    <cellStyle name="TotRow - Opmaakprofiel4 2 18 4 3" xfId="2856"/>
    <cellStyle name="TotRow - Opmaakprofiel4 2 18 4 3 2" xfId="11767"/>
    <cellStyle name="TotRow - Opmaakprofiel4 2 18 4 3 2 2" xfId="24066"/>
    <cellStyle name="TotRow - Opmaakprofiel4 2 18 4 3 2 3" xfId="36118"/>
    <cellStyle name="TotRow - Opmaakprofiel4 2 18 4 3 2 4" xfId="46841"/>
    <cellStyle name="TotRow - Opmaakprofiel4 2 18 4 3 2 5" xfId="56732"/>
    <cellStyle name="TotRow - Opmaakprofiel4 2 18 4 3 3" xfId="18280"/>
    <cellStyle name="TotRow - Opmaakprofiel4 2 18 4 3 4" xfId="30332"/>
    <cellStyle name="TotRow - Opmaakprofiel4 2 18 4 3 5" xfId="44054"/>
    <cellStyle name="TotRow - Opmaakprofiel4 2 18 4 3 6" xfId="51110"/>
    <cellStyle name="TotRow - Opmaakprofiel4 2 18 4 4" xfId="3710"/>
    <cellStyle name="TotRow - Opmaakprofiel4 2 18 4 4 2" xfId="11768"/>
    <cellStyle name="TotRow - Opmaakprofiel4 2 18 4 4 2 2" xfId="24067"/>
    <cellStyle name="TotRow - Opmaakprofiel4 2 18 4 4 2 3" xfId="36119"/>
    <cellStyle name="TotRow - Opmaakprofiel4 2 18 4 4 2 4" xfId="46842"/>
    <cellStyle name="TotRow - Opmaakprofiel4 2 18 4 4 2 5" xfId="56733"/>
    <cellStyle name="TotRow - Opmaakprofiel4 2 18 4 4 3" xfId="18281"/>
    <cellStyle name="TotRow - Opmaakprofiel4 2 18 4 4 4" xfId="30333"/>
    <cellStyle name="TotRow - Opmaakprofiel4 2 18 4 4 5" xfId="37667"/>
    <cellStyle name="TotRow - Opmaakprofiel4 2 18 4 4 6" xfId="51111"/>
    <cellStyle name="TotRow - Opmaakprofiel4 2 18 4 5" xfId="6563"/>
    <cellStyle name="TotRow - Opmaakprofiel4 2 18 4 5 2" xfId="11769"/>
    <cellStyle name="TotRow - Opmaakprofiel4 2 18 4 5 2 2" xfId="24068"/>
    <cellStyle name="TotRow - Opmaakprofiel4 2 18 4 5 2 3" xfId="36120"/>
    <cellStyle name="TotRow - Opmaakprofiel4 2 18 4 5 2 4" xfId="46843"/>
    <cellStyle name="TotRow - Opmaakprofiel4 2 18 4 5 2 5" xfId="56734"/>
    <cellStyle name="TotRow - Opmaakprofiel4 2 18 4 5 3" xfId="18282"/>
    <cellStyle name="TotRow - Opmaakprofiel4 2 18 4 5 4" xfId="30334"/>
    <cellStyle name="TotRow - Opmaakprofiel4 2 18 4 5 5" xfId="44053"/>
    <cellStyle name="TotRow - Opmaakprofiel4 2 18 4 5 6" xfId="51112"/>
    <cellStyle name="TotRow - Opmaakprofiel4 2 18 4 6" xfId="6564"/>
    <cellStyle name="TotRow - Opmaakprofiel4 2 18 4 6 2" xfId="11770"/>
    <cellStyle name="TotRow - Opmaakprofiel4 2 18 4 6 2 2" xfId="24069"/>
    <cellStyle name="TotRow - Opmaakprofiel4 2 18 4 6 2 3" xfId="36121"/>
    <cellStyle name="TotRow - Opmaakprofiel4 2 18 4 6 2 4" xfId="46844"/>
    <cellStyle name="TotRow - Opmaakprofiel4 2 18 4 6 2 5" xfId="56735"/>
    <cellStyle name="TotRow - Opmaakprofiel4 2 18 4 6 3" xfId="18283"/>
    <cellStyle name="TotRow - Opmaakprofiel4 2 18 4 6 4" xfId="30335"/>
    <cellStyle name="TotRow - Opmaakprofiel4 2 18 4 6 5" xfId="37666"/>
    <cellStyle name="TotRow - Opmaakprofiel4 2 18 4 6 6" xfId="51113"/>
    <cellStyle name="TotRow - Opmaakprofiel4 2 18 4 7" xfId="6565"/>
    <cellStyle name="TotRow - Opmaakprofiel4 2 18 4 7 2" xfId="18284"/>
    <cellStyle name="TotRow - Opmaakprofiel4 2 18 4 7 3" xfId="30336"/>
    <cellStyle name="TotRow - Opmaakprofiel4 2 18 4 7 4" xfId="44052"/>
    <cellStyle name="TotRow - Opmaakprofiel4 2 18 4 7 5" xfId="51114"/>
    <cellStyle name="TotRow - Opmaakprofiel4 2 18 4 8" xfId="10105"/>
    <cellStyle name="TotRow - Opmaakprofiel4 2 18 4 8 2" xfId="22403"/>
    <cellStyle name="TotRow - Opmaakprofiel4 2 18 4 8 3" xfId="44167"/>
    <cellStyle name="TotRow - Opmaakprofiel4 2 18 4 8 4" xfId="31760"/>
    <cellStyle name="TotRow - Opmaakprofiel4 2 18 4 8 5" xfId="55070"/>
    <cellStyle name="TotRow - Opmaakprofiel4 2 18 4 9" xfId="18278"/>
    <cellStyle name="TotRow - Opmaakprofiel4 2 18 5" xfId="1232"/>
    <cellStyle name="TotRow - Opmaakprofiel4 2 18 5 2" xfId="2163"/>
    <cellStyle name="TotRow - Opmaakprofiel4 2 18 5 2 2" xfId="11771"/>
    <cellStyle name="TotRow - Opmaakprofiel4 2 18 5 2 2 2" xfId="24070"/>
    <cellStyle name="TotRow - Opmaakprofiel4 2 18 5 2 2 3" xfId="36122"/>
    <cellStyle name="TotRow - Opmaakprofiel4 2 18 5 2 2 4" xfId="46845"/>
    <cellStyle name="TotRow - Opmaakprofiel4 2 18 5 2 2 5" xfId="56736"/>
    <cellStyle name="TotRow - Opmaakprofiel4 2 18 5 2 3" xfId="18286"/>
    <cellStyle name="TotRow - Opmaakprofiel4 2 18 5 2 4" xfId="30338"/>
    <cellStyle name="TotRow - Opmaakprofiel4 2 18 5 2 5" xfId="37665"/>
    <cellStyle name="TotRow - Opmaakprofiel4 2 18 5 2 6" xfId="51115"/>
    <cellStyle name="TotRow - Opmaakprofiel4 2 18 5 3" xfId="3243"/>
    <cellStyle name="TotRow - Opmaakprofiel4 2 18 5 3 2" xfId="11772"/>
    <cellStyle name="TotRow - Opmaakprofiel4 2 18 5 3 2 2" xfId="24071"/>
    <cellStyle name="TotRow - Opmaakprofiel4 2 18 5 3 2 3" xfId="36123"/>
    <cellStyle name="TotRow - Opmaakprofiel4 2 18 5 3 2 4" xfId="46846"/>
    <cellStyle name="TotRow - Opmaakprofiel4 2 18 5 3 2 5" xfId="56737"/>
    <cellStyle name="TotRow - Opmaakprofiel4 2 18 5 3 3" xfId="18287"/>
    <cellStyle name="TotRow - Opmaakprofiel4 2 18 5 3 4" xfId="30339"/>
    <cellStyle name="TotRow - Opmaakprofiel4 2 18 5 3 5" xfId="44051"/>
    <cellStyle name="TotRow - Opmaakprofiel4 2 18 5 3 6" xfId="51116"/>
    <cellStyle name="TotRow - Opmaakprofiel4 2 18 5 4" xfId="4057"/>
    <cellStyle name="TotRow - Opmaakprofiel4 2 18 5 4 2" xfId="11773"/>
    <cellStyle name="TotRow - Opmaakprofiel4 2 18 5 4 2 2" xfId="24072"/>
    <cellStyle name="TotRow - Opmaakprofiel4 2 18 5 4 2 3" xfId="36124"/>
    <cellStyle name="TotRow - Opmaakprofiel4 2 18 5 4 2 4" xfId="46847"/>
    <cellStyle name="TotRow - Opmaakprofiel4 2 18 5 4 2 5" xfId="56738"/>
    <cellStyle name="TotRow - Opmaakprofiel4 2 18 5 4 3" xfId="18288"/>
    <cellStyle name="TotRow - Opmaakprofiel4 2 18 5 4 4" xfId="30340"/>
    <cellStyle name="TotRow - Opmaakprofiel4 2 18 5 4 5" xfId="37664"/>
    <cellStyle name="TotRow - Opmaakprofiel4 2 18 5 4 6" xfId="51117"/>
    <cellStyle name="TotRow - Opmaakprofiel4 2 18 5 5" xfId="6566"/>
    <cellStyle name="TotRow - Opmaakprofiel4 2 18 5 5 2" xfId="11774"/>
    <cellStyle name="TotRow - Opmaakprofiel4 2 18 5 5 2 2" xfId="24073"/>
    <cellStyle name="TotRow - Opmaakprofiel4 2 18 5 5 2 3" xfId="36125"/>
    <cellStyle name="TotRow - Opmaakprofiel4 2 18 5 5 2 4" xfId="46848"/>
    <cellStyle name="TotRow - Opmaakprofiel4 2 18 5 5 2 5" xfId="56739"/>
    <cellStyle name="TotRow - Opmaakprofiel4 2 18 5 5 3" xfId="18289"/>
    <cellStyle name="TotRow - Opmaakprofiel4 2 18 5 5 4" xfId="30341"/>
    <cellStyle name="TotRow - Opmaakprofiel4 2 18 5 5 5" xfId="37663"/>
    <cellStyle name="TotRow - Opmaakprofiel4 2 18 5 5 6" xfId="51118"/>
    <cellStyle name="TotRow - Opmaakprofiel4 2 18 5 6" xfId="6567"/>
    <cellStyle name="TotRow - Opmaakprofiel4 2 18 5 6 2" xfId="11775"/>
    <cellStyle name="TotRow - Opmaakprofiel4 2 18 5 6 2 2" xfId="24074"/>
    <cellStyle name="TotRow - Opmaakprofiel4 2 18 5 6 2 3" xfId="36126"/>
    <cellStyle name="TotRow - Opmaakprofiel4 2 18 5 6 2 4" xfId="46849"/>
    <cellStyle name="TotRow - Opmaakprofiel4 2 18 5 6 2 5" xfId="56740"/>
    <cellStyle name="TotRow - Opmaakprofiel4 2 18 5 6 3" xfId="18290"/>
    <cellStyle name="TotRow - Opmaakprofiel4 2 18 5 6 4" xfId="30342"/>
    <cellStyle name="TotRow - Opmaakprofiel4 2 18 5 6 5" xfId="44050"/>
    <cellStyle name="TotRow - Opmaakprofiel4 2 18 5 6 6" xfId="51119"/>
    <cellStyle name="TotRow - Opmaakprofiel4 2 18 5 7" xfId="6568"/>
    <cellStyle name="TotRow - Opmaakprofiel4 2 18 5 7 2" xfId="18291"/>
    <cellStyle name="TotRow - Opmaakprofiel4 2 18 5 7 3" xfId="30343"/>
    <cellStyle name="TotRow - Opmaakprofiel4 2 18 5 7 4" xfId="37662"/>
    <cellStyle name="TotRow - Opmaakprofiel4 2 18 5 7 5" xfId="51120"/>
    <cellStyle name="TotRow - Opmaakprofiel4 2 18 5 8" xfId="7142"/>
    <cellStyle name="TotRow - Opmaakprofiel4 2 18 5 8 2" xfId="19440"/>
    <cellStyle name="TotRow - Opmaakprofiel4 2 18 5 8 3" xfId="41243"/>
    <cellStyle name="TotRow - Opmaakprofiel4 2 18 5 8 4" xfId="43632"/>
    <cellStyle name="TotRow - Opmaakprofiel4 2 18 5 8 5" xfId="52112"/>
    <cellStyle name="TotRow - Opmaakprofiel4 2 18 5 9" xfId="18285"/>
    <cellStyle name="TotRow - Opmaakprofiel4 2 18 6" xfId="873"/>
    <cellStyle name="TotRow - Opmaakprofiel4 2 18 6 2" xfId="1429"/>
    <cellStyle name="TotRow - Opmaakprofiel4 2 18 6 2 2" xfId="11776"/>
    <cellStyle name="TotRow - Opmaakprofiel4 2 18 6 2 2 2" xfId="24075"/>
    <cellStyle name="TotRow - Opmaakprofiel4 2 18 6 2 2 3" xfId="36127"/>
    <cellStyle name="TotRow - Opmaakprofiel4 2 18 6 2 2 4" xfId="46850"/>
    <cellStyle name="TotRow - Opmaakprofiel4 2 18 6 2 2 5" xfId="56741"/>
    <cellStyle name="TotRow - Opmaakprofiel4 2 18 6 2 3" xfId="18293"/>
    <cellStyle name="TotRow - Opmaakprofiel4 2 18 6 2 4" xfId="30345"/>
    <cellStyle name="TotRow - Opmaakprofiel4 2 18 6 2 5" xfId="37660"/>
    <cellStyle name="TotRow - Opmaakprofiel4 2 18 6 2 6" xfId="51121"/>
    <cellStyle name="TotRow - Opmaakprofiel4 2 18 6 3" xfId="2884"/>
    <cellStyle name="TotRow - Opmaakprofiel4 2 18 6 3 2" xfId="11777"/>
    <cellStyle name="TotRow - Opmaakprofiel4 2 18 6 3 2 2" xfId="24076"/>
    <cellStyle name="TotRow - Opmaakprofiel4 2 18 6 3 2 3" xfId="36128"/>
    <cellStyle name="TotRow - Opmaakprofiel4 2 18 6 3 2 4" xfId="46851"/>
    <cellStyle name="TotRow - Opmaakprofiel4 2 18 6 3 2 5" xfId="56742"/>
    <cellStyle name="TotRow - Opmaakprofiel4 2 18 6 3 3" xfId="18294"/>
    <cellStyle name="TotRow - Opmaakprofiel4 2 18 6 3 4" xfId="30346"/>
    <cellStyle name="TotRow - Opmaakprofiel4 2 18 6 3 5" xfId="37659"/>
    <cellStyle name="TotRow - Opmaakprofiel4 2 18 6 3 6" xfId="51122"/>
    <cellStyle name="TotRow - Opmaakprofiel4 2 18 6 4" xfId="3737"/>
    <cellStyle name="TotRow - Opmaakprofiel4 2 18 6 4 2" xfId="11778"/>
    <cellStyle name="TotRow - Opmaakprofiel4 2 18 6 4 2 2" xfId="24077"/>
    <cellStyle name="TotRow - Opmaakprofiel4 2 18 6 4 2 3" xfId="36129"/>
    <cellStyle name="TotRow - Opmaakprofiel4 2 18 6 4 2 4" xfId="46852"/>
    <cellStyle name="TotRow - Opmaakprofiel4 2 18 6 4 2 5" xfId="56743"/>
    <cellStyle name="TotRow - Opmaakprofiel4 2 18 6 4 3" xfId="18295"/>
    <cellStyle name="TotRow - Opmaakprofiel4 2 18 6 4 4" xfId="30347"/>
    <cellStyle name="TotRow - Opmaakprofiel4 2 18 6 4 5" xfId="44047"/>
    <cellStyle name="TotRow - Opmaakprofiel4 2 18 6 4 6" xfId="51123"/>
    <cellStyle name="TotRow - Opmaakprofiel4 2 18 6 5" xfId="6569"/>
    <cellStyle name="TotRow - Opmaakprofiel4 2 18 6 5 2" xfId="11779"/>
    <cellStyle name="TotRow - Opmaakprofiel4 2 18 6 5 2 2" xfId="24078"/>
    <cellStyle name="TotRow - Opmaakprofiel4 2 18 6 5 2 3" xfId="36130"/>
    <cellStyle name="TotRow - Opmaakprofiel4 2 18 6 5 2 4" xfId="46853"/>
    <cellStyle name="TotRow - Opmaakprofiel4 2 18 6 5 2 5" xfId="56744"/>
    <cellStyle name="TotRow - Opmaakprofiel4 2 18 6 5 3" xfId="18296"/>
    <cellStyle name="TotRow - Opmaakprofiel4 2 18 6 5 4" xfId="30348"/>
    <cellStyle name="TotRow - Opmaakprofiel4 2 18 6 5 5" xfId="37658"/>
    <cellStyle name="TotRow - Opmaakprofiel4 2 18 6 5 6" xfId="51124"/>
    <cellStyle name="TotRow - Opmaakprofiel4 2 18 6 6" xfId="6570"/>
    <cellStyle name="TotRow - Opmaakprofiel4 2 18 6 6 2" xfId="11780"/>
    <cellStyle name="TotRow - Opmaakprofiel4 2 18 6 6 2 2" xfId="24079"/>
    <cellStyle name="TotRow - Opmaakprofiel4 2 18 6 6 2 3" xfId="36131"/>
    <cellStyle name="TotRow - Opmaakprofiel4 2 18 6 6 2 4" xfId="46854"/>
    <cellStyle name="TotRow - Opmaakprofiel4 2 18 6 6 2 5" xfId="56745"/>
    <cellStyle name="TotRow - Opmaakprofiel4 2 18 6 6 3" xfId="18297"/>
    <cellStyle name="TotRow - Opmaakprofiel4 2 18 6 6 4" xfId="30349"/>
    <cellStyle name="TotRow - Opmaakprofiel4 2 18 6 6 5" xfId="37657"/>
    <cellStyle name="TotRow - Opmaakprofiel4 2 18 6 6 6" xfId="51125"/>
    <cellStyle name="TotRow - Opmaakprofiel4 2 18 6 7" xfId="6571"/>
    <cellStyle name="TotRow - Opmaakprofiel4 2 18 6 7 2" xfId="18298"/>
    <cellStyle name="TotRow - Opmaakprofiel4 2 18 6 7 3" xfId="30350"/>
    <cellStyle name="TotRow - Opmaakprofiel4 2 18 6 7 4" xfId="44046"/>
    <cellStyle name="TotRow - Opmaakprofiel4 2 18 6 7 5" xfId="51126"/>
    <cellStyle name="TotRow - Opmaakprofiel4 2 18 6 8" xfId="7396"/>
    <cellStyle name="TotRow - Opmaakprofiel4 2 18 6 8 2" xfId="19694"/>
    <cellStyle name="TotRow - Opmaakprofiel4 2 18 6 8 3" xfId="41497"/>
    <cellStyle name="TotRow - Opmaakprofiel4 2 18 6 8 4" xfId="43526"/>
    <cellStyle name="TotRow - Opmaakprofiel4 2 18 6 8 5" xfId="52366"/>
    <cellStyle name="TotRow - Opmaakprofiel4 2 18 6 9" xfId="18292"/>
    <cellStyle name="TotRow - Opmaakprofiel4 2 18 7" xfId="1583"/>
    <cellStyle name="TotRow - Opmaakprofiel4 2 18 7 2" xfId="11781"/>
    <cellStyle name="TotRow - Opmaakprofiel4 2 18 7 2 2" xfId="24080"/>
    <cellStyle name="TotRow - Opmaakprofiel4 2 18 7 2 3" xfId="36132"/>
    <cellStyle name="TotRow - Opmaakprofiel4 2 18 7 2 4" xfId="46855"/>
    <cellStyle name="TotRow - Opmaakprofiel4 2 18 7 2 5" xfId="56746"/>
    <cellStyle name="TotRow - Opmaakprofiel4 2 18 7 3" xfId="18299"/>
    <cellStyle name="TotRow - Opmaakprofiel4 2 18 7 4" xfId="30351"/>
    <cellStyle name="TotRow - Opmaakprofiel4 2 18 7 5" xfId="37656"/>
    <cellStyle name="TotRow - Opmaakprofiel4 2 18 7 6" xfId="51127"/>
    <cellStyle name="TotRow - Opmaakprofiel4 2 18 8" xfId="2826"/>
    <cellStyle name="TotRow - Opmaakprofiel4 2 18 8 2" xfId="11782"/>
    <cellStyle name="TotRow - Opmaakprofiel4 2 18 8 2 2" xfId="24081"/>
    <cellStyle name="TotRow - Opmaakprofiel4 2 18 8 2 3" xfId="36133"/>
    <cellStyle name="TotRow - Opmaakprofiel4 2 18 8 2 4" xfId="46856"/>
    <cellStyle name="TotRow - Opmaakprofiel4 2 18 8 2 5" xfId="56747"/>
    <cellStyle name="TotRow - Opmaakprofiel4 2 18 8 3" xfId="18300"/>
    <cellStyle name="TotRow - Opmaakprofiel4 2 18 8 4" xfId="30352"/>
    <cellStyle name="TotRow - Opmaakprofiel4 2 18 8 5" xfId="37655"/>
    <cellStyle name="TotRow - Opmaakprofiel4 2 18 8 6" xfId="51128"/>
    <cellStyle name="TotRow - Opmaakprofiel4 2 18 9" xfId="3684"/>
    <cellStyle name="TotRow - Opmaakprofiel4 2 18 9 2" xfId="11783"/>
    <cellStyle name="TotRow - Opmaakprofiel4 2 18 9 2 2" xfId="24082"/>
    <cellStyle name="TotRow - Opmaakprofiel4 2 18 9 2 3" xfId="36134"/>
    <cellStyle name="TotRow - Opmaakprofiel4 2 18 9 2 4" xfId="46857"/>
    <cellStyle name="TotRow - Opmaakprofiel4 2 18 9 2 5" xfId="56748"/>
    <cellStyle name="TotRow - Opmaakprofiel4 2 18 9 3" xfId="18301"/>
    <cellStyle name="TotRow - Opmaakprofiel4 2 18 9 4" xfId="30353"/>
    <cellStyle name="TotRow - Opmaakprofiel4 2 18 9 5" xfId="37654"/>
    <cellStyle name="TotRow - Opmaakprofiel4 2 18 9 6" xfId="51129"/>
    <cellStyle name="TotRow - Opmaakprofiel4 2 19" xfId="814"/>
    <cellStyle name="TotRow - Opmaakprofiel4 2 19 10" xfId="6572"/>
    <cellStyle name="TotRow - Opmaakprofiel4 2 19 10 2" xfId="11784"/>
    <cellStyle name="TotRow - Opmaakprofiel4 2 19 10 2 2" xfId="24083"/>
    <cellStyle name="TotRow - Opmaakprofiel4 2 19 10 2 3" xfId="36135"/>
    <cellStyle name="TotRow - Opmaakprofiel4 2 19 10 2 4" xfId="46858"/>
    <cellStyle name="TotRow - Opmaakprofiel4 2 19 10 2 5" xfId="56749"/>
    <cellStyle name="TotRow - Opmaakprofiel4 2 19 10 3" xfId="18303"/>
    <cellStyle name="TotRow - Opmaakprofiel4 2 19 10 4" xfId="30355"/>
    <cellStyle name="TotRow - Opmaakprofiel4 2 19 10 5" xfId="44043"/>
    <cellStyle name="TotRow - Opmaakprofiel4 2 19 10 6" xfId="51130"/>
    <cellStyle name="TotRow - Opmaakprofiel4 2 19 11" xfId="6573"/>
    <cellStyle name="TotRow - Opmaakprofiel4 2 19 11 2" xfId="11785"/>
    <cellStyle name="TotRow - Opmaakprofiel4 2 19 11 2 2" xfId="24084"/>
    <cellStyle name="TotRow - Opmaakprofiel4 2 19 11 2 3" xfId="36136"/>
    <cellStyle name="TotRow - Opmaakprofiel4 2 19 11 2 4" xfId="46859"/>
    <cellStyle name="TotRow - Opmaakprofiel4 2 19 11 2 5" xfId="56750"/>
    <cellStyle name="TotRow - Opmaakprofiel4 2 19 11 3" xfId="18304"/>
    <cellStyle name="TotRow - Opmaakprofiel4 2 19 11 4" xfId="30356"/>
    <cellStyle name="TotRow - Opmaakprofiel4 2 19 11 5" xfId="37652"/>
    <cellStyle name="TotRow - Opmaakprofiel4 2 19 11 6" xfId="51131"/>
    <cellStyle name="TotRow - Opmaakprofiel4 2 19 12" xfId="6574"/>
    <cellStyle name="TotRow - Opmaakprofiel4 2 19 12 2" xfId="18305"/>
    <cellStyle name="TotRow - Opmaakprofiel4 2 19 12 3" xfId="30357"/>
    <cellStyle name="TotRow - Opmaakprofiel4 2 19 12 4" xfId="37651"/>
    <cellStyle name="TotRow - Opmaakprofiel4 2 19 12 5" xfId="51132"/>
    <cellStyle name="TotRow - Opmaakprofiel4 2 19 13" xfId="10128"/>
    <cellStyle name="TotRow - Opmaakprofiel4 2 19 13 2" xfId="22426"/>
    <cellStyle name="TotRow - Opmaakprofiel4 2 19 13 3" xfId="44190"/>
    <cellStyle name="TotRow - Opmaakprofiel4 2 19 13 4" xfId="42404"/>
    <cellStyle name="TotRow - Opmaakprofiel4 2 19 13 5" xfId="55093"/>
    <cellStyle name="TotRow - Opmaakprofiel4 2 19 14" xfId="18302"/>
    <cellStyle name="TotRow - Opmaakprofiel4 2 19 2" xfId="973"/>
    <cellStyle name="TotRow - Opmaakprofiel4 2 19 2 2" xfId="2173"/>
    <cellStyle name="TotRow - Opmaakprofiel4 2 19 2 2 2" xfId="11786"/>
    <cellStyle name="TotRow - Opmaakprofiel4 2 19 2 2 2 2" xfId="24085"/>
    <cellStyle name="TotRow - Opmaakprofiel4 2 19 2 2 2 3" xfId="36137"/>
    <cellStyle name="TotRow - Opmaakprofiel4 2 19 2 2 2 4" xfId="46860"/>
    <cellStyle name="TotRow - Opmaakprofiel4 2 19 2 2 2 5" xfId="56751"/>
    <cellStyle name="TotRow - Opmaakprofiel4 2 19 2 2 3" xfId="18307"/>
    <cellStyle name="TotRow - Opmaakprofiel4 2 19 2 2 4" xfId="30359"/>
    <cellStyle name="TotRow - Opmaakprofiel4 2 19 2 2 5" xfId="37650"/>
    <cellStyle name="TotRow - Opmaakprofiel4 2 19 2 2 6" xfId="51133"/>
    <cellStyle name="TotRow - Opmaakprofiel4 2 19 2 3" xfId="2984"/>
    <cellStyle name="TotRow - Opmaakprofiel4 2 19 2 3 2" xfId="11787"/>
    <cellStyle name="TotRow - Opmaakprofiel4 2 19 2 3 2 2" xfId="24086"/>
    <cellStyle name="TotRow - Opmaakprofiel4 2 19 2 3 2 3" xfId="36138"/>
    <cellStyle name="TotRow - Opmaakprofiel4 2 19 2 3 2 4" xfId="46861"/>
    <cellStyle name="TotRow - Opmaakprofiel4 2 19 2 3 2 5" xfId="56752"/>
    <cellStyle name="TotRow - Opmaakprofiel4 2 19 2 3 3" xfId="18308"/>
    <cellStyle name="TotRow - Opmaakprofiel4 2 19 2 3 4" xfId="30360"/>
    <cellStyle name="TotRow - Opmaakprofiel4 2 19 2 3 5" xfId="37649"/>
    <cellStyle name="TotRow - Opmaakprofiel4 2 19 2 3 6" xfId="51134"/>
    <cellStyle name="TotRow - Opmaakprofiel4 2 19 2 4" xfId="3830"/>
    <cellStyle name="TotRow - Opmaakprofiel4 2 19 2 4 2" xfId="11788"/>
    <cellStyle name="TotRow - Opmaakprofiel4 2 19 2 4 2 2" xfId="24087"/>
    <cellStyle name="TotRow - Opmaakprofiel4 2 19 2 4 2 3" xfId="36139"/>
    <cellStyle name="TotRow - Opmaakprofiel4 2 19 2 4 2 4" xfId="46862"/>
    <cellStyle name="TotRow - Opmaakprofiel4 2 19 2 4 2 5" xfId="56753"/>
    <cellStyle name="TotRow - Opmaakprofiel4 2 19 2 4 3" xfId="18309"/>
    <cellStyle name="TotRow - Opmaakprofiel4 2 19 2 4 4" xfId="30361"/>
    <cellStyle name="TotRow - Opmaakprofiel4 2 19 2 4 5" xfId="37648"/>
    <cellStyle name="TotRow - Opmaakprofiel4 2 19 2 4 6" xfId="51135"/>
    <cellStyle name="TotRow - Opmaakprofiel4 2 19 2 5" xfId="6575"/>
    <cellStyle name="TotRow - Opmaakprofiel4 2 19 2 5 2" xfId="11789"/>
    <cellStyle name="TotRow - Opmaakprofiel4 2 19 2 5 2 2" xfId="24088"/>
    <cellStyle name="TotRow - Opmaakprofiel4 2 19 2 5 2 3" xfId="36140"/>
    <cellStyle name="TotRow - Opmaakprofiel4 2 19 2 5 2 4" xfId="46863"/>
    <cellStyle name="TotRow - Opmaakprofiel4 2 19 2 5 2 5" xfId="56754"/>
    <cellStyle name="TotRow - Opmaakprofiel4 2 19 2 5 3" xfId="18310"/>
    <cellStyle name="TotRow - Opmaakprofiel4 2 19 2 5 4" xfId="30362"/>
    <cellStyle name="TotRow - Opmaakprofiel4 2 19 2 5 5" xfId="37647"/>
    <cellStyle name="TotRow - Opmaakprofiel4 2 19 2 5 6" xfId="51136"/>
    <cellStyle name="TotRow - Opmaakprofiel4 2 19 2 6" xfId="6576"/>
    <cellStyle name="TotRow - Opmaakprofiel4 2 19 2 6 2" xfId="11790"/>
    <cellStyle name="TotRow - Opmaakprofiel4 2 19 2 6 2 2" xfId="24089"/>
    <cellStyle name="TotRow - Opmaakprofiel4 2 19 2 6 2 3" xfId="36141"/>
    <cellStyle name="TotRow - Opmaakprofiel4 2 19 2 6 2 4" xfId="46864"/>
    <cellStyle name="TotRow - Opmaakprofiel4 2 19 2 6 2 5" xfId="56755"/>
    <cellStyle name="TotRow - Opmaakprofiel4 2 19 2 6 3" xfId="18311"/>
    <cellStyle name="TotRow - Opmaakprofiel4 2 19 2 6 4" xfId="30363"/>
    <cellStyle name="TotRow - Opmaakprofiel4 2 19 2 6 5" xfId="37646"/>
    <cellStyle name="TotRow - Opmaakprofiel4 2 19 2 6 6" xfId="51137"/>
    <cellStyle name="TotRow - Opmaakprofiel4 2 19 2 7" xfId="6577"/>
    <cellStyle name="TotRow - Opmaakprofiel4 2 19 2 7 2" xfId="18312"/>
    <cellStyle name="TotRow - Opmaakprofiel4 2 19 2 7 3" xfId="30364"/>
    <cellStyle name="TotRow - Opmaakprofiel4 2 19 2 7 4" xfId="44038"/>
    <cellStyle name="TotRow - Opmaakprofiel4 2 19 2 7 5" xfId="51138"/>
    <cellStyle name="TotRow - Opmaakprofiel4 2 19 2 8" xfId="7330"/>
    <cellStyle name="TotRow - Opmaakprofiel4 2 19 2 8 2" xfId="19628"/>
    <cellStyle name="TotRow - Opmaakprofiel4 2 19 2 8 3" xfId="41431"/>
    <cellStyle name="TotRow - Opmaakprofiel4 2 19 2 8 4" xfId="43554"/>
    <cellStyle name="TotRow - Opmaakprofiel4 2 19 2 8 5" xfId="52300"/>
    <cellStyle name="TotRow - Opmaakprofiel4 2 19 2 9" xfId="18306"/>
    <cellStyle name="TotRow - Opmaakprofiel4 2 19 3" xfId="1069"/>
    <cellStyle name="TotRow - Opmaakprofiel4 2 19 3 2" xfId="1758"/>
    <cellStyle name="TotRow - Opmaakprofiel4 2 19 3 2 2" xfId="11791"/>
    <cellStyle name="TotRow - Opmaakprofiel4 2 19 3 2 2 2" xfId="24090"/>
    <cellStyle name="TotRow - Opmaakprofiel4 2 19 3 2 2 3" xfId="36142"/>
    <cellStyle name="TotRow - Opmaakprofiel4 2 19 3 2 2 4" xfId="46865"/>
    <cellStyle name="TotRow - Opmaakprofiel4 2 19 3 2 2 5" xfId="56756"/>
    <cellStyle name="TotRow - Opmaakprofiel4 2 19 3 2 3" xfId="18314"/>
    <cellStyle name="TotRow - Opmaakprofiel4 2 19 3 2 4" xfId="30366"/>
    <cellStyle name="TotRow - Opmaakprofiel4 2 19 3 2 5" xfId="37645"/>
    <cellStyle name="TotRow - Opmaakprofiel4 2 19 3 2 6" xfId="51139"/>
    <cellStyle name="TotRow - Opmaakprofiel4 2 19 3 3" xfId="3080"/>
    <cellStyle name="TotRow - Opmaakprofiel4 2 19 3 3 2" xfId="11792"/>
    <cellStyle name="TotRow - Opmaakprofiel4 2 19 3 3 2 2" xfId="24091"/>
    <cellStyle name="TotRow - Opmaakprofiel4 2 19 3 3 2 3" xfId="36143"/>
    <cellStyle name="TotRow - Opmaakprofiel4 2 19 3 3 2 4" xfId="46866"/>
    <cellStyle name="TotRow - Opmaakprofiel4 2 19 3 3 2 5" xfId="56757"/>
    <cellStyle name="TotRow - Opmaakprofiel4 2 19 3 3 3" xfId="18315"/>
    <cellStyle name="TotRow - Opmaakprofiel4 2 19 3 3 4" xfId="30367"/>
    <cellStyle name="TotRow - Opmaakprofiel4 2 19 3 3 5" xfId="44037"/>
    <cellStyle name="TotRow - Opmaakprofiel4 2 19 3 3 6" xfId="51140"/>
    <cellStyle name="TotRow - Opmaakprofiel4 2 19 3 4" xfId="3919"/>
    <cellStyle name="TotRow - Opmaakprofiel4 2 19 3 4 2" xfId="11793"/>
    <cellStyle name="TotRow - Opmaakprofiel4 2 19 3 4 2 2" xfId="24092"/>
    <cellStyle name="TotRow - Opmaakprofiel4 2 19 3 4 2 3" xfId="36144"/>
    <cellStyle name="TotRow - Opmaakprofiel4 2 19 3 4 2 4" xfId="46867"/>
    <cellStyle name="TotRow - Opmaakprofiel4 2 19 3 4 2 5" xfId="56758"/>
    <cellStyle name="TotRow - Opmaakprofiel4 2 19 3 4 3" xfId="18316"/>
    <cellStyle name="TotRow - Opmaakprofiel4 2 19 3 4 4" xfId="30368"/>
    <cellStyle name="TotRow - Opmaakprofiel4 2 19 3 4 5" xfId="37644"/>
    <cellStyle name="TotRow - Opmaakprofiel4 2 19 3 4 6" xfId="51141"/>
    <cellStyle name="TotRow - Opmaakprofiel4 2 19 3 5" xfId="6578"/>
    <cellStyle name="TotRow - Opmaakprofiel4 2 19 3 5 2" xfId="11794"/>
    <cellStyle name="TotRow - Opmaakprofiel4 2 19 3 5 2 2" xfId="24093"/>
    <cellStyle name="TotRow - Opmaakprofiel4 2 19 3 5 2 3" xfId="36145"/>
    <cellStyle name="TotRow - Opmaakprofiel4 2 19 3 5 2 4" xfId="46868"/>
    <cellStyle name="TotRow - Opmaakprofiel4 2 19 3 5 2 5" xfId="56759"/>
    <cellStyle name="TotRow - Opmaakprofiel4 2 19 3 5 3" xfId="18317"/>
    <cellStyle name="TotRow - Opmaakprofiel4 2 19 3 5 4" xfId="30369"/>
    <cellStyle name="TotRow - Opmaakprofiel4 2 19 3 5 5" xfId="37643"/>
    <cellStyle name="TotRow - Opmaakprofiel4 2 19 3 5 6" xfId="51142"/>
    <cellStyle name="TotRow - Opmaakprofiel4 2 19 3 6" xfId="6579"/>
    <cellStyle name="TotRow - Opmaakprofiel4 2 19 3 6 2" xfId="11795"/>
    <cellStyle name="TotRow - Opmaakprofiel4 2 19 3 6 2 2" xfId="24094"/>
    <cellStyle name="TotRow - Opmaakprofiel4 2 19 3 6 2 3" xfId="36146"/>
    <cellStyle name="TotRow - Opmaakprofiel4 2 19 3 6 2 4" xfId="46869"/>
    <cellStyle name="TotRow - Opmaakprofiel4 2 19 3 6 2 5" xfId="56760"/>
    <cellStyle name="TotRow - Opmaakprofiel4 2 19 3 6 3" xfId="18318"/>
    <cellStyle name="TotRow - Opmaakprofiel4 2 19 3 6 4" xfId="30370"/>
    <cellStyle name="TotRow - Opmaakprofiel4 2 19 3 6 5" xfId="37642"/>
    <cellStyle name="TotRow - Opmaakprofiel4 2 19 3 6 6" xfId="51143"/>
    <cellStyle name="TotRow - Opmaakprofiel4 2 19 3 7" xfId="6580"/>
    <cellStyle name="TotRow - Opmaakprofiel4 2 19 3 7 2" xfId="18319"/>
    <cellStyle name="TotRow - Opmaakprofiel4 2 19 3 7 3" xfId="30371"/>
    <cellStyle name="TotRow - Opmaakprofiel4 2 19 3 7 4" xfId="37641"/>
    <cellStyle name="TotRow - Opmaakprofiel4 2 19 3 7 5" xfId="51144"/>
    <cellStyle name="TotRow - Opmaakprofiel4 2 19 3 8" xfId="7263"/>
    <cellStyle name="TotRow - Opmaakprofiel4 2 19 3 8 2" xfId="19561"/>
    <cellStyle name="TotRow - Opmaakprofiel4 2 19 3 8 3" xfId="41364"/>
    <cellStyle name="TotRow - Opmaakprofiel4 2 19 3 8 4" xfId="36881"/>
    <cellStyle name="TotRow - Opmaakprofiel4 2 19 3 8 5" xfId="52233"/>
    <cellStyle name="TotRow - Opmaakprofiel4 2 19 3 9" xfId="18313"/>
    <cellStyle name="TotRow - Opmaakprofiel4 2 19 4" xfId="961"/>
    <cellStyle name="TotRow - Opmaakprofiel4 2 19 4 2" xfId="1708"/>
    <cellStyle name="TotRow - Opmaakprofiel4 2 19 4 2 2" xfId="11796"/>
    <cellStyle name="TotRow - Opmaakprofiel4 2 19 4 2 2 2" xfId="24095"/>
    <cellStyle name="TotRow - Opmaakprofiel4 2 19 4 2 2 3" xfId="36147"/>
    <cellStyle name="TotRow - Opmaakprofiel4 2 19 4 2 2 4" xfId="46870"/>
    <cellStyle name="TotRow - Opmaakprofiel4 2 19 4 2 2 5" xfId="56761"/>
    <cellStyle name="TotRow - Opmaakprofiel4 2 19 4 2 3" xfId="18321"/>
    <cellStyle name="TotRow - Opmaakprofiel4 2 19 4 2 4" xfId="30373"/>
    <cellStyle name="TotRow - Opmaakprofiel4 2 19 4 2 5" xfId="37640"/>
    <cellStyle name="TotRow - Opmaakprofiel4 2 19 4 2 6" xfId="51145"/>
    <cellStyle name="TotRow - Opmaakprofiel4 2 19 4 3" xfId="2972"/>
    <cellStyle name="TotRow - Opmaakprofiel4 2 19 4 3 2" xfId="11797"/>
    <cellStyle name="TotRow - Opmaakprofiel4 2 19 4 3 2 2" xfId="24096"/>
    <cellStyle name="TotRow - Opmaakprofiel4 2 19 4 3 2 3" xfId="36148"/>
    <cellStyle name="TotRow - Opmaakprofiel4 2 19 4 3 2 4" xfId="46871"/>
    <cellStyle name="TotRow - Opmaakprofiel4 2 19 4 3 2 5" xfId="56762"/>
    <cellStyle name="TotRow - Opmaakprofiel4 2 19 4 3 3" xfId="18322"/>
    <cellStyle name="TotRow - Opmaakprofiel4 2 19 4 3 4" xfId="30374"/>
    <cellStyle name="TotRow - Opmaakprofiel4 2 19 4 3 5" xfId="37639"/>
    <cellStyle name="TotRow - Opmaakprofiel4 2 19 4 3 6" xfId="51146"/>
    <cellStyle name="TotRow - Opmaakprofiel4 2 19 4 4" xfId="3818"/>
    <cellStyle name="TotRow - Opmaakprofiel4 2 19 4 4 2" xfId="11798"/>
    <cellStyle name="TotRow - Opmaakprofiel4 2 19 4 4 2 2" xfId="24097"/>
    <cellStyle name="TotRow - Opmaakprofiel4 2 19 4 4 2 3" xfId="36149"/>
    <cellStyle name="TotRow - Opmaakprofiel4 2 19 4 4 2 4" xfId="46872"/>
    <cellStyle name="TotRow - Opmaakprofiel4 2 19 4 4 2 5" xfId="56763"/>
    <cellStyle name="TotRow - Opmaakprofiel4 2 19 4 4 3" xfId="18323"/>
    <cellStyle name="TotRow - Opmaakprofiel4 2 19 4 4 4" xfId="30375"/>
    <cellStyle name="TotRow - Opmaakprofiel4 2 19 4 4 5" xfId="44033"/>
    <cellStyle name="TotRow - Opmaakprofiel4 2 19 4 4 6" xfId="51147"/>
    <cellStyle name="TotRow - Opmaakprofiel4 2 19 4 5" xfId="6581"/>
    <cellStyle name="TotRow - Opmaakprofiel4 2 19 4 5 2" xfId="11799"/>
    <cellStyle name="TotRow - Opmaakprofiel4 2 19 4 5 2 2" xfId="24098"/>
    <cellStyle name="TotRow - Opmaakprofiel4 2 19 4 5 2 3" xfId="36150"/>
    <cellStyle name="TotRow - Opmaakprofiel4 2 19 4 5 2 4" xfId="46873"/>
    <cellStyle name="TotRow - Opmaakprofiel4 2 19 4 5 2 5" xfId="56764"/>
    <cellStyle name="TotRow - Opmaakprofiel4 2 19 4 5 3" xfId="18324"/>
    <cellStyle name="TotRow - Opmaakprofiel4 2 19 4 5 4" xfId="30376"/>
    <cellStyle name="TotRow - Opmaakprofiel4 2 19 4 5 5" xfId="37638"/>
    <cellStyle name="TotRow - Opmaakprofiel4 2 19 4 5 6" xfId="51148"/>
    <cellStyle name="TotRow - Opmaakprofiel4 2 19 4 6" xfId="6582"/>
    <cellStyle name="TotRow - Opmaakprofiel4 2 19 4 6 2" xfId="11800"/>
    <cellStyle name="TotRow - Opmaakprofiel4 2 19 4 6 2 2" xfId="24099"/>
    <cellStyle name="TotRow - Opmaakprofiel4 2 19 4 6 2 3" xfId="36151"/>
    <cellStyle name="TotRow - Opmaakprofiel4 2 19 4 6 2 4" xfId="46874"/>
    <cellStyle name="TotRow - Opmaakprofiel4 2 19 4 6 2 5" xfId="56765"/>
    <cellStyle name="TotRow - Opmaakprofiel4 2 19 4 6 3" xfId="18325"/>
    <cellStyle name="TotRow - Opmaakprofiel4 2 19 4 6 4" xfId="30377"/>
    <cellStyle name="TotRow - Opmaakprofiel4 2 19 4 6 5" xfId="37637"/>
    <cellStyle name="TotRow - Opmaakprofiel4 2 19 4 6 6" xfId="51149"/>
    <cellStyle name="TotRow - Opmaakprofiel4 2 19 4 7" xfId="6583"/>
    <cellStyle name="TotRow - Opmaakprofiel4 2 19 4 7 2" xfId="18326"/>
    <cellStyle name="TotRow - Opmaakprofiel4 2 19 4 7 3" xfId="30378"/>
    <cellStyle name="TotRow - Opmaakprofiel4 2 19 4 7 4" xfId="37636"/>
    <cellStyle name="TotRow - Opmaakprofiel4 2 19 4 7 5" xfId="51150"/>
    <cellStyle name="TotRow - Opmaakprofiel4 2 19 4 8" xfId="7338"/>
    <cellStyle name="TotRow - Opmaakprofiel4 2 19 4 8 2" xfId="19636"/>
    <cellStyle name="TotRow - Opmaakprofiel4 2 19 4 8 3" xfId="41439"/>
    <cellStyle name="TotRow - Opmaakprofiel4 2 19 4 8 4" xfId="43551"/>
    <cellStyle name="TotRow - Opmaakprofiel4 2 19 4 8 5" xfId="52308"/>
    <cellStyle name="TotRow - Opmaakprofiel4 2 19 4 9" xfId="18320"/>
    <cellStyle name="TotRow - Opmaakprofiel4 2 19 5" xfId="1238"/>
    <cellStyle name="TotRow - Opmaakprofiel4 2 19 5 2" xfId="2228"/>
    <cellStyle name="TotRow - Opmaakprofiel4 2 19 5 2 2" xfId="11801"/>
    <cellStyle name="TotRow - Opmaakprofiel4 2 19 5 2 2 2" xfId="24100"/>
    <cellStyle name="TotRow - Opmaakprofiel4 2 19 5 2 2 3" xfId="36152"/>
    <cellStyle name="TotRow - Opmaakprofiel4 2 19 5 2 2 4" xfId="46875"/>
    <cellStyle name="TotRow - Opmaakprofiel4 2 19 5 2 2 5" xfId="56766"/>
    <cellStyle name="TotRow - Opmaakprofiel4 2 19 5 2 3" xfId="18328"/>
    <cellStyle name="TotRow - Opmaakprofiel4 2 19 5 2 4" xfId="30380"/>
    <cellStyle name="TotRow - Opmaakprofiel4 2 19 5 2 5" xfId="44030"/>
    <cellStyle name="TotRow - Opmaakprofiel4 2 19 5 2 6" xfId="51151"/>
    <cellStyle name="TotRow - Opmaakprofiel4 2 19 5 3" xfId="3249"/>
    <cellStyle name="TotRow - Opmaakprofiel4 2 19 5 3 2" xfId="11802"/>
    <cellStyle name="TotRow - Opmaakprofiel4 2 19 5 3 2 2" xfId="24101"/>
    <cellStyle name="TotRow - Opmaakprofiel4 2 19 5 3 2 3" xfId="36153"/>
    <cellStyle name="TotRow - Opmaakprofiel4 2 19 5 3 2 4" xfId="46876"/>
    <cellStyle name="TotRow - Opmaakprofiel4 2 19 5 3 2 5" xfId="56767"/>
    <cellStyle name="TotRow - Opmaakprofiel4 2 19 5 3 3" xfId="18329"/>
    <cellStyle name="TotRow - Opmaakprofiel4 2 19 5 3 4" xfId="30381"/>
    <cellStyle name="TotRow - Opmaakprofiel4 2 19 5 3 5" xfId="37634"/>
    <cellStyle name="TotRow - Opmaakprofiel4 2 19 5 3 6" xfId="51152"/>
    <cellStyle name="TotRow - Opmaakprofiel4 2 19 5 4" xfId="4063"/>
    <cellStyle name="TotRow - Opmaakprofiel4 2 19 5 4 2" xfId="11803"/>
    <cellStyle name="TotRow - Opmaakprofiel4 2 19 5 4 2 2" xfId="24102"/>
    <cellStyle name="TotRow - Opmaakprofiel4 2 19 5 4 2 3" xfId="36154"/>
    <cellStyle name="TotRow - Opmaakprofiel4 2 19 5 4 2 4" xfId="46877"/>
    <cellStyle name="TotRow - Opmaakprofiel4 2 19 5 4 2 5" xfId="56768"/>
    <cellStyle name="TotRow - Opmaakprofiel4 2 19 5 4 3" xfId="18330"/>
    <cellStyle name="TotRow - Opmaakprofiel4 2 19 5 4 4" xfId="30382"/>
    <cellStyle name="TotRow - Opmaakprofiel4 2 19 5 4 5" xfId="37633"/>
    <cellStyle name="TotRow - Opmaakprofiel4 2 19 5 4 6" xfId="51153"/>
    <cellStyle name="TotRow - Opmaakprofiel4 2 19 5 5" xfId="6584"/>
    <cellStyle name="TotRow - Opmaakprofiel4 2 19 5 5 2" xfId="11804"/>
    <cellStyle name="TotRow - Opmaakprofiel4 2 19 5 5 2 2" xfId="24103"/>
    <cellStyle name="TotRow - Opmaakprofiel4 2 19 5 5 2 3" xfId="36155"/>
    <cellStyle name="TotRow - Opmaakprofiel4 2 19 5 5 2 4" xfId="46878"/>
    <cellStyle name="TotRow - Opmaakprofiel4 2 19 5 5 2 5" xfId="56769"/>
    <cellStyle name="TotRow - Opmaakprofiel4 2 19 5 5 3" xfId="18331"/>
    <cellStyle name="TotRow - Opmaakprofiel4 2 19 5 5 4" xfId="30383"/>
    <cellStyle name="TotRow - Opmaakprofiel4 2 19 5 5 5" xfId="44029"/>
    <cellStyle name="TotRow - Opmaakprofiel4 2 19 5 5 6" xfId="51154"/>
    <cellStyle name="TotRow - Opmaakprofiel4 2 19 5 6" xfId="6585"/>
    <cellStyle name="TotRow - Opmaakprofiel4 2 19 5 6 2" xfId="11805"/>
    <cellStyle name="TotRow - Opmaakprofiel4 2 19 5 6 2 2" xfId="24104"/>
    <cellStyle name="TotRow - Opmaakprofiel4 2 19 5 6 2 3" xfId="36156"/>
    <cellStyle name="TotRow - Opmaakprofiel4 2 19 5 6 2 4" xfId="46879"/>
    <cellStyle name="TotRow - Opmaakprofiel4 2 19 5 6 2 5" xfId="56770"/>
    <cellStyle name="TotRow - Opmaakprofiel4 2 19 5 6 3" xfId="18332"/>
    <cellStyle name="TotRow - Opmaakprofiel4 2 19 5 6 4" xfId="30384"/>
    <cellStyle name="TotRow - Opmaakprofiel4 2 19 5 6 5" xfId="37632"/>
    <cellStyle name="TotRow - Opmaakprofiel4 2 19 5 6 6" xfId="51155"/>
    <cellStyle name="TotRow - Opmaakprofiel4 2 19 5 7" xfId="6586"/>
    <cellStyle name="TotRow - Opmaakprofiel4 2 19 5 7 2" xfId="18333"/>
    <cellStyle name="TotRow - Opmaakprofiel4 2 19 5 7 3" xfId="30385"/>
    <cellStyle name="TotRow - Opmaakprofiel4 2 19 5 7 4" xfId="37631"/>
    <cellStyle name="TotRow - Opmaakprofiel4 2 19 5 7 5" xfId="51156"/>
    <cellStyle name="TotRow - Opmaakprofiel4 2 19 5 8" xfId="7136"/>
    <cellStyle name="TotRow - Opmaakprofiel4 2 19 5 8 2" xfId="19434"/>
    <cellStyle name="TotRow - Opmaakprofiel4 2 19 5 8 3" xfId="41237"/>
    <cellStyle name="TotRow - Opmaakprofiel4 2 19 5 8 4" xfId="43635"/>
    <cellStyle name="TotRow - Opmaakprofiel4 2 19 5 8 5" xfId="52106"/>
    <cellStyle name="TotRow - Opmaakprofiel4 2 19 5 9" xfId="18327"/>
    <cellStyle name="TotRow - Opmaakprofiel4 2 19 6" xfId="1070"/>
    <cellStyle name="TotRow - Opmaakprofiel4 2 19 6 2" xfId="2040"/>
    <cellStyle name="TotRow - Opmaakprofiel4 2 19 6 2 2" xfId="11806"/>
    <cellStyle name="TotRow - Opmaakprofiel4 2 19 6 2 2 2" xfId="24105"/>
    <cellStyle name="TotRow - Opmaakprofiel4 2 19 6 2 2 3" xfId="36157"/>
    <cellStyle name="TotRow - Opmaakprofiel4 2 19 6 2 2 4" xfId="46880"/>
    <cellStyle name="TotRow - Opmaakprofiel4 2 19 6 2 2 5" xfId="56771"/>
    <cellStyle name="TotRow - Opmaakprofiel4 2 19 6 2 3" xfId="18335"/>
    <cellStyle name="TotRow - Opmaakprofiel4 2 19 6 2 4" xfId="30387"/>
    <cellStyle name="TotRow - Opmaakprofiel4 2 19 6 2 5" xfId="37629"/>
    <cellStyle name="TotRow - Opmaakprofiel4 2 19 6 2 6" xfId="51157"/>
    <cellStyle name="TotRow - Opmaakprofiel4 2 19 6 3" xfId="3081"/>
    <cellStyle name="TotRow - Opmaakprofiel4 2 19 6 3 2" xfId="11807"/>
    <cellStyle name="TotRow - Opmaakprofiel4 2 19 6 3 2 2" xfId="24106"/>
    <cellStyle name="TotRow - Opmaakprofiel4 2 19 6 3 2 3" xfId="36158"/>
    <cellStyle name="TotRow - Opmaakprofiel4 2 19 6 3 2 4" xfId="46881"/>
    <cellStyle name="TotRow - Opmaakprofiel4 2 19 6 3 2 5" xfId="56772"/>
    <cellStyle name="TotRow - Opmaakprofiel4 2 19 6 3 3" xfId="18336"/>
    <cellStyle name="TotRow - Opmaakprofiel4 2 19 6 3 4" xfId="30388"/>
    <cellStyle name="TotRow - Opmaakprofiel4 2 19 6 3 5" xfId="44026"/>
    <cellStyle name="TotRow - Opmaakprofiel4 2 19 6 3 6" xfId="51158"/>
    <cellStyle name="TotRow - Opmaakprofiel4 2 19 6 4" xfId="3920"/>
    <cellStyle name="TotRow - Opmaakprofiel4 2 19 6 4 2" xfId="11808"/>
    <cellStyle name="TotRow - Opmaakprofiel4 2 19 6 4 2 2" xfId="24107"/>
    <cellStyle name="TotRow - Opmaakprofiel4 2 19 6 4 2 3" xfId="36159"/>
    <cellStyle name="TotRow - Opmaakprofiel4 2 19 6 4 2 4" xfId="46882"/>
    <cellStyle name="TotRow - Opmaakprofiel4 2 19 6 4 2 5" xfId="56773"/>
    <cellStyle name="TotRow - Opmaakprofiel4 2 19 6 4 3" xfId="18337"/>
    <cellStyle name="TotRow - Opmaakprofiel4 2 19 6 4 4" xfId="30389"/>
    <cellStyle name="TotRow - Opmaakprofiel4 2 19 6 4 5" xfId="37628"/>
    <cellStyle name="TotRow - Opmaakprofiel4 2 19 6 4 6" xfId="51159"/>
    <cellStyle name="TotRow - Opmaakprofiel4 2 19 6 5" xfId="6587"/>
    <cellStyle name="TotRow - Opmaakprofiel4 2 19 6 5 2" xfId="11809"/>
    <cellStyle name="TotRow - Opmaakprofiel4 2 19 6 5 2 2" xfId="24108"/>
    <cellStyle name="TotRow - Opmaakprofiel4 2 19 6 5 2 3" xfId="36160"/>
    <cellStyle name="TotRow - Opmaakprofiel4 2 19 6 5 2 4" xfId="46883"/>
    <cellStyle name="TotRow - Opmaakprofiel4 2 19 6 5 2 5" xfId="56774"/>
    <cellStyle name="TotRow - Opmaakprofiel4 2 19 6 5 3" xfId="18338"/>
    <cellStyle name="TotRow - Opmaakprofiel4 2 19 6 5 4" xfId="30390"/>
    <cellStyle name="TotRow - Opmaakprofiel4 2 19 6 5 5" xfId="37627"/>
    <cellStyle name="TotRow - Opmaakprofiel4 2 19 6 5 6" xfId="51160"/>
    <cellStyle name="TotRow - Opmaakprofiel4 2 19 6 6" xfId="6588"/>
    <cellStyle name="TotRow - Opmaakprofiel4 2 19 6 6 2" xfId="11810"/>
    <cellStyle name="TotRow - Opmaakprofiel4 2 19 6 6 2 2" xfId="24109"/>
    <cellStyle name="TotRow - Opmaakprofiel4 2 19 6 6 2 3" xfId="36161"/>
    <cellStyle name="TotRow - Opmaakprofiel4 2 19 6 6 2 4" xfId="46884"/>
    <cellStyle name="TotRow - Opmaakprofiel4 2 19 6 6 2 5" xfId="56775"/>
    <cellStyle name="TotRow - Opmaakprofiel4 2 19 6 6 3" xfId="18339"/>
    <cellStyle name="TotRow - Opmaakprofiel4 2 19 6 6 4" xfId="30391"/>
    <cellStyle name="TotRow - Opmaakprofiel4 2 19 6 6 5" xfId="44025"/>
    <cellStyle name="TotRow - Opmaakprofiel4 2 19 6 6 6" xfId="51161"/>
    <cellStyle name="TotRow - Opmaakprofiel4 2 19 6 7" xfId="6589"/>
    <cellStyle name="TotRow - Opmaakprofiel4 2 19 6 7 2" xfId="18340"/>
    <cellStyle name="TotRow - Opmaakprofiel4 2 19 6 7 3" xfId="30392"/>
    <cellStyle name="TotRow - Opmaakprofiel4 2 19 6 7 4" xfId="37626"/>
    <cellStyle name="TotRow - Opmaakprofiel4 2 19 6 7 5" xfId="51162"/>
    <cellStyle name="TotRow - Opmaakprofiel4 2 19 6 8" xfId="9953"/>
    <cellStyle name="TotRow - Opmaakprofiel4 2 19 6 8 2" xfId="22251"/>
    <cellStyle name="TotRow - Opmaakprofiel4 2 19 6 8 3" xfId="44016"/>
    <cellStyle name="TotRow - Opmaakprofiel4 2 19 6 8 4" xfId="28381"/>
    <cellStyle name="TotRow - Opmaakprofiel4 2 19 6 8 5" xfId="54918"/>
    <cellStyle name="TotRow - Opmaakprofiel4 2 19 6 9" xfId="18334"/>
    <cellStyle name="TotRow - Opmaakprofiel4 2 19 7" xfId="1580"/>
    <cellStyle name="TotRow - Opmaakprofiel4 2 19 7 2" xfId="11811"/>
    <cellStyle name="TotRow - Opmaakprofiel4 2 19 7 2 2" xfId="24110"/>
    <cellStyle name="TotRow - Opmaakprofiel4 2 19 7 2 3" xfId="36162"/>
    <cellStyle name="TotRow - Opmaakprofiel4 2 19 7 2 4" xfId="46885"/>
    <cellStyle name="TotRow - Opmaakprofiel4 2 19 7 2 5" xfId="56776"/>
    <cellStyle name="TotRow - Opmaakprofiel4 2 19 7 3" xfId="18341"/>
    <cellStyle name="TotRow - Opmaakprofiel4 2 19 7 4" xfId="30393"/>
    <cellStyle name="TotRow - Opmaakprofiel4 2 19 7 5" xfId="37625"/>
    <cellStyle name="TotRow - Opmaakprofiel4 2 19 7 6" xfId="51163"/>
    <cellStyle name="TotRow - Opmaakprofiel4 2 19 8" xfId="2831"/>
    <cellStyle name="TotRow - Opmaakprofiel4 2 19 8 2" xfId="11812"/>
    <cellStyle name="TotRow - Opmaakprofiel4 2 19 8 2 2" xfId="24111"/>
    <cellStyle name="TotRow - Opmaakprofiel4 2 19 8 2 3" xfId="36163"/>
    <cellStyle name="TotRow - Opmaakprofiel4 2 19 8 2 4" xfId="46886"/>
    <cellStyle name="TotRow - Opmaakprofiel4 2 19 8 2 5" xfId="56777"/>
    <cellStyle name="TotRow - Opmaakprofiel4 2 19 8 3" xfId="18342"/>
    <cellStyle name="TotRow - Opmaakprofiel4 2 19 8 4" xfId="30394"/>
    <cellStyle name="TotRow - Opmaakprofiel4 2 19 8 5" xfId="37624"/>
    <cellStyle name="TotRow - Opmaakprofiel4 2 19 8 6" xfId="51164"/>
    <cellStyle name="TotRow - Opmaakprofiel4 2 19 9" xfId="3689"/>
    <cellStyle name="TotRow - Opmaakprofiel4 2 19 9 2" xfId="11813"/>
    <cellStyle name="TotRow - Opmaakprofiel4 2 19 9 2 2" xfId="24112"/>
    <cellStyle name="TotRow - Opmaakprofiel4 2 19 9 2 3" xfId="36164"/>
    <cellStyle name="TotRow - Opmaakprofiel4 2 19 9 2 4" xfId="46887"/>
    <cellStyle name="TotRow - Opmaakprofiel4 2 19 9 2 5" xfId="56778"/>
    <cellStyle name="TotRow - Opmaakprofiel4 2 19 9 3" xfId="18343"/>
    <cellStyle name="TotRow - Opmaakprofiel4 2 19 9 4" xfId="30395"/>
    <cellStyle name="TotRow - Opmaakprofiel4 2 19 9 5" xfId="37623"/>
    <cellStyle name="TotRow - Opmaakprofiel4 2 19 9 6" xfId="51165"/>
    <cellStyle name="TotRow - Opmaakprofiel4 2 2" xfId="148"/>
    <cellStyle name="TotRow - Opmaakprofiel4 2 2 10" xfId="1365"/>
    <cellStyle name="TotRow - Opmaakprofiel4 2 2 10 2" xfId="1404"/>
    <cellStyle name="TotRow - Opmaakprofiel4 2 2 10 2 2" xfId="11814"/>
    <cellStyle name="TotRow - Opmaakprofiel4 2 2 10 2 2 2" xfId="24113"/>
    <cellStyle name="TotRow - Opmaakprofiel4 2 2 10 2 2 3" xfId="36165"/>
    <cellStyle name="TotRow - Opmaakprofiel4 2 2 10 2 2 4" xfId="46888"/>
    <cellStyle name="TotRow - Opmaakprofiel4 2 2 10 2 2 5" xfId="56779"/>
    <cellStyle name="TotRow - Opmaakprofiel4 2 2 10 2 3" xfId="18346"/>
    <cellStyle name="TotRow - Opmaakprofiel4 2 2 10 2 4" xfId="30398"/>
    <cellStyle name="TotRow - Opmaakprofiel4 2 2 10 2 5" xfId="37621"/>
    <cellStyle name="TotRow - Opmaakprofiel4 2 2 10 2 6" xfId="51166"/>
    <cellStyle name="TotRow - Opmaakprofiel4 2 2 10 3" xfId="3376"/>
    <cellStyle name="TotRow - Opmaakprofiel4 2 2 10 3 2" xfId="11815"/>
    <cellStyle name="TotRow - Opmaakprofiel4 2 2 10 3 2 2" xfId="24114"/>
    <cellStyle name="TotRow - Opmaakprofiel4 2 2 10 3 2 3" xfId="36166"/>
    <cellStyle name="TotRow - Opmaakprofiel4 2 2 10 3 2 4" xfId="46889"/>
    <cellStyle name="TotRow - Opmaakprofiel4 2 2 10 3 2 5" xfId="56780"/>
    <cellStyle name="TotRow - Opmaakprofiel4 2 2 10 3 3" xfId="18347"/>
    <cellStyle name="TotRow - Opmaakprofiel4 2 2 10 3 4" xfId="30399"/>
    <cellStyle name="TotRow - Opmaakprofiel4 2 2 10 3 5" xfId="44021"/>
    <cellStyle name="TotRow - Opmaakprofiel4 2 2 10 3 6" xfId="51167"/>
    <cellStyle name="TotRow - Opmaakprofiel4 2 2 10 4" xfId="4137"/>
    <cellStyle name="TotRow - Opmaakprofiel4 2 2 10 4 2" xfId="11816"/>
    <cellStyle name="TotRow - Opmaakprofiel4 2 2 10 4 2 2" xfId="24115"/>
    <cellStyle name="TotRow - Opmaakprofiel4 2 2 10 4 2 3" xfId="36167"/>
    <cellStyle name="TotRow - Opmaakprofiel4 2 2 10 4 2 4" xfId="46890"/>
    <cellStyle name="TotRow - Opmaakprofiel4 2 2 10 4 2 5" xfId="56781"/>
    <cellStyle name="TotRow - Opmaakprofiel4 2 2 10 4 3" xfId="18348"/>
    <cellStyle name="TotRow - Opmaakprofiel4 2 2 10 4 4" xfId="30400"/>
    <cellStyle name="TotRow - Opmaakprofiel4 2 2 10 4 5" xfId="37620"/>
    <cellStyle name="TotRow - Opmaakprofiel4 2 2 10 4 6" xfId="51168"/>
    <cellStyle name="TotRow - Opmaakprofiel4 2 2 10 5" xfId="6590"/>
    <cellStyle name="TotRow - Opmaakprofiel4 2 2 10 5 2" xfId="11817"/>
    <cellStyle name="TotRow - Opmaakprofiel4 2 2 10 5 2 2" xfId="24116"/>
    <cellStyle name="TotRow - Opmaakprofiel4 2 2 10 5 2 3" xfId="36168"/>
    <cellStyle name="TotRow - Opmaakprofiel4 2 2 10 5 2 4" xfId="46891"/>
    <cellStyle name="TotRow - Opmaakprofiel4 2 2 10 5 2 5" xfId="56782"/>
    <cellStyle name="TotRow - Opmaakprofiel4 2 2 10 5 3" xfId="18349"/>
    <cellStyle name="TotRow - Opmaakprofiel4 2 2 10 5 4" xfId="30401"/>
    <cellStyle name="TotRow - Opmaakprofiel4 2 2 10 5 5" xfId="37619"/>
    <cellStyle name="TotRow - Opmaakprofiel4 2 2 10 5 6" xfId="51169"/>
    <cellStyle name="TotRow - Opmaakprofiel4 2 2 10 6" xfId="6591"/>
    <cellStyle name="TotRow - Opmaakprofiel4 2 2 10 6 2" xfId="11818"/>
    <cellStyle name="TotRow - Opmaakprofiel4 2 2 10 6 2 2" xfId="24117"/>
    <cellStyle name="TotRow - Opmaakprofiel4 2 2 10 6 2 3" xfId="36169"/>
    <cellStyle name="TotRow - Opmaakprofiel4 2 2 10 6 2 4" xfId="46892"/>
    <cellStyle name="TotRow - Opmaakprofiel4 2 2 10 6 2 5" xfId="56783"/>
    <cellStyle name="TotRow - Opmaakprofiel4 2 2 10 6 3" xfId="18350"/>
    <cellStyle name="TotRow - Opmaakprofiel4 2 2 10 6 4" xfId="30402"/>
    <cellStyle name="TotRow - Opmaakprofiel4 2 2 10 6 5" xfId="37618"/>
    <cellStyle name="TotRow - Opmaakprofiel4 2 2 10 6 6" xfId="51170"/>
    <cellStyle name="TotRow - Opmaakprofiel4 2 2 10 7" xfId="6592"/>
    <cellStyle name="TotRow - Opmaakprofiel4 2 2 10 7 2" xfId="18351"/>
    <cellStyle name="TotRow - Opmaakprofiel4 2 2 10 7 3" xfId="30403"/>
    <cellStyle name="TotRow - Opmaakprofiel4 2 2 10 7 4" xfId="37617"/>
    <cellStyle name="TotRow - Opmaakprofiel4 2 2 10 7 5" xfId="51171"/>
    <cellStyle name="TotRow - Opmaakprofiel4 2 2 10 8" xfId="7020"/>
    <cellStyle name="TotRow - Opmaakprofiel4 2 2 10 8 2" xfId="19318"/>
    <cellStyle name="TotRow - Opmaakprofiel4 2 2 10 8 3" xfId="41121"/>
    <cellStyle name="TotRow - Opmaakprofiel4 2 2 10 8 4" xfId="37022"/>
    <cellStyle name="TotRow - Opmaakprofiel4 2 2 10 8 5" xfId="51991"/>
    <cellStyle name="TotRow - Opmaakprofiel4 2 2 10 9" xfId="18345"/>
    <cellStyle name="TotRow - Opmaakprofiel4 2 2 11" xfId="2049"/>
    <cellStyle name="TotRow - Opmaakprofiel4 2 2 11 2" xfId="11819"/>
    <cellStyle name="TotRow - Opmaakprofiel4 2 2 11 2 2" xfId="24118"/>
    <cellStyle name="TotRow - Opmaakprofiel4 2 2 11 2 3" xfId="36170"/>
    <cellStyle name="TotRow - Opmaakprofiel4 2 2 11 2 4" xfId="46893"/>
    <cellStyle name="TotRow - Opmaakprofiel4 2 2 11 2 5" xfId="56784"/>
    <cellStyle name="TotRow - Opmaakprofiel4 2 2 11 3" xfId="18352"/>
    <cellStyle name="TotRow - Opmaakprofiel4 2 2 11 4" xfId="30404"/>
    <cellStyle name="TotRow - Opmaakprofiel4 2 2 11 5" xfId="44018"/>
    <cellStyle name="TotRow - Opmaakprofiel4 2 2 11 6" xfId="51172"/>
    <cellStyle name="TotRow - Opmaakprofiel4 2 2 12" xfId="1924"/>
    <cellStyle name="TotRow - Opmaakprofiel4 2 2 12 2" xfId="11820"/>
    <cellStyle name="TotRow - Opmaakprofiel4 2 2 12 2 2" xfId="24119"/>
    <cellStyle name="TotRow - Opmaakprofiel4 2 2 12 2 3" xfId="36171"/>
    <cellStyle name="TotRow - Opmaakprofiel4 2 2 12 2 4" xfId="46894"/>
    <cellStyle name="TotRow - Opmaakprofiel4 2 2 12 2 5" xfId="56785"/>
    <cellStyle name="TotRow - Opmaakprofiel4 2 2 12 3" xfId="18353"/>
    <cellStyle name="TotRow - Opmaakprofiel4 2 2 12 4" xfId="30405"/>
    <cellStyle name="TotRow - Opmaakprofiel4 2 2 12 5" xfId="37616"/>
    <cellStyle name="TotRow - Opmaakprofiel4 2 2 12 6" xfId="51173"/>
    <cellStyle name="TotRow - Opmaakprofiel4 2 2 13" xfId="2478"/>
    <cellStyle name="TotRow - Opmaakprofiel4 2 2 13 2" xfId="11821"/>
    <cellStyle name="TotRow - Opmaakprofiel4 2 2 13 2 2" xfId="24120"/>
    <cellStyle name="TotRow - Opmaakprofiel4 2 2 13 2 3" xfId="36172"/>
    <cellStyle name="TotRow - Opmaakprofiel4 2 2 13 2 4" xfId="46895"/>
    <cellStyle name="TotRow - Opmaakprofiel4 2 2 13 2 5" xfId="56786"/>
    <cellStyle name="TotRow - Opmaakprofiel4 2 2 13 3" xfId="18354"/>
    <cellStyle name="TotRow - Opmaakprofiel4 2 2 13 4" xfId="30406"/>
    <cellStyle name="TotRow - Opmaakprofiel4 2 2 13 5" xfId="37615"/>
    <cellStyle name="TotRow - Opmaakprofiel4 2 2 13 6" xfId="51174"/>
    <cellStyle name="TotRow - Opmaakprofiel4 2 2 14" xfId="6593"/>
    <cellStyle name="TotRow - Opmaakprofiel4 2 2 14 2" xfId="11822"/>
    <cellStyle name="TotRow - Opmaakprofiel4 2 2 14 2 2" xfId="24121"/>
    <cellStyle name="TotRow - Opmaakprofiel4 2 2 14 2 3" xfId="36173"/>
    <cellStyle name="TotRow - Opmaakprofiel4 2 2 14 2 4" xfId="46896"/>
    <cellStyle name="TotRow - Opmaakprofiel4 2 2 14 2 5" xfId="56787"/>
    <cellStyle name="TotRow - Opmaakprofiel4 2 2 14 3" xfId="18355"/>
    <cellStyle name="TotRow - Opmaakprofiel4 2 2 14 4" xfId="30407"/>
    <cellStyle name="TotRow - Opmaakprofiel4 2 2 14 5" xfId="44017"/>
    <cellStyle name="TotRow - Opmaakprofiel4 2 2 14 6" xfId="51175"/>
    <cellStyle name="TotRow - Opmaakprofiel4 2 2 15" xfId="6594"/>
    <cellStyle name="TotRow - Opmaakprofiel4 2 2 15 2" xfId="11823"/>
    <cellStyle name="TotRow - Opmaakprofiel4 2 2 15 2 2" xfId="24122"/>
    <cellStyle name="TotRow - Opmaakprofiel4 2 2 15 2 3" xfId="36174"/>
    <cellStyle name="TotRow - Opmaakprofiel4 2 2 15 2 4" xfId="46897"/>
    <cellStyle name="TotRow - Opmaakprofiel4 2 2 15 2 5" xfId="56788"/>
    <cellStyle name="TotRow - Opmaakprofiel4 2 2 15 3" xfId="18356"/>
    <cellStyle name="TotRow - Opmaakprofiel4 2 2 15 4" xfId="30408"/>
    <cellStyle name="TotRow - Opmaakprofiel4 2 2 15 5" xfId="37614"/>
    <cellStyle name="TotRow - Opmaakprofiel4 2 2 15 6" xfId="51176"/>
    <cellStyle name="TotRow - Opmaakprofiel4 2 2 16" xfId="6595"/>
    <cellStyle name="TotRow - Opmaakprofiel4 2 2 16 2" xfId="18357"/>
    <cellStyle name="TotRow - Opmaakprofiel4 2 2 16 3" xfId="30409"/>
    <cellStyle name="TotRow - Opmaakprofiel4 2 2 16 4" xfId="37613"/>
    <cellStyle name="TotRow - Opmaakprofiel4 2 2 16 5" xfId="51177"/>
    <cellStyle name="TotRow - Opmaakprofiel4 2 2 17" xfId="10514"/>
    <cellStyle name="TotRow - Opmaakprofiel4 2 2 17 2" xfId="22812"/>
    <cellStyle name="TotRow - Opmaakprofiel4 2 2 17 3" xfId="44571"/>
    <cellStyle name="TotRow - Opmaakprofiel4 2 2 17 4" xfId="42243"/>
    <cellStyle name="TotRow - Opmaakprofiel4 2 2 17 5" xfId="55479"/>
    <cellStyle name="TotRow - Opmaakprofiel4 2 2 18" xfId="18344"/>
    <cellStyle name="TotRow - Opmaakprofiel4 2 2 2" xfId="335"/>
    <cellStyle name="TotRow - Opmaakprofiel4 2 2 2 10" xfId="1700"/>
    <cellStyle name="TotRow - Opmaakprofiel4 2 2 2 10 2" xfId="11824"/>
    <cellStyle name="TotRow - Opmaakprofiel4 2 2 2 10 2 2" xfId="24123"/>
    <cellStyle name="TotRow - Opmaakprofiel4 2 2 2 10 2 3" xfId="36175"/>
    <cellStyle name="TotRow - Opmaakprofiel4 2 2 2 10 2 4" xfId="46898"/>
    <cellStyle name="TotRow - Opmaakprofiel4 2 2 2 10 2 5" xfId="56789"/>
    <cellStyle name="TotRow - Opmaakprofiel4 2 2 2 10 3" xfId="18359"/>
    <cellStyle name="TotRow - Opmaakprofiel4 2 2 2 10 4" xfId="30411"/>
    <cellStyle name="TotRow - Opmaakprofiel4 2 2 2 10 5" xfId="37611"/>
    <cellStyle name="TotRow - Opmaakprofiel4 2 2 2 10 6" xfId="51178"/>
    <cellStyle name="TotRow - Opmaakprofiel4 2 2 2 11" xfId="1858"/>
    <cellStyle name="TotRow - Opmaakprofiel4 2 2 2 11 2" xfId="11825"/>
    <cellStyle name="TotRow - Opmaakprofiel4 2 2 2 11 2 2" xfId="24124"/>
    <cellStyle name="TotRow - Opmaakprofiel4 2 2 2 11 2 3" xfId="36176"/>
    <cellStyle name="TotRow - Opmaakprofiel4 2 2 2 11 2 4" xfId="46899"/>
    <cellStyle name="TotRow - Opmaakprofiel4 2 2 2 11 2 5" xfId="56790"/>
    <cellStyle name="TotRow - Opmaakprofiel4 2 2 2 11 3" xfId="18360"/>
    <cellStyle name="TotRow - Opmaakprofiel4 2 2 2 11 4" xfId="30412"/>
    <cellStyle name="TotRow - Opmaakprofiel4 2 2 2 11 5" xfId="44014"/>
    <cellStyle name="TotRow - Opmaakprofiel4 2 2 2 11 6" xfId="51179"/>
    <cellStyle name="TotRow - Opmaakprofiel4 2 2 2 12" xfId="2116"/>
    <cellStyle name="TotRow - Opmaakprofiel4 2 2 2 12 2" xfId="11826"/>
    <cellStyle name="TotRow - Opmaakprofiel4 2 2 2 12 2 2" xfId="24125"/>
    <cellStyle name="TotRow - Opmaakprofiel4 2 2 2 12 2 3" xfId="36177"/>
    <cellStyle name="TotRow - Opmaakprofiel4 2 2 2 12 2 4" xfId="46900"/>
    <cellStyle name="TotRow - Opmaakprofiel4 2 2 2 12 2 5" xfId="56791"/>
    <cellStyle name="TotRow - Opmaakprofiel4 2 2 2 12 3" xfId="18361"/>
    <cellStyle name="TotRow - Opmaakprofiel4 2 2 2 12 4" xfId="30413"/>
    <cellStyle name="TotRow - Opmaakprofiel4 2 2 2 12 5" xfId="37610"/>
    <cellStyle name="TotRow - Opmaakprofiel4 2 2 2 12 6" xfId="51180"/>
    <cellStyle name="TotRow - Opmaakprofiel4 2 2 2 13" xfId="6596"/>
    <cellStyle name="TotRow - Opmaakprofiel4 2 2 2 13 2" xfId="11827"/>
    <cellStyle name="TotRow - Opmaakprofiel4 2 2 2 13 2 2" xfId="24126"/>
    <cellStyle name="TotRow - Opmaakprofiel4 2 2 2 13 2 3" xfId="36178"/>
    <cellStyle name="TotRow - Opmaakprofiel4 2 2 2 13 2 4" xfId="46901"/>
    <cellStyle name="TotRow - Opmaakprofiel4 2 2 2 13 2 5" xfId="56792"/>
    <cellStyle name="TotRow - Opmaakprofiel4 2 2 2 13 3" xfId="18362"/>
    <cellStyle name="TotRow - Opmaakprofiel4 2 2 2 13 4" xfId="30414"/>
    <cellStyle name="TotRow - Opmaakprofiel4 2 2 2 13 5" xfId="37609"/>
    <cellStyle name="TotRow - Opmaakprofiel4 2 2 2 13 6" xfId="51181"/>
    <cellStyle name="TotRow - Opmaakprofiel4 2 2 2 14" xfId="6597"/>
    <cellStyle name="TotRow - Opmaakprofiel4 2 2 2 14 2" xfId="11828"/>
    <cellStyle name="TotRow - Opmaakprofiel4 2 2 2 14 2 2" xfId="24127"/>
    <cellStyle name="TotRow - Opmaakprofiel4 2 2 2 14 2 3" xfId="36179"/>
    <cellStyle name="TotRow - Opmaakprofiel4 2 2 2 14 2 4" xfId="46902"/>
    <cellStyle name="TotRow - Opmaakprofiel4 2 2 2 14 2 5" xfId="56793"/>
    <cellStyle name="TotRow - Opmaakprofiel4 2 2 2 14 3" xfId="18363"/>
    <cellStyle name="TotRow - Opmaakprofiel4 2 2 2 14 4" xfId="30415"/>
    <cellStyle name="TotRow - Opmaakprofiel4 2 2 2 14 5" xfId="44013"/>
    <cellStyle name="TotRow - Opmaakprofiel4 2 2 2 14 6" xfId="51182"/>
    <cellStyle name="TotRow - Opmaakprofiel4 2 2 2 15" xfId="6598"/>
    <cellStyle name="TotRow - Opmaakprofiel4 2 2 2 15 2" xfId="18364"/>
    <cellStyle name="TotRow - Opmaakprofiel4 2 2 2 15 3" xfId="30416"/>
    <cellStyle name="TotRow - Opmaakprofiel4 2 2 2 15 4" xfId="37608"/>
    <cellStyle name="TotRow - Opmaakprofiel4 2 2 2 15 5" xfId="51183"/>
    <cellStyle name="TotRow - Opmaakprofiel4 2 2 2 16" xfId="10453"/>
    <cellStyle name="TotRow - Opmaakprofiel4 2 2 2 16 2" xfId="22751"/>
    <cellStyle name="TotRow - Opmaakprofiel4 2 2 2 16 3" xfId="44510"/>
    <cellStyle name="TotRow - Opmaakprofiel4 2 2 2 16 4" xfId="29334"/>
    <cellStyle name="TotRow - Opmaakprofiel4 2 2 2 16 5" xfId="55418"/>
    <cellStyle name="TotRow - Opmaakprofiel4 2 2 2 17" xfId="18358"/>
    <cellStyle name="TotRow - Opmaakprofiel4 2 2 2 2" xfId="613"/>
    <cellStyle name="TotRow - Opmaakprofiel4 2 2 2 2 2" xfId="1926"/>
    <cellStyle name="TotRow - Opmaakprofiel4 2 2 2 2 2 2" xfId="11829"/>
    <cellStyle name="TotRow - Opmaakprofiel4 2 2 2 2 2 2 2" xfId="24128"/>
    <cellStyle name="TotRow - Opmaakprofiel4 2 2 2 2 2 2 3" xfId="36180"/>
    <cellStyle name="TotRow - Opmaakprofiel4 2 2 2 2 2 2 4" xfId="46903"/>
    <cellStyle name="TotRow - Opmaakprofiel4 2 2 2 2 2 2 5" xfId="56794"/>
    <cellStyle name="TotRow - Opmaakprofiel4 2 2 2 2 2 3" xfId="18366"/>
    <cellStyle name="TotRow - Opmaakprofiel4 2 2 2 2 2 4" xfId="30418"/>
    <cellStyle name="TotRow - Opmaakprofiel4 2 2 2 2 2 5" xfId="37606"/>
    <cellStyle name="TotRow - Opmaakprofiel4 2 2 2 2 2 6" xfId="51184"/>
    <cellStyle name="TotRow - Opmaakprofiel4 2 2 2 2 3" xfId="2684"/>
    <cellStyle name="TotRow - Opmaakprofiel4 2 2 2 2 3 2" xfId="11830"/>
    <cellStyle name="TotRow - Opmaakprofiel4 2 2 2 2 3 2 2" xfId="24129"/>
    <cellStyle name="TotRow - Opmaakprofiel4 2 2 2 2 3 2 3" xfId="36181"/>
    <cellStyle name="TotRow - Opmaakprofiel4 2 2 2 2 3 2 4" xfId="46904"/>
    <cellStyle name="TotRow - Opmaakprofiel4 2 2 2 2 3 2 5" xfId="56795"/>
    <cellStyle name="TotRow - Opmaakprofiel4 2 2 2 2 3 3" xfId="18367"/>
    <cellStyle name="TotRow - Opmaakprofiel4 2 2 2 2 3 4" xfId="30419"/>
    <cellStyle name="TotRow - Opmaakprofiel4 2 2 2 2 3 5" xfId="44011"/>
    <cellStyle name="TotRow - Opmaakprofiel4 2 2 2 2 3 6" xfId="51185"/>
    <cellStyle name="TotRow - Opmaakprofiel4 2 2 2 2 4" xfId="3556"/>
    <cellStyle name="TotRow - Opmaakprofiel4 2 2 2 2 4 2" xfId="11831"/>
    <cellStyle name="TotRow - Opmaakprofiel4 2 2 2 2 4 2 2" xfId="24130"/>
    <cellStyle name="TotRow - Opmaakprofiel4 2 2 2 2 4 2 3" xfId="36182"/>
    <cellStyle name="TotRow - Opmaakprofiel4 2 2 2 2 4 2 4" xfId="46905"/>
    <cellStyle name="TotRow - Opmaakprofiel4 2 2 2 2 4 2 5" xfId="56796"/>
    <cellStyle name="TotRow - Opmaakprofiel4 2 2 2 2 4 3" xfId="18368"/>
    <cellStyle name="TotRow - Opmaakprofiel4 2 2 2 2 4 4" xfId="30420"/>
    <cellStyle name="TotRow - Opmaakprofiel4 2 2 2 2 4 5" xfId="37605"/>
    <cellStyle name="TotRow - Opmaakprofiel4 2 2 2 2 4 6" xfId="51186"/>
    <cellStyle name="TotRow - Opmaakprofiel4 2 2 2 2 5" xfId="6599"/>
    <cellStyle name="TotRow - Opmaakprofiel4 2 2 2 2 5 2" xfId="11832"/>
    <cellStyle name="TotRow - Opmaakprofiel4 2 2 2 2 5 2 2" xfId="24131"/>
    <cellStyle name="TotRow - Opmaakprofiel4 2 2 2 2 5 2 3" xfId="36183"/>
    <cellStyle name="TotRow - Opmaakprofiel4 2 2 2 2 5 2 4" xfId="46906"/>
    <cellStyle name="TotRow - Opmaakprofiel4 2 2 2 2 5 2 5" xfId="56797"/>
    <cellStyle name="TotRow - Opmaakprofiel4 2 2 2 2 5 3" xfId="18369"/>
    <cellStyle name="TotRow - Opmaakprofiel4 2 2 2 2 5 4" xfId="30421"/>
    <cellStyle name="TotRow - Opmaakprofiel4 2 2 2 2 5 5" xfId="37604"/>
    <cellStyle name="TotRow - Opmaakprofiel4 2 2 2 2 5 6" xfId="51187"/>
    <cellStyle name="TotRow - Opmaakprofiel4 2 2 2 2 6" xfId="6600"/>
    <cellStyle name="TotRow - Opmaakprofiel4 2 2 2 2 6 2" xfId="11833"/>
    <cellStyle name="TotRow - Opmaakprofiel4 2 2 2 2 6 2 2" xfId="24132"/>
    <cellStyle name="TotRow - Opmaakprofiel4 2 2 2 2 6 2 3" xfId="36184"/>
    <cellStyle name="TotRow - Opmaakprofiel4 2 2 2 2 6 2 4" xfId="46907"/>
    <cellStyle name="TotRow - Opmaakprofiel4 2 2 2 2 6 2 5" xfId="56798"/>
    <cellStyle name="TotRow - Opmaakprofiel4 2 2 2 2 6 3" xfId="18370"/>
    <cellStyle name="TotRow - Opmaakprofiel4 2 2 2 2 6 4" xfId="30422"/>
    <cellStyle name="TotRow - Opmaakprofiel4 2 2 2 2 6 5" xfId="44010"/>
    <cellStyle name="TotRow - Opmaakprofiel4 2 2 2 2 6 6" xfId="51188"/>
    <cellStyle name="TotRow - Opmaakprofiel4 2 2 2 2 7" xfId="6601"/>
    <cellStyle name="TotRow - Opmaakprofiel4 2 2 2 2 7 2" xfId="18371"/>
    <cellStyle name="TotRow - Opmaakprofiel4 2 2 2 2 7 3" xfId="30423"/>
    <cellStyle name="TotRow - Opmaakprofiel4 2 2 2 2 7 4" xfId="37603"/>
    <cellStyle name="TotRow - Opmaakprofiel4 2 2 2 2 7 5" xfId="51189"/>
    <cellStyle name="TotRow - Opmaakprofiel4 2 2 2 2 8" xfId="7573"/>
    <cellStyle name="TotRow - Opmaakprofiel4 2 2 2 2 8 2" xfId="19871"/>
    <cellStyle name="TotRow - Opmaakprofiel4 2 2 2 2 8 3" xfId="41674"/>
    <cellStyle name="TotRow - Opmaakprofiel4 2 2 2 2 8 4" xfId="24835"/>
    <cellStyle name="TotRow - Opmaakprofiel4 2 2 2 2 8 5" xfId="52543"/>
    <cellStyle name="TotRow - Opmaakprofiel4 2 2 2 2 9" xfId="18365"/>
    <cellStyle name="TotRow - Opmaakprofiel4 2 2 2 3" xfId="553"/>
    <cellStyle name="TotRow - Opmaakprofiel4 2 2 2 3 2" xfId="1878"/>
    <cellStyle name="TotRow - Opmaakprofiel4 2 2 2 3 2 2" xfId="11834"/>
    <cellStyle name="TotRow - Opmaakprofiel4 2 2 2 3 2 2 2" xfId="24133"/>
    <cellStyle name="TotRow - Opmaakprofiel4 2 2 2 3 2 2 3" xfId="36185"/>
    <cellStyle name="TotRow - Opmaakprofiel4 2 2 2 3 2 2 4" xfId="46908"/>
    <cellStyle name="TotRow - Opmaakprofiel4 2 2 2 3 2 2 5" xfId="56799"/>
    <cellStyle name="TotRow - Opmaakprofiel4 2 2 2 3 2 3" xfId="18373"/>
    <cellStyle name="TotRow - Opmaakprofiel4 2 2 2 3 2 4" xfId="30425"/>
    <cellStyle name="TotRow - Opmaakprofiel4 2 2 2 3 2 5" xfId="44009"/>
    <cellStyle name="TotRow - Opmaakprofiel4 2 2 2 3 2 6" xfId="51190"/>
    <cellStyle name="TotRow - Opmaakprofiel4 2 2 2 3 3" xfId="2624"/>
    <cellStyle name="TotRow - Opmaakprofiel4 2 2 2 3 3 2" xfId="11835"/>
    <cellStyle name="TotRow - Opmaakprofiel4 2 2 2 3 3 2 2" xfId="24134"/>
    <cellStyle name="TotRow - Opmaakprofiel4 2 2 2 3 3 2 3" xfId="36186"/>
    <cellStyle name="TotRow - Opmaakprofiel4 2 2 2 3 3 2 4" xfId="46909"/>
    <cellStyle name="TotRow - Opmaakprofiel4 2 2 2 3 3 2 5" xfId="56800"/>
    <cellStyle name="TotRow - Opmaakprofiel4 2 2 2 3 3 3" xfId="18374"/>
    <cellStyle name="TotRow - Opmaakprofiel4 2 2 2 3 3 4" xfId="30426"/>
    <cellStyle name="TotRow - Opmaakprofiel4 2 2 2 3 3 5" xfId="37601"/>
    <cellStyle name="TotRow - Opmaakprofiel4 2 2 2 3 3 6" xfId="51191"/>
    <cellStyle name="TotRow - Opmaakprofiel4 2 2 2 3 4" xfId="3502"/>
    <cellStyle name="TotRow - Opmaakprofiel4 2 2 2 3 4 2" xfId="11836"/>
    <cellStyle name="TotRow - Opmaakprofiel4 2 2 2 3 4 2 2" xfId="24135"/>
    <cellStyle name="TotRow - Opmaakprofiel4 2 2 2 3 4 2 3" xfId="36187"/>
    <cellStyle name="TotRow - Opmaakprofiel4 2 2 2 3 4 2 4" xfId="46910"/>
    <cellStyle name="TotRow - Opmaakprofiel4 2 2 2 3 4 2 5" xfId="56801"/>
    <cellStyle name="TotRow - Opmaakprofiel4 2 2 2 3 4 3" xfId="18375"/>
    <cellStyle name="TotRow - Opmaakprofiel4 2 2 2 3 4 4" xfId="30427"/>
    <cellStyle name="TotRow - Opmaakprofiel4 2 2 2 3 4 5" xfId="37600"/>
    <cellStyle name="TotRow - Opmaakprofiel4 2 2 2 3 4 6" xfId="51192"/>
    <cellStyle name="TotRow - Opmaakprofiel4 2 2 2 3 5" xfId="6602"/>
    <cellStyle name="TotRow - Opmaakprofiel4 2 2 2 3 5 2" xfId="11837"/>
    <cellStyle name="TotRow - Opmaakprofiel4 2 2 2 3 5 2 2" xfId="24136"/>
    <cellStyle name="TotRow - Opmaakprofiel4 2 2 2 3 5 2 3" xfId="36188"/>
    <cellStyle name="TotRow - Opmaakprofiel4 2 2 2 3 5 2 4" xfId="46911"/>
    <cellStyle name="TotRow - Opmaakprofiel4 2 2 2 3 5 2 5" xfId="56802"/>
    <cellStyle name="TotRow - Opmaakprofiel4 2 2 2 3 5 3" xfId="18376"/>
    <cellStyle name="TotRow - Opmaakprofiel4 2 2 2 3 5 4" xfId="30428"/>
    <cellStyle name="TotRow - Opmaakprofiel4 2 2 2 3 5 5" xfId="37599"/>
    <cellStyle name="TotRow - Opmaakprofiel4 2 2 2 3 5 6" xfId="51193"/>
    <cellStyle name="TotRow - Opmaakprofiel4 2 2 2 3 6" xfId="6603"/>
    <cellStyle name="TotRow - Opmaakprofiel4 2 2 2 3 6 2" xfId="11838"/>
    <cellStyle name="TotRow - Opmaakprofiel4 2 2 2 3 6 2 2" xfId="24137"/>
    <cellStyle name="TotRow - Opmaakprofiel4 2 2 2 3 6 2 3" xfId="36189"/>
    <cellStyle name="TotRow - Opmaakprofiel4 2 2 2 3 6 2 4" xfId="46912"/>
    <cellStyle name="TotRow - Opmaakprofiel4 2 2 2 3 6 2 5" xfId="56803"/>
    <cellStyle name="TotRow - Opmaakprofiel4 2 2 2 3 6 3" xfId="18377"/>
    <cellStyle name="TotRow - Opmaakprofiel4 2 2 2 3 6 4" xfId="30429"/>
    <cellStyle name="TotRow - Opmaakprofiel4 2 2 2 3 6 5" xfId="44007"/>
    <cellStyle name="TotRow - Opmaakprofiel4 2 2 2 3 6 6" xfId="51194"/>
    <cellStyle name="TotRow - Opmaakprofiel4 2 2 2 3 7" xfId="6604"/>
    <cellStyle name="TotRow - Opmaakprofiel4 2 2 2 3 7 2" xfId="18378"/>
    <cellStyle name="TotRow - Opmaakprofiel4 2 2 2 3 7 3" xfId="30430"/>
    <cellStyle name="TotRow - Opmaakprofiel4 2 2 2 3 7 4" xfId="37598"/>
    <cellStyle name="TotRow - Opmaakprofiel4 2 2 2 3 7 5" xfId="51195"/>
    <cellStyle name="TotRow - Opmaakprofiel4 2 2 2 3 8" xfId="7613"/>
    <cellStyle name="TotRow - Opmaakprofiel4 2 2 2 3 8 2" xfId="19911"/>
    <cellStyle name="TotRow - Opmaakprofiel4 2 2 2 3 8 3" xfId="41714"/>
    <cellStyle name="TotRow - Opmaakprofiel4 2 2 2 3 8 4" xfId="31505"/>
    <cellStyle name="TotRow - Opmaakprofiel4 2 2 2 3 8 5" xfId="52583"/>
    <cellStyle name="TotRow - Opmaakprofiel4 2 2 2 3 9" xfId="18372"/>
    <cellStyle name="TotRow - Opmaakprofiel4 2 2 2 4" xfId="651"/>
    <cellStyle name="TotRow - Opmaakprofiel4 2 2 2 4 2" xfId="1775"/>
    <cellStyle name="TotRow - Opmaakprofiel4 2 2 2 4 2 2" xfId="11839"/>
    <cellStyle name="TotRow - Opmaakprofiel4 2 2 2 4 2 2 2" xfId="24138"/>
    <cellStyle name="TotRow - Opmaakprofiel4 2 2 2 4 2 2 3" xfId="36190"/>
    <cellStyle name="TotRow - Opmaakprofiel4 2 2 2 4 2 2 4" xfId="46913"/>
    <cellStyle name="TotRow - Opmaakprofiel4 2 2 2 4 2 2 5" xfId="56804"/>
    <cellStyle name="TotRow - Opmaakprofiel4 2 2 2 4 2 3" xfId="18380"/>
    <cellStyle name="TotRow - Opmaakprofiel4 2 2 2 4 2 4" xfId="30432"/>
    <cellStyle name="TotRow - Opmaakprofiel4 2 2 2 4 2 5" xfId="37596"/>
    <cellStyle name="TotRow - Opmaakprofiel4 2 2 2 4 2 6" xfId="51196"/>
    <cellStyle name="TotRow - Opmaakprofiel4 2 2 2 4 3" xfId="2717"/>
    <cellStyle name="TotRow - Opmaakprofiel4 2 2 2 4 3 2" xfId="11840"/>
    <cellStyle name="TotRow - Opmaakprofiel4 2 2 2 4 3 2 2" xfId="24139"/>
    <cellStyle name="TotRow - Opmaakprofiel4 2 2 2 4 3 2 3" xfId="36191"/>
    <cellStyle name="TotRow - Opmaakprofiel4 2 2 2 4 3 2 4" xfId="46914"/>
    <cellStyle name="TotRow - Opmaakprofiel4 2 2 2 4 3 2 5" xfId="56805"/>
    <cellStyle name="TotRow - Opmaakprofiel4 2 2 2 4 3 3" xfId="18381"/>
    <cellStyle name="TotRow - Opmaakprofiel4 2 2 2 4 3 4" xfId="30433"/>
    <cellStyle name="TotRow - Opmaakprofiel4 2 2 2 4 3 5" xfId="37595"/>
    <cellStyle name="TotRow - Opmaakprofiel4 2 2 2 4 3 6" xfId="51197"/>
    <cellStyle name="TotRow - Opmaakprofiel4 2 2 2 4 4" xfId="3584"/>
    <cellStyle name="TotRow - Opmaakprofiel4 2 2 2 4 4 2" xfId="11841"/>
    <cellStyle name="TotRow - Opmaakprofiel4 2 2 2 4 4 2 2" xfId="24140"/>
    <cellStyle name="TotRow - Opmaakprofiel4 2 2 2 4 4 2 3" xfId="36192"/>
    <cellStyle name="TotRow - Opmaakprofiel4 2 2 2 4 4 2 4" xfId="46915"/>
    <cellStyle name="TotRow - Opmaakprofiel4 2 2 2 4 4 2 5" xfId="56806"/>
    <cellStyle name="TotRow - Opmaakprofiel4 2 2 2 4 4 3" xfId="18382"/>
    <cellStyle name="TotRow - Opmaakprofiel4 2 2 2 4 4 4" xfId="30434"/>
    <cellStyle name="TotRow - Opmaakprofiel4 2 2 2 4 4 5" xfId="37594"/>
    <cellStyle name="TotRow - Opmaakprofiel4 2 2 2 4 4 6" xfId="51198"/>
    <cellStyle name="TotRow - Opmaakprofiel4 2 2 2 4 5" xfId="6605"/>
    <cellStyle name="TotRow - Opmaakprofiel4 2 2 2 4 5 2" xfId="11842"/>
    <cellStyle name="TotRow - Opmaakprofiel4 2 2 2 4 5 2 2" xfId="24141"/>
    <cellStyle name="TotRow - Opmaakprofiel4 2 2 2 4 5 2 3" xfId="36193"/>
    <cellStyle name="TotRow - Opmaakprofiel4 2 2 2 4 5 2 4" xfId="46916"/>
    <cellStyle name="TotRow - Opmaakprofiel4 2 2 2 4 5 2 5" xfId="56807"/>
    <cellStyle name="TotRow - Opmaakprofiel4 2 2 2 4 5 3" xfId="18383"/>
    <cellStyle name="TotRow - Opmaakprofiel4 2 2 2 4 5 4" xfId="30435"/>
    <cellStyle name="TotRow - Opmaakprofiel4 2 2 2 4 5 5" xfId="44003"/>
    <cellStyle name="TotRow - Opmaakprofiel4 2 2 2 4 5 6" xfId="51199"/>
    <cellStyle name="TotRow - Opmaakprofiel4 2 2 2 4 6" xfId="6606"/>
    <cellStyle name="TotRow - Opmaakprofiel4 2 2 2 4 6 2" xfId="11843"/>
    <cellStyle name="TotRow - Opmaakprofiel4 2 2 2 4 6 2 2" xfId="24142"/>
    <cellStyle name="TotRow - Opmaakprofiel4 2 2 2 4 6 2 3" xfId="36194"/>
    <cellStyle name="TotRow - Opmaakprofiel4 2 2 2 4 6 2 4" xfId="46917"/>
    <cellStyle name="TotRow - Opmaakprofiel4 2 2 2 4 6 2 5" xfId="56808"/>
    <cellStyle name="TotRow - Opmaakprofiel4 2 2 2 4 6 3" xfId="18384"/>
    <cellStyle name="TotRow - Opmaakprofiel4 2 2 2 4 6 4" xfId="30436"/>
    <cellStyle name="TotRow - Opmaakprofiel4 2 2 2 4 6 5" xfId="37593"/>
    <cellStyle name="TotRow - Opmaakprofiel4 2 2 2 4 6 6" xfId="51200"/>
    <cellStyle name="TotRow - Opmaakprofiel4 2 2 2 4 7" xfId="6607"/>
    <cellStyle name="TotRow - Opmaakprofiel4 2 2 2 4 7 2" xfId="18385"/>
    <cellStyle name="TotRow - Opmaakprofiel4 2 2 2 4 7 3" xfId="30437"/>
    <cellStyle name="TotRow - Opmaakprofiel4 2 2 2 4 7 4" xfId="37592"/>
    <cellStyle name="TotRow - Opmaakprofiel4 2 2 2 4 7 5" xfId="51201"/>
    <cellStyle name="TotRow - Opmaakprofiel4 2 2 2 4 8" xfId="7548"/>
    <cellStyle name="TotRow - Opmaakprofiel4 2 2 2 4 8 2" xfId="19846"/>
    <cellStyle name="TotRow - Opmaakprofiel4 2 2 2 4 8 3" xfId="41649"/>
    <cellStyle name="TotRow - Opmaakprofiel4 2 2 2 4 8 4" xfId="43463"/>
    <cellStyle name="TotRow - Opmaakprofiel4 2 2 2 4 8 5" xfId="52518"/>
    <cellStyle name="TotRow - Opmaakprofiel4 2 2 2 4 9" xfId="18379"/>
    <cellStyle name="TotRow - Opmaakprofiel4 2 2 2 5" xfId="566"/>
    <cellStyle name="TotRow - Opmaakprofiel4 2 2 2 5 2" xfId="1953"/>
    <cellStyle name="TotRow - Opmaakprofiel4 2 2 2 5 2 2" xfId="11844"/>
    <cellStyle name="TotRow - Opmaakprofiel4 2 2 2 5 2 2 2" xfId="24143"/>
    <cellStyle name="TotRow - Opmaakprofiel4 2 2 2 5 2 2 3" xfId="36195"/>
    <cellStyle name="TotRow - Opmaakprofiel4 2 2 2 5 2 2 4" xfId="46918"/>
    <cellStyle name="TotRow - Opmaakprofiel4 2 2 2 5 2 2 5" xfId="56809"/>
    <cellStyle name="TotRow - Opmaakprofiel4 2 2 2 5 2 3" xfId="18387"/>
    <cellStyle name="TotRow - Opmaakprofiel4 2 2 2 5 2 4" xfId="30439"/>
    <cellStyle name="TotRow - Opmaakprofiel4 2 2 2 5 2 5" xfId="37591"/>
    <cellStyle name="TotRow - Opmaakprofiel4 2 2 2 5 2 6" xfId="51202"/>
    <cellStyle name="TotRow - Opmaakprofiel4 2 2 2 5 3" xfId="2637"/>
    <cellStyle name="TotRow - Opmaakprofiel4 2 2 2 5 3 2" xfId="11845"/>
    <cellStyle name="TotRow - Opmaakprofiel4 2 2 2 5 3 2 2" xfId="24144"/>
    <cellStyle name="TotRow - Opmaakprofiel4 2 2 2 5 3 2 3" xfId="36196"/>
    <cellStyle name="TotRow - Opmaakprofiel4 2 2 2 5 3 2 4" xfId="46919"/>
    <cellStyle name="TotRow - Opmaakprofiel4 2 2 2 5 3 2 5" xfId="56810"/>
    <cellStyle name="TotRow - Opmaakprofiel4 2 2 2 5 3 3" xfId="18388"/>
    <cellStyle name="TotRow - Opmaakprofiel4 2 2 2 5 3 4" xfId="30440"/>
    <cellStyle name="TotRow - Opmaakprofiel4 2 2 2 5 3 5" xfId="37590"/>
    <cellStyle name="TotRow - Opmaakprofiel4 2 2 2 5 3 6" xfId="51203"/>
    <cellStyle name="TotRow - Opmaakprofiel4 2 2 2 5 4" xfId="3515"/>
    <cellStyle name="TotRow - Opmaakprofiel4 2 2 2 5 4 2" xfId="11846"/>
    <cellStyle name="TotRow - Opmaakprofiel4 2 2 2 5 4 2 2" xfId="24145"/>
    <cellStyle name="TotRow - Opmaakprofiel4 2 2 2 5 4 2 3" xfId="36197"/>
    <cellStyle name="TotRow - Opmaakprofiel4 2 2 2 5 4 2 4" xfId="46920"/>
    <cellStyle name="TotRow - Opmaakprofiel4 2 2 2 5 4 2 5" xfId="56811"/>
    <cellStyle name="TotRow - Opmaakprofiel4 2 2 2 5 4 3" xfId="18389"/>
    <cellStyle name="TotRow - Opmaakprofiel4 2 2 2 5 4 4" xfId="30441"/>
    <cellStyle name="TotRow - Opmaakprofiel4 2 2 2 5 4 5" xfId="44002"/>
    <cellStyle name="TotRow - Opmaakprofiel4 2 2 2 5 4 6" xfId="51204"/>
    <cellStyle name="TotRow - Opmaakprofiel4 2 2 2 5 5" xfId="6608"/>
    <cellStyle name="TotRow - Opmaakprofiel4 2 2 2 5 5 2" xfId="11847"/>
    <cellStyle name="TotRow - Opmaakprofiel4 2 2 2 5 5 2 2" xfId="24146"/>
    <cellStyle name="TotRow - Opmaakprofiel4 2 2 2 5 5 2 3" xfId="36198"/>
    <cellStyle name="TotRow - Opmaakprofiel4 2 2 2 5 5 2 4" xfId="46921"/>
    <cellStyle name="TotRow - Opmaakprofiel4 2 2 2 5 5 2 5" xfId="56812"/>
    <cellStyle name="TotRow - Opmaakprofiel4 2 2 2 5 5 3" xfId="18390"/>
    <cellStyle name="TotRow - Opmaakprofiel4 2 2 2 5 5 4" xfId="30442"/>
    <cellStyle name="TotRow - Opmaakprofiel4 2 2 2 5 5 5" xfId="37589"/>
    <cellStyle name="TotRow - Opmaakprofiel4 2 2 2 5 5 6" xfId="51205"/>
    <cellStyle name="TotRow - Opmaakprofiel4 2 2 2 5 6" xfId="6609"/>
    <cellStyle name="TotRow - Opmaakprofiel4 2 2 2 5 6 2" xfId="11848"/>
    <cellStyle name="TotRow - Opmaakprofiel4 2 2 2 5 6 2 2" xfId="24147"/>
    <cellStyle name="TotRow - Opmaakprofiel4 2 2 2 5 6 2 3" xfId="36199"/>
    <cellStyle name="TotRow - Opmaakprofiel4 2 2 2 5 6 2 4" xfId="46922"/>
    <cellStyle name="TotRow - Opmaakprofiel4 2 2 2 5 6 2 5" xfId="56813"/>
    <cellStyle name="TotRow - Opmaakprofiel4 2 2 2 5 6 3" xfId="18391"/>
    <cellStyle name="TotRow - Opmaakprofiel4 2 2 2 5 6 4" xfId="30443"/>
    <cellStyle name="TotRow - Opmaakprofiel4 2 2 2 5 6 5" xfId="37588"/>
    <cellStyle name="TotRow - Opmaakprofiel4 2 2 2 5 6 6" xfId="51206"/>
    <cellStyle name="TotRow - Opmaakprofiel4 2 2 2 5 7" xfId="6610"/>
    <cellStyle name="TotRow - Opmaakprofiel4 2 2 2 5 7 2" xfId="18392"/>
    <cellStyle name="TotRow - Opmaakprofiel4 2 2 2 5 7 3" xfId="30444"/>
    <cellStyle name="TotRow - Opmaakprofiel4 2 2 2 5 7 4" xfId="37587"/>
    <cellStyle name="TotRow - Opmaakprofiel4 2 2 2 5 7 5" xfId="51207"/>
    <cellStyle name="TotRow - Opmaakprofiel4 2 2 2 5 8" xfId="10295"/>
    <cellStyle name="TotRow - Opmaakprofiel4 2 2 2 5 8 2" xfId="22593"/>
    <cellStyle name="TotRow - Opmaakprofiel4 2 2 2 5 8 3" xfId="44354"/>
    <cellStyle name="TotRow - Opmaakprofiel4 2 2 2 5 8 4" xfId="29008"/>
    <cellStyle name="TotRow - Opmaakprofiel4 2 2 2 5 8 5" xfId="55260"/>
    <cellStyle name="TotRow - Opmaakprofiel4 2 2 2 5 9" xfId="18386"/>
    <cellStyle name="TotRow - Opmaakprofiel4 2 2 2 6" xfId="426"/>
    <cellStyle name="TotRow - Opmaakprofiel4 2 2 2 6 2" xfId="2297"/>
    <cellStyle name="TotRow - Opmaakprofiel4 2 2 2 6 2 2" xfId="11849"/>
    <cellStyle name="TotRow - Opmaakprofiel4 2 2 2 6 2 2 2" xfId="24148"/>
    <cellStyle name="TotRow - Opmaakprofiel4 2 2 2 6 2 2 3" xfId="36200"/>
    <cellStyle name="TotRow - Opmaakprofiel4 2 2 2 6 2 2 4" xfId="46923"/>
    <cellStyle name="TotRow - Opmaakprofiel4 2 2 2 6 2 2 5" xfId="56814"/>
    <cellStyle name="TotRow - Opmaakprofiel4 2 2 2 6 2 3" xfId="18394"/>
    <cellStyle name="TotRow - Opmaakprofiel4 2 2 2 6 2 4" xfId="30446"/>
    <cellStyle name="TotRow - Opmaakprofiel4 2 2 2 6 2 5" xfId="37586"/>
    <cellStyle name="TotRow - Opmaakprofiel4 2 2 2 6 2 6" xfId="51208"/>
    <cellStyle name="TotRow - Opmaakprofiel4 2 2 2 6 3" xfId="2497"/>
    <cellStyle name="TotRow - Opmaakprofiel4 2 2 2 6 3 2" xfId="11850"/>
    <cellStyle name="TotRow - Opmaakprofiel4 2 2 2 6 3 2 2" xfId="24149"/>
    <cellStyle name="TotRow - Opmaakprofiel4 2 2 2 6 3 2 3" xfId="36201"/>
    <cellStyle name="TotRow - Opmaakprofiel4 2 2 2 6 3 2 4" xfId="46924"/>
    <cellStyle name="TotRow - Opmaakprofiel4 2 2 2 6 3 2 5" xfId="56815"/>
    <cellStyle name="TotRow - Opmaakprofiel4 2 2 2 6 3 3" xfId="18395"/>
    <cellStyle name="TotRow - Opmaakprofiel4 2 2 2 6 3 4" xfId="30447"/>
    <cellStyle name="TotRow - Opmaakprofiel4 2 2 2 6 3 5" xfId="37585"/>
    <cellStyle name="TotRow - Opmaakprofiel4 2 2 2 6 3 6" xfId="51209"/>
    <cellStyle name="TotRow - Opmaakprofiel4 2 2 2 6 4" xfId="2132"/>
    <cellStyle name="TotRow - Opmaakprofiel4 2 2 2 6 4 2" xfId="11851"/>
    <cellStyle name="TotRow - Opmaakprofiel4 2 2 2 6 4 2 2" xfId="24150"/>
    <cellStyle name="TotRow - Opmaakprofiel4 2 2 2 6 4 2 3" xfId="36202"/>
    <cellStyle name="TotRow - Opmaakprofiel4 2 2 2 6 4 2 4" xfId="46925"/>
    <cellStyle name="TotRow - Opmaakprofiel4 2 2 2 6 4 2 5" xfId="56816"/>
    <cellStyle name="TotRow - Opmaakprofiel4 2 2 2 6 4 3" xfId="18396"/>
    <cellStyle name="TotRow - Opmaakprofiel4 2 2 2 6 4 4" xfId="30448"/>
    <cellStyle name="TotRow - Opmaakprofiel4 2 2 2 6 4 5" xfId="37584"/>
    <cellStyle name="TotRow - Opmaakprofiel4 2 2 2 6 4 6" xfId="51210"/>
    <cellStyle name="TotRow - Opmaakprofiel4 2 2 2 6 5" xfId="6611"/>
    <cellStyle name="TotRow - Opmaakprofiel4 2 2 2 6 5 2" xfId="11852"/>
    <cellStyle name="TotRow - Opmaakprofiel4 2 2 2 6 5 2 2" xfId="24151"/>
    <cellStyle name="TotRow - Opmaakprofiel4 2 2 2 6 5 2 3" xfId="36203"/>
    <cellStyle name="TotRow - Opmaakprofiel4 2 2 2 6 5 2 4" xfId="46926"/>
    <cellStyle name="TotRow - Opmaakprofiel4 2 2 2 6 5 2 5" xfId="56817"/>
    <cellStyle name="TotRow - Opmaakprofiel4 2 2 2 6 5 3" xfId="18397"/>
    <cellStyle name="TotRow - Opmaakprofiel4 2 2 2 6 5 4" xfId="30449"/>
    <cellStyle name="TotRow - Opmaakprofiel4 2 2 2 6 5 5" xfId="37583"/>
    <cellStyle name="TotRow - Opmaakprofiel4 2 2 2 6 5 6" xfId="51211"/>
    <cellStyle name="TotRow - Opmaakprofiel4 2 2 2 6 6" xfId="6612"/>
    <cellStyle name="TotRow - Opmaakprofiel4 2 2 2 6 6 2" xfId="11853"/>
    <cellStyle name="TotRow - Opmaakprofiel4 2 2 2 6 6 2 2" xfId="24152"/>
    <cellStyle name="TotRow - Opmaakprofiel4 2 2 2 6 6 2 3" xfId="36204"/>
    <cellStyle name="TotRow - Opmaakprofiel4 2 2 2 6 6 2 4" xfId="46927"/>
    <cellStyle name="TotRow - Opmaakprofiel4 2 2 2 6 6 2 5" xfId="56818"/>
    <cellStyle name="TotRow - Opmaakprofiel4 2 2 2 6 6 3" xfId="18398"/>
    <cellStyle name="TotRow - Opmaakprofiel4 2 2 2 6 6 4" xfId="30450"/>
    <cellStyle name="TotRow - Opmaakprofiel4 2 2 2 6 6 5" xfId="37582"/>
    <cellStyle name="TotRow - Opmaakprofiel4 2 2 2 6 6 6" xfId="51212"/>
    <cellStyle name="TotRow - Opmaakprofiel4 2 2 2 6 7" xfId="6613"/>
    <cellStyle name="TotRow - Opmaakprofiel4 2 2 2 6 7 2" xfId="18399"/>
    <cellStyle name="TotRow - Opmaakprofiel4 2 2 2 6 7 3" xfId="30451"/>
    <cellStyle name="TotRow - Opmaakprofiel4 2 2 2 6 7 4" xfId="37581"/>
    <cellStyle name="TotRow - Opmaakprofiel4 2 2 2 6 7 5" xfId="51213"/>
    <cellStyle name="TotRow - Opmaakprofiel4 2 2 2 6 8" xfId="10389"/>
    <cellStyle name="TotRow - Opmaakprofiel4 2 2 2 6 8 2" xfId="22687"/>
    <cellStyle name="TotRow - Opmaakprofiel4 2 2 2 6 8 3" xfId="44447"/>
    <cellStyle name="TotRow - Opmaakprofiel4 2 2 2 6 8 4" xfId="29200"/>
    <cellStyle name="TotRow - Opmaakprofiel4 2 2 2 6 8 5" xfId="55354"/>
    <cellStyle name="TotRow - Opmaakprofiel4 2 2 2 6 9" xfId="18393"/>
    <cellStyle name="TotRow - Opmaakprofiel4 2 2 2 7" xfId="1127"/>
    <cellStyle name="TotRow - Opmaakprofiel4 2 2 2 7 2" xfId="1803"/>
    <cellStyle name="TotRow - Opmaakprofiel4 2 2 2 7 2 2" xfId="11854"/>
    <cellStyle name="TotRow - Opmaakprofiel4 2 2 2 7 2 2 2" xfId="24153"/>
    <cellStyle name="TotRow - Opmaakprofiel4 2 2 2 7 2 2 3" xfId="36205"/>
    <cellStyle name="TotRow - Opmaakprofiel4 2 2 2 7 2 2 4" xfId="46928"/>
    <cellStyle name="TotRow - Opmaakprofiel4 2 2 2 7 2 2 5" xfId="56819"/>
    <cellStyle name="TotRow - Opmaakprofiel4 2 2 2 7 2 3" xfId="18401"/>
    <cellStyle name="TotRow - Opmaakprofiel4 2 2 2 7 2 4" xfId="30453"/>
    <cellStyle name="TotRow - Opmaakprofiel4 2 2 2 7 2 5" xfId="37580"/>
    <cellStyle name="TotRow - Opmaakprofiel4 2 2 2 7 2 6" xfId="51214"/>
    <cellStyle name="TotRow - Opmaakprofiel4 2 2 2 7 3" xfId="3138"/>
    <cellStyle name="TotRow - Opmaakprofiel4 2 2 2 7 3 2" xfId="11855"/>
    <cellStyle name="TotRow - Opmaakprofiel4 2 2 2 7 3 2 2" xfId="24154"/>
    <cellStyle name="TotRow - Opmaakprofiel4 2 2 2 7 3 2 3" xfId="36206"/>
    <cellStyle name="TotRow - Opmaakprofiel4 2 2 2 7 3 2 4" xfId="46929"/>
    <cellStyle name="TotRow - Opmaakprofiel4 2 2 2 7 3 2 5" xfId="56820"/>
    <cellStyle name="TotRow - Opmaakprofiel4 2 2 2 7 3 3" xfId="18402"/>
    <cellStyle name="TotRow - Opmaakprofiel4 2 2 2 7 3 4" xfId="30454"/>
    <cellStyle name="TotRow - Opmaakprofiel4 2 2 2 7 3 5" xfId="37579"/>
    <cellStyle name="TotRow - Opmaakprofiel4 2 2 2 7 3 6" xfId="51215"/>
    <cellStyle name="TotRow - Opmaakprofiel4 2 2 2 7 4" xfId="3970"/>
    <cellStyle name="TotRow - Opmaakprofiel4 2 2 2 7 4 2" xfId="11856"/>
    <cellStyle name="TotRow - Opmaakprofiel4 2 2 2 7 4 2 2" xfId="24155"/>
    <cellStyle name="TotRow - Opmaakprofiel4 2 2 2 7 4 2 3" xfId="36207"/>
    <cellStyle name="TotRow - Opmaakprofiel4 2 2 2 7 4 2 4" xfId="46930"/>
    <cellStyle name="TotRow - Opmaakprofiel4 2 2 2 7 4 2 5" xfId="56821"/>
    <cellStyle name="TotRow - Opmaakprofiel4 2 2 2 7 4 3" xfId="18403"/>
    <cellStyle name="TotRow - Opmaakprofiel4 2 2 2 7 4 4" xfId="30455"/>
    <cellStyle name="TotRow - Opmaakprofiel4 2 2 2 7 4 5" xfId="43994"/>
    <cellStyle name="TotRow - Opmaakprofiel4 2 2 2 7 4 6" xfId="51216"/>
    <cellStyle name="TotRow - Opmaakprofiel4 2 2 2 7 5" xfId="6614"/>
    <cellStyle name="TotRow - Opmaakprofiel4 2 2 2 7 5 2" xfId="11857"/>
    <cellStyle name="TotRow - Opmaakprofiel4 2 2 2 7 5 2 2" xfId="24156"/>
    <cellStyle name="TotRow - Opmaakprofiel4 2 2 2 7 5 2 3" xfId="36208"/>
    <cellStyle name="TotRow - Opmaakprofiel4 2 2 2 7 5 2 4" xfId="46931"/>
    <cellStyle name="TotRow - Opmaakprofiel4 2 2 2 7 5 2 5" xfId="56822"/>
    <cellStyle name="TotRow - Opmaakprofiel4 2 2 2 7 5 3" xfId="18404"/>
    <cellStyle name="TotRow - Opmaakprofiel4 2 2 2 7 5 4" xfId="30456"/>
    <cellStyle name="TotRow - Opmaakprofiel4 2 2 2 7 5 5" xfId="37578"/>
    <cellStyle name="TotRow - Opmaakprofiel4 2 2 2 7 5 6" xfId="51217"/>
    <cellStyle name="TotRow - Opmaakprofiel4 2 2 2 7 6" xfId="6615"/>
    <cellStyle name="TotRow - Opmaakprofiel4 2 2 2 7 6 2" xfId="11858"/>
    <cellStyle name="TotRow - Opmaakprofiel4 2 2 2 7 6 2 2" xfId="24157"/>
    <cellStyle name="TotRow - Opmaakprofiel4 2 2 2 7 6 2 3" xfId="36209"/>
    <cellStyle name="TotRow - Opmaakprofiel4 2 2 2 7 6 2 4" xfId="46932"/>
    <cellStyle name="TotRow - Opmaakprofiel4 2 2 2 7 6 2 5" xfId="56823"/>
    <cellStyle name="TotRow - Opmaakprofiel4 2 2 2 7 6 3" xfId="18405"/>
    <cellStyle name="TotRow - Opmaakprofiel4 2 2 2 7 6 4" xfId="30457"/>
    <cellStyle name="TotRow - Opmaakprofiel4 2 2 2 7 6 5" xfId="37577"/>
    <cellStyle name="TotRow - Opmaakprofiel4 2 2 2 7 6 6" xfId="51218"/>
    <cellStyle name="TotRow - Opmaakprofiel4 2 2 2 7 7" xfId="6616"/>
    <cellStyle name="TotRow - Opmaakprofiel4 2 2 2 7 7 2" xfId="18406"/>
    <cellStyle name="TotRow - Opmaakprofiel4 2 2 2 7 7 3" xfId="30458"/>
    <cellStyle name="TotRow - Opmaakprofiel4 2 2 2 7 7 4" xfId="37576"/>
    <cellStyle name="TotRow - Opmaakprofiel4 2 2 2 7 7 5" xfId="51219"/>
    <cellStyle name="TotRow - Opmaakprofiel4 2 2 2 7 8" xfId="7224"/>
    <cellStyle name="TotRow - Opmaakprofiel4 2 2 2 7 8 2" xfId="19522"/>
    <cellStyle name="TotRow - Opmaakprofiel4 2 2 2 7 8 3" xfId="41325"/>
    <cellStyle name="TotRow - Opmaakprofiel4 2 2 2 7 8 4" xfId="43598"/>
    <cellStyle name="TotRow - Opmaakprofiel4 2 2 2 7 8 5" xfId="52194"/>
    <cellStyle name="TotRow - Opmaakprofiel4 2 2 2 7 9" xfId="18400"/>
    <cellStyle name="TotRow - Opmaakprofiel4 2 2 2 8" xfId="1311"/>
    <cellStyle name="TotRow - Opmaakprofiel4 2 2 2 8 2" xfId="1684"/>
    <cellStyle name="TotRow - Opmaakprofiel4 2 2 2 8 2 2" xfId="11859"/>
    <cellStyle name="TotRow - Opmaakprofiel4 2 2 2 8 2 2 2" xfId="24158"/>
    <cellStyle name="TotRow - Opmaakprofiel4 2 2 2 8 2 2 3" xfId="36210"/>
    <cellStyle name="TotRow - Opmaakprofiel4 2 2 2 8 2 2 4" xfId="46933"/>
    <cellStyle name="TotRow - Opmaakprofiel4 2 2 2 8 2 2 5" xfId="56824"/>
    <cellStyle name="TotRow - Opmaakprofiel4 2 2 2 8 2 3" xfId="18408"/>
    <cellStyle name="TotRow - Opmaakprofiel4 2 2 2 8 2 4" xfId="30460"/>
    <cellStyle name="TotRow - Opmaakprofiel4 2 2 2 8 2 5" xfId="43991"/>
    <cellStyle name="TotRow - Opmaakprofiel4 2 2 2 8 2 6" xfId="51220"/>
    <cellStyle name="TotRow - Opmaakprofiel4 2 2 2 8 3" xfId="3322"/>
    <cellStyle name="TotRow - Opmaakprofiel4 2 2 2 8 3 2" xfId="11860"/>
    <cellStyle name="TotRow - Opmaakprofiel4 2 2 2 8 3 2 2" xfId="24159"/>
    <cellStyle name="TotRow - Opmaakprofiel4 2 2 2 8 3 2 3" xfId="36211"/>
    <cellStyle name="TotRow - Opmaakprofiel4 2 2 2 8 3 2 4" xfId="46934"/>
    <cellStyle name="TotRow - Opmaakprofiel4 2 2 2 8 3 2 5" xfId="56825"/>
    <cellStyle name="TotRow - Opmaakprofiel4 2 2 2 8 3 3" xfId="18409"/>
    <cellStyle name="TotRow - Opmaakprofiel4 2 2 2 8 3 4" xfId="30461"/>
    <cellStyle name="TotRow - Opmaakprofiel4 2 2 2 8 3 5" xfId="37574"/>
    <cellStyle name="TotRow - Opmaakprofiel4 2 2 2 8 3 6" xfId="51221"/>
    <cellStyle name="TotRow - Opmaakprofiel4 2 2 2 8 4" xfId="4103"/>
    <cellStyle name="TotRow - Opmaakprofiel4 2 2 2 8 4 2" xfId="11861"/>
    <cellStyle name="TotRow - Opmaakprofiel4 2 2 2 8 4 2 2" xfId="24160"/>
    <cellStyle name="TotRow - Opmaakprofiel4 2 2 2 8 4 2 3" xfId="36212"/>
    <cellStyle name="TotRow - Opmaakprofiel4 2 2 2 8 4 2 4" xfId="46935"/>
    <cellStyle name="TotRow - Opmaakprofiel4 2 2 2 8 4 2 5" xfId="56826"/>
    <cellStyle name="TotRow - Opmaakprofiel4 2 2 2 8 4 3" xfId="18410"/>
    <cellStyle name="TotRow - Opmaakprofiel4 2 2 2 8 4 4" xfId="30462"/>
    <cellStyle name="TotRow - Opmaakprofiel4 2 2 2 8 4 5" xfId="37573"/>
    <cellStyle name="TotRow - Opmaakprofiel4 2 2 2 8 4 6" xfId="51222"/>
    <cellStyle name="TotRow - Opmaakprofiel4 2 2 2 8 5" xfId="6617"/>
    <cellStyle name="TotRow - Opmaakprofiel4 2 2 2 8 5 2" xfId="11862"/>
    <cellStyle name="TotRow - Opmaakprofiel4 2 2 2 8 5 2 2" xfId="24161"/>
    <cellStyle name="TotRow - Opmaakprofiel4 2 2 2 8 5 2 3" xfId="36213"/>
    <cellStyle name="TotRow - Opmaakprofiel4 2 2 2 8 5 2 4" xfId="46936"/>
    <cellStyle name="TotRow - Opmaakprofiel4 2 2 2 8 5 2 5" xfId="56827"/>
    <cellStyle name="TotRow - Opmaakprofiel4 2 2 2 8 5 3" xfId="18411"/>
    <cellStyle name="TotRow - Opmaakprofiel4 2 2 2 8 5 4" xfId="30463"/>
    <cellStyle name="TotRow - Opmaakprofiel4 2 2 2 8 5 5" xfId="43990"/>
    <cellStyle name="TotRow - Opmaakprofiel4 2 2 2 8 5 6" xfId="51223"/>
    <cellStyle name="TotRow - Opmaakprofiel4 2 2 2 8 6" xfId="6618"/>
    <cellStyle name="TotRow - Opmaakprofiel4 2 2 2 8 6 2" xfId="11863"/>
    <cellStyle name="TotRow - Opmaakprofiel4 2 2 2 8 6 2 2" xfId="24162"/>
    <cellStyle name="TotRow - Opmaakprofiel4 2 2 2 8 6 2 3" xfId="36214"/>
    <cellStyle name="TotRow - Opmaakprofiel4 2 2 2 8 6 2 4" xfId="46937"/>
    <cellStyle name="TotRow - Opmaakprofiel4 2 2 2 8 6 2 5" xfId="56828"/>
    <cellStyle name="TotRow - Opmaakprofiel4 2 2 2 8 6 3" xfId="18412"/>
    <cellStyle name="TotRow - Opmaakprofiel4 2 2 2 8 6 4" xfId="30464"/>
    <cellStyle name="TotRow - Opmaakprofiel4 2 2 2 8 6 5" xfId="37572"/>
    <cellStyle name="TotRow - Opmaakprofiel4 2 2 2 8 6 6" xfId="51224"/>
    <cellStyle name="TotRow - Opmaakprofiel4 2 2 2 8 7" xfId="6619"/>
    <cellStyle name="TotRow - Opmaakprofiel4 2 2 2 8 7 2" xfId="18413"/>
    <cellStyle name="TotRow - Opmaakprofiel4 2 2 2 8 7 3" xfId="30465"/>
    <cellStyle name="TotRow - Opmaakprofiel4 2 2 2 8 7 4" xfId="37571"/>
    <cellStyle name="TotRow - Opmaakprofiel4 2 2 2 8 7 5" xfId="51225"/>
    <cellStyle name="TotRow - Opmaakprofiel4 2 2 2 8 8" xfId="7066"/>
    <cellStyle name="TotRow - Opmaakprofiel4 2 2 2 8 8 2" xfId="19364"/>
    <cellStyle name="TotRow - Opmaakprofiel4 2 2 2 8 8 3" xfId="41167"/>
    <cellStyle name="TotRow - Opmaakprofiel4 2 2 2 8 8 4" xfId="43664"/>
    <cellStyle name="TotRow - Opmaakprofiel4 2 2 2 8 8 5" xfId="52037"/>
    <cellStyle name="TotRow - Opmaakprofiel4 2 2 2 8 9" xfId="18407"/>
    <cellStyle name="TotRow - Opmaakprofiel4 2 2 2 9" xfId="1367"/>
    <cellStyle name="TotRow - Opmaakprofiel4 2 2 2 9 2" xfId="1402"/>
    <cellStyle name="TotRow - Opmaakprofiel4 2 2 2 9 2 2" xfId="11864"/>
    <cellStyle name="TotRow - Opmaakprofiel4 2 2 2 9 2 2 2" xfId="24163"/>
    <cellStyle name="TotRow - Opmaakprofiel4 2 2 2 9 2 2 3" xfId="36215"/>
    <cellStyle name="TotRow - Opmaakprofiel4 2 2 2 9 2 2 4" xfId="46938"/>
    <cellStyle name="TotRow - Opmaakprofiel4 2 2 2 9 2 2 5" xfId="56829"/>
    <cellStyle name="TotRow - Opmaakprofiel4 2 2 2 9 2 3" xfId="18415"/>
    <cellStyle name="TotRow - Opmaakprofiel4 2 2 2 9 2 4" xfId="30467"/>
    <cellStyle name="TotRow - Opmaakprofiel4 2 2 2 9 2 5" xfId="37569"/>
    <cellStyle name="TotRow - Opmaakprofiel4 2 2 2 9 2 6" xfId="51226"/>
    <cellStyle name="TotRow - Opmaakprofiel4 2 2 2 9 3" xfId="3378"/>
    <cellStyle name="TotRow - Opmaakprofiel4 2 2 2 9 3 2" xfId="11865"/>
    <cellStyle name="TotRow - Opmaakprofiel4 2 2 2 9 3 2 2" xfId="24164"/>
    <cellStyle name="TotRow - Opmaakprofiel4 2 2 2 9 3 2 3" xfId="36216"/>
    <cellStyle name="TotRow - Opmaakprofiel4 2 2 2 9 3 2 4" xfId="46939"/>
    <cellStyle name="TotRow - Opmaakprofiel4 2 2 2 9 3 2 5" xfId="56830"/>
    <cellStyle name="TotRow - Opmaakprofiel4 2 2 2 9 3 3" xfId="18416"/>
    <cellStyle name="TotRow - Opmaakprofiel4 2 2 2 9 3 4" xfId="30468"/>
    <cellStyle name="TotRow - Opmaakprofiel4 2 2 2 9 3 5" xfId="43987"/>
    <cellStyle name="TotRow - Opmaakprofiel4 2 2 2 9 3 6" xfId="51227"/>
    <cellStyle name="TotRow - Opmaakprofiel4 2 2 2 9 4" xfId="4139"/>
    <cellStyle name="TotRow - Opmaakprofiel4 2 2 2 9 4 2" xfId="11866"/>
    <cellStyle name="TotRow - Opmaakprofiel4 2 2 2 9 4 2 2" xfId="24165"/>
    <cellStyle name="TotRow - Opmaakprofiel4 2 2 2 9 4 2 3" xfId="36217"/>
    <cellStyle name="TotRow - Opmaakprofiel4 2 2 2 9 4 2 4" xfId="46940"/>
    <cellStyle name="TotRow - Opmaakprofiel4 2 2 2 9 4 2 5" xfId="56831"/>
    <cellStyle name="TotRow - Opmaakprofiel4 2 2 2 9 4 3" xfId="18417"/>
    <cellStyle name="TotRow - Opmaakprofiel4 2 2 2 9 4 4" xfId="30469"/>
    <cellStyle name="TotRow - Opmaakprofiel4 2 2 2 9 4 5" xfId="37568"/>
    <cellStyle name="TotRow - Opmaakprofiel4 2 2 2 9 4 6" xfId="51228"/>
    <cellStyle name="TotRow - Opmaakprofiel4 2 2 2 9 5" xfId="6620"/>
    <cellStyle name="TotRow - Opmaakprofiel4 2 2 2 9 5 2" xfId="11867"/>
    <cellStyle name="TotRow - Opmaakprofiel4 2 2 2 9 5 2 2" xfId="24166"/>
    <cellStyle name="TotRow - Opmaakprofiel4 2 2 2 9 5 2 3" xfId="36218"/>
    <cellStyle name="TotRow - Opmaakprofiel4 2 2 2 9 5 2 4" xfId="46941"/>
    <cellStyle name="TotRow - Opmaakprofiel4 2 2 2 9 5 2 5" xfId="56832"/>
    <cellStyle name="TotRow - Opmaakprofiel4 2 2 2 9 5 3" xfId="18418"/>
    <cellStyle name="TotRow - Opmaakprofiel4 2 2 2 9 5 4" xfId="30470"/>
    <cellStyle name="TotRow - Opmaakprofiel4 2 2 2 9 5 5" xfId="37567"/>
    <cellStyle name="TotRow - Opmaakprofiel4 2 2 2 9 5 6" xfId="51229"/>
    <cellStyle name="TotRow - Opmaakprofiel4 2 2 2 9 6" xfId="6621"/>
    <cellStyle name="TotRow - Opmaakprofiel4 2 2 2 9 6 2" xfId="11868"/>
    <cellStyle name="TotRow - Opmaakprofiel4 2 2 2 9 6 2 2" xfId="24167"/>
    <cellStyle name="TotRow - Opmaakprofiel4 2 2 2 9 6 2 3" xfId="36219"/>
    <cellStyle name="TotRow - Opmaakprofiel4 2 2 2 9 6 2 4" xfId="46942"/>
    <cellStyle name="TotRow - Opmaakprofiel4 2 2 2 9 6 2 5" xfId="56833"/>
    <cellStyle name="TotRow - Opmaakprofiel4 2 2 2 9 6 3" xfId="18419"/>
    <cellStyle name="TotRow - Opmaakprofiel4 2 2 2 9 6 4" xfId="30471"/>
    <cellStyle name="TotRow - Opmaakprofiel4 2 2 2 9 6 5" xfId="43986"/>
    <cellStyle name="TotRow - Opmaakprofiel4 2 2 2 9 6 6" xfId="51230"/>
    <cellStyle name="TotRow - Opmaakprofiel4 2 2 2 9 7" xfId="6622"/>
    <cellStyle name="TotRow - Opmaakprofiel4 2 2 2 9 7 2" xfId="18420"/>
    <cellStyle name="TotRow - Opmaakprofiel4 2 2 2 9 7 3" xfId="30472"/>
    <cellStyle name="TotRow - Opmaakprofiel4 2 2 2 9 7 4" xfId="37566"/>
    <cellStyle name="TotRow - Opmaakprofiel4 2 2 2 9 7 5" xfId="51231"/>
    <cellStyle name="TotRow - Opmaakprofiel4 2 2 2 9 8" xfId="7018"/>
    <cellStyle name="TotRow - Opmaakprofiel4 2 2 2 9 8 2" xfId="19316"/>
    <cellStyle name="TotRow - Opmaakprofiel4 2 2 2 9 8 3" xfId="41119"/>
    <cellStyle name="TotRow - Opmaakprofiel4 2 2 2 9 8 4" xfId="37023"/>
    <cellStyle name="TotRow - Opmaakprofiel4 2 2 2 9 8 5" xfId="51989"/>
    <cellStyle name="TotRow - Opmaakprofiel4 2 2 2 9 9" xfId="18414"/>
    <cellStyle name="TotRow - Opmaakprofiel4 2 2 3" xfId="552"/>
    <cellStyle name="TotRow - Opmaakprofiel4 2 2 3 2" xfId="2427"/>
    <cellStyle name="TotRow - Opmaakprofiel4 2 2 3 2 2" xfId="11869"/>
    <cellStyle name="TotRow - Opmaakprofiel4 2 2 3 2 2 2" xfId="24168"/>
    <cellStyle name="TotRow - Opmaakprofiel4 2 2 3 2 2 3" xfId="36220"/>
    <cellStyle name="TotRow - Opmaakprofiel4 2 2 3 2 2 4" xfId="46943"/>
    <cellStyle name="TotRow - Opmaakprofiel4 2 2 3 2 2 5" xfId="56834"/>
    <cellStyle name="TotRow - Opmaakprofiel4 2 2 3 2 3" xfId="18422"/>
    <cellStyle name="TotRow - Opmaakprofiel4 2 2 3 2 4" xfId="30474"/>
    <cellStyle name="TotRow - Opmaakprofiel4 2 2 3 2 5" xfId="37564"/>
    <cellStyle name="TotRow - Opmaakprofiel4 2 2 3 2 6" xfId="51232"/>
    <cellStyle name="TotRow - Opmaakprofiel4 2 2 3 3" xfId="2623"/>
    <cellStyle name="TotRow - Opmaakprofiel4 2 2 3 3 2" xfId="11870"/>
    <cellStyle name="TotRow - Opmaakprofiel4 2 2 3 3 2 2" xfId="24169"/>
    <cellStyle name="TotRow - Opmaakprofiel4 2 2 3 3 2 3" xfId="36221"/>
    <cellStyle name="TotRow - Opmaakprofiel4 2 2 3 3 2 4" xfId="46944"/>
    <cellStyle name="TotRow - Opmaakprofiel4 2 2 3 3 2 5" xfId="56835"/>
    <cellStyle name="TotRow - Opmaakprofiel4 2 2 3 3 3" xfId="18423"/>
    <cellStyle name="TotRow - Opmaakprofiel4 2 2 3 3 4" xfId="30475"/>
    <cellStyle name="TotRow - Opmaakprofiel4 2 2 3 3 5" xfId="37563"/>
    <cellStyle name="TotRow - Opmaakprofiel4 2 2 3 3 6" xfId="51233"/>
    <cellStyle name="TotRow - Opmaakprofiel4 2 2 3 4" xfId="3501"/>
    <cellStyle name="TotRow - Opmaakprofiel4 2 2 3 4 2" xfId="11871"/>
    <cellStyle name="TotRow - Opmaakprofiel4 2 2 3 4 2 2" xfId="24170"/>
    <cellStyle name="TotRow - Opmaakprofiel4 2 2 3 4 2 3" xfId="36222"/>
    <cellStyle name="TotRow - Opmaakprofiel4 2 2 3 4 2 4" xfId="46945"/>
    <cellStyle name="TotRow - Opmaakprofiel4 2 2 3 4 2 5" xfId="56836"/>
    <cellStyle name="TotRow - Opmaakprofiel4 2 2 3 4 3" xfId="18424"/>
    <cellStyle name="TotRow - Opmaakprofiel4 2 2 3 4 4" xfId="30476"/>
    <cellStyle name="TotRow - Opmaakprofiel4 2 2 3 4 5" xfId="43983"/>
    <cellStyle name="TotRow - Opmaakprofiel4 2 2 3 4 6" xfId="51234"/>
    <cellStyle name="TotRow - Opmaakprofiel4 2 2 3 5" xfId="6623"/>
    <cellStyle name="TotRow - Opmaakprofiel4 2 2 3 5 2" xfId="11872"/>
    <cellStyle name="TotRow - Opmaakprofiel4 2 2 3 5 2 2" xfId="24171"/>
    <cellStyle name="TotRow - Opmaakprofiel4 2 2 3 5 2 3" xfId="36223"/>
    <cellStyle name="TotRow - Opmaakprofiel4 2 2 3 5 2 4" xfId="46946"/>
    <cellStyle name="TotRow - Opmaakprofiel4 2 2 3 5 2 5" xfId="56837"/>
    <cellStyle name="TotRow - Opmaakprofiel4 2 2 3 5 3" xfId="18425"/>
    <cellStyle name="TotRow - Opmaakprofiel4 2 2 3 5 4" xfId="30477"/>
    <cellStyle name="TotRow - Opmaakprofiel4 2 2 3 5 5" xfId="37562"/>
    <cellStyle name="TotRow - Opmaakprofiel4 2 2 3 5 6" xfId="51235"/>
    <cellStyle name="TotRow - Opmaakprofiel4 2 2 3 6" xfId="6624"/>
    <cellStyle name="TotRow - Opmaakprofiel4 2 2 3 6 2" xfId="11873"/>
    <cellStyle name="TotRow - Opmaakprofiel4 2 2 3 6 2 2" xfId="24172"/>
    <cellStyle name="TotRow - Opmaakprofiel4 2 2 3 6 2 3" xfId="36224"/>
    <cellStyle name="TotRow - Opmaakprofiel4 2 2 3 6 2 4" xfId="46947"/>
    <cellStyle name="TotRow - Opmaakprofiel4 2 2 3 6 2 5" xfId="56838"/>
    <cellStyle name="TotRow - Opmaakprofiel4 2 2 3 6 3" xfId="18426"/>
    <cellStyle name="TotRow - Opmaakprofiel4 2 2 3 6 4" xfId="30478"/>
    <cellStyle name="TotRow - Opmaakprofiel4 2 2 3 6 5" xfId="37561"/>
    <cellStyle name="TotRow - Opmaakprofiel4 2 2 3 6 6" xfId="51236"/>
    <cellStyle name="TotRow - Opmaakprofiel4 2 2 3 7" xfId="6625"/>
    <cellStyle name="TotRow - Opmaakprofiel4 2 2 3 7 2" xfId="18427"/>
    <cellStyle name="TotRow - Opmaakprofiel4 2 2 3 7 3" xfId="30479"/>
    <cellStyle name="TotRow - Opmaakprofiel4 2 2 3 7 4" xfId="43982"/>
    <cellStyle name="TotRow - Opmaakprofiel4 2 2 3 7 5" xfId="51237"/>
    <cellStyle name="TotRow - Opmaakprofiel4 2 2 3 8" xfId="10302"/>
    <cellStyle name="TotRow - Opmaakprofiel4 2 2 3 8 2" xfId="22600"/>
    <cellStyle name="TotRow - Opmaakprofiel4 2 2 3 8 3" xfId="44361"/>
    <cellStyle name="TotRow - Opmaakprofiel4 2 2 3 8 4" xfId="42331"/>
    <cellStyle name="TotRow - Opmaakprofiel4 2 2 3 8 5" xfId="55267"/>
    <cellStyle name="TotRow - Opmaakprofiel4 2 2 3 9" xfId="18421"/>
    <cellStyle name="TotRow - Opmaakprofiel4 2 2 4" xfId="473"/>
    <cellStyle name="TotRow - Opmaakprofiel4 2 2 4 2" xfId="2338"/>
    <cellStyle name="TotRow - Opmaakprofiel4 2 2 4 2 2" xfId="11874"/>
    <cellStyle name="TotRow - Opmaakprofiel4 2 2 4 2 2 2" xfId="24173"/>
    <cellStyle name="TotRow - Opmaakprofiel4 2 2 4 2 2 3" xfId="36225"/>
    <cellStyle name="TotRow - Opmaakprofiel4 2 2 4 2 2 4" xfId="46948"/>
    <cellStyle name="TotRow - Opmaakprofiel4 2 2 4 2 2 5" xfId="56839"/>
    <cellStyle name="TotRow - Opmaakprofiel4 2 2 4 2 3" xfId="18429"/>
    <cellStyle name="TotRow - Opmaakprofiel4 2 2 4 2 4" xfId="30481"/>
    <cellStyle name="TotRow - Opmaakprofiel4 2 2 4 2 5" xfId="37559"/>
    <cellStyle name="TotRow - Opmaakprofiel4 2 2 4 2 6" xfId="51238"/>
    <cellStyle name="TotRow - Opmaakprofiel4 2 2 4 3" xfId="2544"/>
    <cellStyle name="TotRow - Opmaakprofiel4 2 2 4 3 2" xfId="11875"/>
    <cellStyle name="TotRow - Opmaakprofiel4 2 2 4 3 2 2" xfId="24174"/>
    <cellStyle name="TotRow - Opmaakprofiel4 2 2 4 3 2 3" xfId="36226"/>
    <cellStyle name="TotRow - Opmaakprofiel4 2 2 4 3 2 4" xfId="46949"/>
    <cellStyle name="TotRow - Opmaakprofiel4 2 2 4 3 2 5" xfId="56840"/>
    <cellStyle name="TotRow - Opmaakprofiel4 2 2 4 3 3" xfId="18430"/>
    <cellStyle name="TotRow - Opmaakprofiel4 2 2 4 3 4" xfId="30482"/>
    <cellStyle name="TotRow - Opmaakprofiel4 2 2 4 3 5" xfId="37558"/>
    <cellStyle name="TotRow - Opmaakprofiel4 2 2 4 3 6" xfId="51239"/>
    <cellStyle name="TotRow - Opmaakprofiel4 2 2 4 4" xfId="3430"/>
    <cellStyle name="TotRow - Opmaakprofiel4 2 2 4 4 2" xfId="11876"/>
    <cellStyle name="TotRow - Opmaakprofiel4 2 2 4 4 2 2" xfId="24175"/>
    <cellStyle name="TotRow - Opmaakprofiel4 2 2 4 4 2 3" xfId="36227"/>
    <cellStyle name="TotRow - Opmaakprofiel4 2 2 4 4 2 4" xfId="46950"/>
    <cellStyle name="TotRow - Opmaakprofiel4 2 2 4 4 2 5" xfId="56841"/>
    <cellStyle name="TotRow - Opmaakprofiel4 2 2 4 4 3" xfId="18431"/>
    <cellStyle name="TotRow - Opmaakprofiel4 2 2 4 4 4" xfId="30483"/>
    <cellStyle name="TotRow - Opmaakprofiel4 2 2 4 4 5" xfId="37557"/>
    <cellStyle name="TotRow - Opmaakprofiel4 2 2 4 4 6" xfId="51240"/>
    <cellStyle name="TotRow - Opmaakprofiel4 2 2 4 5" xfId="6626"/>
    <cellStyle name="TotRow - Opmaakprofiel4 2 2 4 5 2" xfId="11877"/>
    <cellStyle name="TotRow - Opmaakprofiel4 2 2 4 5 2 2" xfId="24176"/>
    <cellStyle name="TotRow - Opmaakprofiel4 2 2 4 5 2 3" xfId="36228"/>
    <cellStyle name="TotRow - Opmaakprofiel4 2 2 4 5 2 4" xfId="46951"/>
    <cellStyle name="TotRow - Opmaakprofiel4 2 2 4 5 2 5" xfId="56842"/>
    <cellStyle name="TotRow - Opmaakprofiel4 2 2 4 5 3" xfId="18432"/>
    <cellStyle name="TotRow - Opmaakprofiel4 2 2 4 5 4" xfId="30484"/>
    <cellStyle name="TotRow - Opmaakprofiel4 2 2 4 5 5" xfId="43979"/>
    <cellStyle name="TotRow - Opmaakprofiel4 2 2 4 5 6" xfId="51241"/>
    <cellStyle name="TotRow - Opmaakprofiel4 2 2 4 6" xfId="6627"/>
    <cellStyle name="TotRow - Opmaakprofiel4 2 2 4 6 2" xfId="11878"/>
    <cellStyle name="TotRow - Opmaakprofiel4 2 2 4 6 2 2" xfId="24177"/>
    <cellStyle name="TotRow - Opmaakprofiel4 2 2 4 6 2 3" xfId="36229"/>
    <cellStyle name="TotRow - Opmaakprofiel4 2 2 4 6 2 4" xfId="46952"/>
    <cellStyle name="TotRow - Opmaakprofiel4 2 2 4 6 2 5" xfId="56843"/>
    <cellStyle name="TotRow - Opmaakprofiel4 2 2 4 6 3" xfId="18433"/>
    <cellStyle name="TotRow - Opmaakprofiel4 2 2 4 6 4" xfId="30485"/>
    <cellStyle name="TotRow - Opmaakprofiel4 2 2 4 6 5" xfId="37556"/>
    <cellStyle name="TotRow - Opmaakprofiel4 2 2 4 6 6" xfId="51242"/>
    <cellStyle name="TotRow - Opmaakprofiel4 2 2 4 7" xfId="6628"/>
    <cellStyle name="TotRow - Opmaakprofiel4 2 2 4 7 2" xfId="18434"/>
    <cellStyle name="TotRow - Opmaakprofiel4 2 2 4 7 3" xfId="30486"/>
    <cellStyle name="TotRow - Opmaakprofiel4 2 2 4 7 4" xfId="37555"/>
    <cellStyle name="TotRow - Opmaakprofiel4 2 2 4 7 5" xfId="51243"/>
    <cellStyle name="TotRow - Opmaakprofiel4 2 2 4 8" xfId="7667"/>
    <cellStyle name="TotRow - Opmaakprofiel4 2 2 4 8 2" xfId="19965"/>
    <cellStyle name="TotRow - Opmaakprofiel4 2 2 4 8 3" xfId="41768"/>
    <cellStyle name="TotRow - Opmaakprofiel4 2 2 4 8 4" xfId="32107"/>
    <cellStyle name="TotRow - Opmaakprofiel4 2 2 4 8 5" xfId="52637"/>
    <cellStyle name="TotRow - Opmaakprofiel4 2 2 4 9" xfId="18428"/>
    <cellStyle name="TotRow - Opmaakprofiel4 2 2 5" xfId="486"/>
    <cellStyle name="TotRow - Opmaakprofiel4 2 2 5 2" xfId="2322"/>
    <cellStyle name="TotRow - Opmaakprofiel4 2 2 5 2 2" xfId="11879"/>
    <cellStyle name="TotRow - Opmaakprofiel4 2 2 5 2 2 2" xfId="24178"/>
    <cellStyle name="TotRow - Opmaakprofiel4 2 2 5 2 2 3" xfId="36230"/>
    <cellStyle name="TotRow - Opmaakprofiel4 2 2 5 2 2 4" xfId="46953"/>
    <cellStyle name="TotRow - Opmaakprofiel4 2 2 5 2 2 5" xfId="56844"/>
    <cellStyle name="TotRow - Opmaakprofiel4 2 2 5 2 3" xfId="18436"/>
    <cellStyle name="TotRow - Opmaakprofiel4 2 2 5 2 4" xfId="30488"/>
    <cellStyle name="TotRow - Opmaakprofiel4 2 2 5 2 5" xfId="37554"/>
    <cellStyle name="TotRow - Opmaakprofiel4 2 2 5 2 6" xfId="51244"/>
    <cellStyle name="TotRow - Opmaakprofiel4 2 2 5 3" xfId="2557"/>
    <cellStyle name="TotRow - Opmaakprofiel4 2 2 5 3 2" xfId="11880"/>
    <cellStyle name="TotRow - Opmaakprofiel4 2 2 5 3 2 2" xfId="24179"/>
    <cellStyle name="TotRow - Opmaakprofiel4 2 2 5 3 2 3" xfId="36231"/>
    <cellStyle name="TotRow - Opmaakprofiel4 2 2 5 3 2 4" xfId="46954"/>
    <cellStyle name="TotRow - Opmaakprofiel4 2 2 5 3 2 5" xfId="56845"/>
    <cellStyle name="TotRow - Opmaakprofiel4 2 2 5 3 3" xfId="18437"/>
    <cellStyle name="TotRow - Opmaakprofiel4 2 2 5 3 4" xfId="30489"/>
    <cellStyle name="TotRow - Opmaakprofiel4 2 2 5 3 5" xfId="37553"/>
    <cellStyle name="TotRow - Opmaakprofiel4 2 2 5 3 6" xfId="51245"/>
    <cellStyle name="TotRow - Opmaakprofiel4 2 2 5 4" xfId="3442"/>
    <cellStyle name="TotRow - Opmaakprofiel4 2 2 5 4 2" xfId="11881"/>
    <cellStyle name="TotRow - Opmaakprofiel4 2 2 5 4 2 2" xfId="24180"/>
    <cellStyle name="TotRow - Opmaakprofiel4 2 2 5 4 2 3" xfId="36232"/>
    <cellStyle name="TotRow - Opmaakprofiel4 2 2 5 4 2 4" xfId="46955"/>
    <cellStyle name="TotRow - Opmaakprofiel4 2 2 5 4 2 5" xfId="56846"/>
    <cellStyle name="TotRow - Opmaakprofiel4 2 2 5 4 3" xfId="18438"/>
    <cellStyle name="TotRow - Opmaakprofiel4 2 2 5 4 4" xfId="30490"/>
    <cellStyle name="TotRow - Opmaakprofiel4 2 2 5 4 5" xfId="37552"/>
    <cellStyle name="TotRow - Opmaakprofiel4 2 2 5 4 6" xfId="51246"/>
    <cellStyle name="TotRow - Opmaakprofiel4 2 2 5 5" xfId="6629"/>
    <cellStyle name="TotRow - Opmaakprofiel4 2 2 5 5 2" xfId="11882"/>
    <cellStyle name="TotRow - Opmaakprofiel4 2 2 5 5 2 2" xfId="24181"/>
    <cellStyle name="TotRow - Opmaakprofiel4 2 2 5 5 2 3" xfId="36233"/>
    <cellStyle name="TotRow - Opmaakprofiel4 2 2 5 5 2 4" xfId="46956"/>
    <cellStyle name="TotRow - Opmaakprofiel4 2 2 5 5 2 5" xfId="56847"/>
    <cellStyle name="TotRow - Opmaakprofiel4 2 2 5 5 3" xfId="18439"/>
    <cellStyle name="TotRow - Opmaakprofiel4 2 2 5 5 4" xfId="30491"/>
    <cellStyle name="TotRow - Opmaakprofiel4 2 2 5 5 5" xfId="37551"/>
    <cellStyle name="TotRow - Opmaakprofiel4 2 2 5 5 6" xfId="51247"/>
    <cellStyle name="TotRow - Opmaakprofiel4 2 2 5 6" xfId="6630"/>
    <cellStyle name="TotRow - Opmaakprofiel4 2 2 5 6 2" xfId="11883"/>
    <cellStyle name="TotRow - Opmaakprofiel4 2 2 5 6 2 2" xfId="24182"/>
    <cellStyle name="TotRow - Opmaakprofiel4 2 2 5 6 2 3" xfId="36234"/>
    <cellStyle name="TotRow - Opmaakprofiel4 2 2 5 6 2 4" xfId="46957"/>
    <cellStyle name="TotRow - Opmaakprofiel4 2 2 5 6 2 5" xfId="56848"/>
    <cellStyle name="TotRow - Opmaakprofiel4 2 2 5 6 3" xfId="18440"/>
    <cellStyle name="TotRow - Opmaakprofiel4 2 2 5 6 4" xfId="30492"/>
    <cellStyle name="TotRow - Opmaakprofiel4 2 2 5 6 5" xfId="43976"/>
    <cellStyle name="TotRow - Opmaakprofiel4 2 2 5 6 6" xfId="51248"/>
    <cellStyle name="TotRow - Opmaakprofiel4 2 2 5 7" xfId="6631"/>
    <cellStyle name="TotRow - Opmaakprofiel4 2 2 5 7 2" xfId="18441"/>
    <cellStyle name="TotRow - Opmaakprofiel4 2 2 5 7 3" xfId="30493"/>
    <cellStyle name="TotRow - Opmaakprofiel4 2 2 5 7 4" xfId="37550"/>
    <cellStyle name="TotRow - Opmaakprofiel4 2 2 5 7 5" xfId="51249"/>
    <cellStyle name="TotRow - Opmaakprofiel4 2 2 5 8" xfId="10349"/>
    <cellStyle name="TotRow - Opmaakprofiel4 2 2 5 8 2" xfId="22647"/>
    <cellStyle name="TotRow - Opmaakprofiel4 2 2 5 8 3" xfId="44407"/>
    <cellStyle name="TotRow - Opmaakprofiel4 2 2 5 8 4" xfId="34282"/>
    <cellStyle name="TotRow - Opmaakprofiel4 2 2 5 8 5" xfId="55314"/>
    <cellStyle name="TotRow - Opmaakprofiel4 2 2 5 9" xfId="18435"/>
    <cellStyle name="TotRow - Opmaakprofiel4 2 2 6" xfId="837"/>
    <cellStyle name="TotRow - Opmaakprofiel4 2 2 6 2" xfId="1455"/>
    <cellStyle name="TotRow - Opmaakprofiel4 2 2 6 2 2" xfId="11884"/>
    <cellStyle name="TotRow - Opmaakprofiel4 2 2 6 2 2 2" xfId="24183"/>
    <cellStyle name="TotRow - Opmaakprofiel4 2 2 6 2 2 3" xfId="36235"/>
    <cellStyle name="TotRow - Opmaakprofiel4 2 2 6 2 2 4" xfId="46958"/>
    <cellStyle name="TotRow - Opmaakprofiel4 2 2 6 2 2 5" xfId="56849"/>
    <cellStyle name="TotRow - Opmaakprofiel4 2 2 6 2 3" xfId="18443"/>
    <cellStyle name="TotRow - Opmaakprofiel4 2 2 6 2 4" xfId="30495"/>
    <cellStyle name="TotRow - Opmaakprofiel4 2 2 6 2 5" xfId="43975"/>
    <cellStyle name="TotRow - Opmaakprofiel4 2 2 6 2 6" xfId="51250"/>
    <cellStyle name="TotRow - Opmaakprofiel4 2 2 6 3" xfId="2848"/>
    <cellStyle name="TotRow - Opmaakprofiel4 2 2 6 3 2" xfId="11885"/>
    <cellStyle name="TotRow - Opmaakprofiel4 2 2 6 3 2 2" xfId="24184"/>
    <cellStyle name="TotRow - Opmaakprofiel4 2 2 6 3 2 3" xfId="36236"/>
    <cellStyle name="TotRow - Opmaakprofiel4 2 2 6 3 2 4" xfId="46959"/>
    <cellStyle name="TotRow - Opmaakprofiel4 2 2 6 3 2 5" xfId="56850"/>
    <cellStyle name="TotRow - Opmaakprofiel4 2 2 6 3 3" xfId="18444"/>
    <cellStyle name="TotRow - Opmaakprofiel4 2 2 6 3 4" xfId="30496"/>
    <cellStyle name="TotRow - Opmaakprofiel4 2 2 6 3 5" xfId="37548"/>
    <cellStyle name="TotRow - Opmaakprofiel4 2 2 6 3 6" xfId="51251"/>
    <cellStyle name="TotRow - Opmaakprofiel4 2 2 6 4" xfId="3703"/>
    <cellStyle name="TotRow - Opmaakprofiel4 2 2 6 4 2" xfId="11886"/>
    <cellStyle name="TotRow - Opmaakprofiel4 2 2 6 4 2 2" xfId="24185"/>
    <cellStyle name="TotRow - Opmaakprofiel4 2 2 6 4 2 3" xfId="36237"/>
    <cellStyle name="TotRow - Opmaakprofiel4 2 2 6 4 2 4" xfId="46960"/>
    <cellStyle name="TotRow - Opmaakprofiel4 2 2 6 4 2 5" xfId="56851"/>
    <cellStyle name="TotRow - Opmaakprofiel4 2 2 6 4 3" xfId="18445"/>
    <cellStyle name="TotRow - Opmaakprofiel4 2 2 6 4 4" xfId="30497"/>
    <cellStyle name="TotRow - Opmaakprofiel4 2 2 6 4 5" xfId="37547"/>
    <cellStyle name="TotRow - Opmaakprofiel4 2 2 6 4 6" xfId="51252"/>
    <cellStyle name="TotRow - Opmaakprofiel4 2 2 6 5" xfId="6632"/>
    <cellStyle name="TotRow - Opmaakprofiel4 2 2 6 5 2" xfId="11887"/>
    <cellStyle name="TotRow - Opmaakprofiel4 2 2 6 5 2 2" xfId="24186"/>
    <cellStyle name="TotRow - Opmaakprofiel4 2 2 6 5 2 3" xfId="36238"/>
    <cellStyle name="TotRow - Opmaakprofiel4 2 2 6 5 2 4" xfId="46961"/>
    <cellStyle name="TotRow - Opmaakprofiel4 2 2 6 5 2 5" xfId="56852"/>
    <cellStyle name="TotRow - Opmaakprofiel4 2 2 6 5 3" xfId="18446"/>
    <cellStyle name="TotRow - Opmaakprofiel4 2 2 6 5 4" xfId="30498"/>
    <cellStyle name="TotRow - Opmaakprofiel4 2 2 6 5 5" xfId="37546"/>
    <cellStyle name="TotRow - Opmaakprofiel4 2 2 6 5 6" xfId="51253"/>
    <cellStyle name="TotRow - Opmaakprofiel4 2 2 6 6" xfId="6633"/>
    <cellStyle name="TotRow - Opmaakprofiel4 2 2 6 6 2" xfId="11888"/>
    <cellStyle name="TotRow - Opmaakprofiel4 2 2 6 6 2 2" xfId="24187"/>
    <cellStyle name="TotRow - Opmaakprofiel4 2 2 6 6 2 3" xfId="36239"/>
    <cellStyle name="TotRow - Opmaakprofiel4 2 2 6 6 2 4" xfId="46962"/>
    <cellStyle name="TotRow - Opmaakprofiel4 2 2 6 6 2 5" xfId="56853"/>
    <cellStyle name="TotRow - Opmaakprofiel4 2 2 6 6 3" xfId="18447"/>
    <cellStyle name="TotRow - Opmaakprofiel4 2 2 6 6 4" xfId="30499"/>
    <cellStyle name="TotRow - Opmaakprofiel4 2 2 6 6 5" xfId="37545"/>
    <cellStyle name="TotRow - Opmaakprofiel4 2 2 6 6 6" xfId="51254"/>
    <cellStyle name="TotRow - Opmaakprofiel4 2 2 6 7" xfId="6634"/>
    <cellStyle name="TotRow - Opmaakprofiel4 2 2 6 7 2" xfId="18448"/>
    <cellStyle name="TotRow - Opmaakprofiel4 2 2 6 7 3" xfId="30500"/>
    <cellStyle name="TotRow - Opmaakprofiel4 2 2 6 7 4" xfId="43972"/>
    <cellStyle name="TotRow - Opmaakprofiel4 2 2 6 7 5" xfId="51255"/>
    <cellStyle name="TotRow - Opmaakprofiel4 2 2 6 8" xfId="10113"/>
    <cellStyle name="TotRow - Opmaakprofiel4 2 2 6 8 2" xfId="22411"/>
    <cellStyle name="TotRow - Opmaakprofiel4 2 2 6 8 3" xfId="44175"/>
    <cellStyle name="TotRow - Opmaakprofiel4 2 2 6 8 4" xfId="31763"/>
    <cellStyle name="TotRow - Opmaakprofiel4 2 2 6 8 5" xfId="55078"/>
    <cellStyle name="TotRow - Opmaakprofiel4 2 2 6 9" xfId="18442"/>
    <cellStyle name="TotRow - Opmaakprofiel4 2 2 7" xfId="931"/>
    <cellStyle name="TotRow - Opmaakprofiel4 2 2 7 2" xfId="1885"/>
    <cellStyle name="TotRow - Opmaakprofiel4 2 2 7 2 2" xfId="11889"/>
    <cellStyle name="TotRow - Opmaakprofiel4 2 2 7 2 2 2" xfId="24188"/>
    <cellStyle name="TotRow - Opmaakprofiel4 2 2 7 2 2 3" xfId="36240"/>
    <cellStyle name="TotRow - Opmaakprofiel4 2 2 7 2 2 4" xfId="46963"/>
    <cellStyle name="TotRow - Opmaakprofiel4 2 2 7 2 2 5" xfId="56854"/>
    <cellStyle name="TotRow - Opmaakprofiel4 2 2 7 2 3" xfId="18450"/>
    <cellStyle name="TotRow - Opmaakprofiel4 2 2 7 2 4" xfId="30502"/>
    <cellStyle name="TotRow - Opmaakprofiel4 2 2 7 2 5" xfId="37543"/>
    <cellStyle name="TotRow - Opmaakprofiel4 2 2 7 2 6" xfId="51256"/>
    <cellStyle name="TotRow - Opmaakprofiel4 2 2 7 3" xfId="2942"/>
    <cellStyle name="TotRow - Opmaakprofiel4 2 2 7 3 2" xfId="11890"/>
    <cellStyle name="TotRow - Opmaakprofiel4 2 2 7 3 2 2" xfId="24189"/>
    <cellStyle name="TotRow - Opmaakprofiel4 2 2 7 3 2 3" xfId="36241"/>
    <cellStyle name="TotRow - Opmaakprofiel4 2 2 7 3 2 4" xfId="46964"/>
    <cellStyle name="TotRow - Opmaakprofiel4 2 2 7 3 2 5" xfId="56855"/>
    <cellStyle name="TotRow - Opmaakprofiel4 2 2 7 3 3" xfId="18451"/>
    <cellStyle name="TotRow - Opmaakprofiel4 2 2 7 3 4" xfId="30503"/>
    <cellStyle name="TotRow - Opmaakprofiel4 2 2 7 3 5" xfId="43971"/>
    <cellStyle name="TotRow - Opmaakprofiel4 2 2 7 3 6" xfId="51257"/>
    <cellStyle name="TotRow - Opmaakprofiel4 2 2 7 4" xfId="3790"/>
    <cellStyle name="TotRow - Opmaakprofiel4 2 2 7 4 2" xfId="11891"/>
    <cellStyle name="TotRow - Opmaakprofiel4 2 2 7 4 2 2" xfId="24190"/>
    <cellStyle name="TotRow - Opmaakprofiel4 2 2 7 4 2 3" xfId="36242"/>
    <cellStyle name="TotRow - Opmaakprofiel4 2 2 7 4 2 4" xfId="46965"/>
    <cellStyle name="TotRow - Opmaakprofiel4 2 2 7 4 2 5" xfId="56856"/>
    <cellStyle name="TotRow - Opmaakprofiel4 2 2 7 4 3" xfId="18452"/>
    <cellStyle name="TotRow - Opmaakprofiel4 2 2 7 4 4" xfId="30504"/>
    <cellStyle name="TotRow - Opmaakprofiel4 2 2 7 4 5" xfId="37542"/>
    <cellStyle name="TotRow - Opmaakprofiel4 2 2 7 4 6" xfId="51258"/>
    <cellStyle name="TotRow - Opmaakprofiel4 2 2 7 5" xfId="6635"/>
    <cellStyle name="TotRow - Opmaakprofiel4 2 2 7 5 2" xfId="11892"/>
    <cellStyle name="TotRow - Opmaakprofiel4 2 2 7 5 2 2" xfId="24191"/>
    <cellStyle name="TotRow - Opmaakprofiel4 2 2 7 5 2 3" xfId="36243"/>
    <cellStyle name="TotRow - Opmaakprofiel4 2 2 7 5 2 4" xfId="46966"/>
    <cellStyle name="TotRow - Opmaakprofiel4 2 2 7 5 2 5" xfId="56857"/>
    <cellStyle name="TotRow - Opmaakprofiel4 2 2 7 5 3" xfId="18453"/>
    <cellStyle name="TotRow - Opmaakprofiel4 2 2 7 5 4" xfId="30505"/>
    <cellStyle name="TotRow - Opmaakprofiel4 2 2 7 5 5" xfId="37541"/>
    <cellStyle name="TotRow - Opmaakprofiel4 2 2 7 5 6" xfId="51259"/>
    <cellStyle name="TotRow - Opmaakprofiel4 2 2 7 6" xfId="6636"/>
    <cellStyle name="TotRow - Opmaakprofiel4 2 2 7 6 2" xfId="11893"/>
    <cellStyle name="TotRow - Opmaakprofiel4 2 2 7 6 2 2" xfId="24192"/>
    <cellStyle name="TotRow - Opmaakprofiel4 2 2 7 6 2 3" xfId="36244"/>
    <cellStyle name="TotRow - Opmaakprofiel4 2 2 7 6 2 4" xfId="46967"/>
    <cellStyle name="TotRow - Opmaakprofiel4 2 2 7 6 2 5" xfId="56858"/>
    <cellStyle name="TotRow - Opmaakprofiel4 2 2 7 6 3" xfId="18454"/>
    <cellStyle name="TotRow - Opmaakprofiel4 2 2 7 6 4" xfId="30506"/>
    <cellStyle name="TotRow - Opmaakprofiel4 2 2 7 6 5" xfId="43970"/>
    <cellStyle name="TotRow - Opmaakprofiel4 2 2 7 6 6" xfId="51260"/>
    <cellStyle name="TotRow - Opmaakprofiel4 2 2 7 7" xfId="6637"/>
    <cellStyle name="TotRow - Opmaakprofiel4 2 2 7 7 2" xfId="18455"/>
    <cellStyle name="TotRow - Opmaakprofiel4 2 2 7 7 3" xfId="30507"/>
    <cellStyle name="TotRow - Opmaakprofiel4 2 2 7 7 4" xfId="37540"/>
    <cellStyle name="TotRow - Opmaakprofiel4 2 2 7 7 5" xfId="51261"/>
    <cellStyle name="TotRow - Opmaakprofiel4 2 2 7 8" xfId="7358"/>
    <cellStyle name="TotRow - Opmaakprofiel4 2 2 7 8 2" xfId="19656"/>
    <cellStyle name="TotRow - Opmaakprofiel4 2 2 7 8 3" xfId="41459"/>
    <cellStyle name="TotRow - Opmaakprofiel4 2 2 7 8 4" xfId="43542"/>
    <cellStyle name="TotRow - Opmaakprofiel4 2 2 7 8 5" xfId="52328"/>
    <cellStyle name="TotRow - Opmaakprofiel4 2 2 7 9" xfId="18449"/>
    <cellStyle name="TotRow - Opmaakprofiel4 2 2 8" xfId="612"/>
    <cellStyle name="TotRow - Opmaakprofiel4 2 2 8 2" xfId="1718"/>
    <cellStyle name="TotRow - Opmaakprofiel4 2 2 8 2 2" xfId="11894"/>
    <cellStyle name="TotRow - Opmaakprofiel4 2 2 8 2 2 2" xfId="24193"/>
    <cellStyle name="TotRow - Opmaakprofiel4 2 2 8 2 2 3" xfId="36245"/>
    <cellStyle name="TotRow - Opmaakprofiel4 2 2 8 2 2 4" xfId="46968"/>
    <cellStyle name="TotRow - Opmaakprofiel4 2 2 8 2 2 5" xfId="56859"/>
    <cellStyle name="TotRow - Opmaakprofiel4 2 2 8 2 3" xfId="18457"/>
    <cellStyle name="TotRow - Opmaakprofiel4 2 2 8 2 4" xfId="30509"/>
    <cellStyle name="TotRow - Opmaakprofiel4 2 2 8 2 5" xfId="37538"/>
    <cellStyle name="TotRow - Opmaakprofiel4 2 2 8 2 6" xfId="51262"/>
    <cellStyle name="TotRow - Opmaakprofiel4 2 2 8 3" xfId="2683"/>
    <cellStyle name="TotRow - Opmaakprofiel4 2 2 8 3 2" xfId="11895"/>
    <cellStyle name="TotRow - Opmaakprofiel4 2 2 8 3 2 2" xfId="24194"/>
    <cellStyle name="TotRow - Opmaakprofiel4 2 2 8 3 2 3" xfId="36246"/>
    <cellStyle name="TotRow - Opmaakprofiel4 2 2 8 3 2 4" xfId="46969"/>
    <cellStyle name="TotRow - Opmaakprofiel4 2 2 8 3 2 5" xfId="56860"/>
    <cellStyle name="TotRow - Opmaakprofiel4 2 2 8 3 3" xfId="18458"/>
    <cellStyle name="TotRow - Opmaakprofiel4 2 2 8 3 4" xfId="30510"/>
    <cellStyle name="TotRow - Opmaakprofiel4 2 2 8 3 5" xfId="43968"/>
    <cellStyle name="TotRow - Opmaakprofiel4 2 2 8 3 6" xfId="51263"/>
    <cellStyle name="TotRow - Opmaakprofiel4 2 2 8 4" xfId="3555"/>
    <cellStyle name="TotRow - Opmaakprofiel4 2 2 8 4 2" xfId="11896"/>
    <cellStyle name="TotRow - Opmaakprofiel4 2 2 8 4 2 2" xfId="24195"/>
    <cellStyle name="TotRow - Opmaakprofiel4 2 2 8 4 2 3" xfId="36247"/>
    <cellStyle name="TotRow - Opmaakprofiel4 2 2 8 4 2 4" xfId="46970"/>
    <cellStyle name="TotRow - Opmaakprofiel4 2 2 8 4 2 5" xfId="56861"/>
    <cellStyle name="TotRow - Opmaakprofiel4 2 2 8 4 3" xfId="18459"/>
    <cellStyle name="TotRow - Opmaakprofiel4 2 2 8 4 4" xfId="30511"/>
    <cellStyle name="TotRow - Opmaakprofiel4 2 2 8 4 5" xfId="37537"/>
    <cellStyle name="TotRow - Opmaakprofiel4 2 2 8 4 6" xfId="51264"/>
    <cellStyle name="TotRow - Opmaakprofiel4 2 2 8 5" xfId="6638"/>
    <cellStyle name="TotRow - Opmaakprofiel4 2 2 8 5 2" xfId="11897"/>
    <cellStyle name="TotRow - Opmaakprofiel4 2 2 8 5 2 2" xfId="24196"/>
    <cellStyle name="TotRow - Opmaakprofiel4 2 2 8 5 2 3" xfId="36248"/>
    <cellStyle name="TotRow - Opmaakprofiel4 2 2 8 5 2 4" xfId="46971"/>
    <cellStyle name="TotRow - Opmaakprofiel4 2 2 8 5 2 5" xfId="56862"/>
    <cellStyle name="TotRow - Opmaakprofiel4 2 2 8 5 3" xfId="18460"/>
    <cellStyle name="TotRow - Opmaakprofiel4 2 2 8 5 4" xfId="30512"/>
    <cellStyle name="TotRow - Opmaakprofiel4 2 2 8 5 5" xfId="37536"/>
    <cellStyle name="TotRow - Opmaakprofiel4 2 2 8 5 6" xfId="51265"/>
    <cellStyle name="TotRow - Opmaakprofiel4 2 2 8 6" xfId="6639"/>
    <cellStyle name="TotRow - Opmaakprofiel4 2 2 8 6 2" xfId="11898"/>
    <cellStyle name="TotRow - Opmaakprofiel4 2 2 8 6 2 2" xfId="24197"/>
    <cellStyle name="TotRow - Opmaakprofiel4 2 2 8 6 2 3" xfId="36249"/>
    <cellStyle name="TotRow - Opmaakprofiel4 2 2 8 6 2 4" xfId="46972"/>
    <cellStyle name="TotRow - Opmaakprofiel4 2 2 8 6 2 5" xfId="56863"/>
    <cellStyle name="TotRow - Opmaakprofiel4 2 2 8 6 3" xfId="18461"/>
    <cellStyle name="TotRow - Opmaakprofiel4 2 2 8 6 4" xfId="30513"/>
    <cellStyle name="TotRow - Opmaakprofiel4 2 2 8 6 5" xfId="37535"/>
    <cellStyle name="TotRow - Opmaakprofiel4 2 2 8 6 6" xfId="51266"/>
    <cellStyle name="TotRow - Opmaakprofiel4 2 2 8 7" xfId="6640"/>
    <cellStyle name="TotRow - Opmaakprofiel4 2 2 8 7 2" xfId="18462"/>
    <cellStyle name="TotRow - Opmaakprofiel4 2 2 8 7 3" xfId="30514"/>
    <cellStyle name="TotRow - Opmaakprofiel4 2 2 8 7 4" xfId="37534"/>
    <cellStyle name="TotRow - Opmaakprofiel4 2 2 8 7 5" xfId="51267"/>
    <cellStyle name="TotRow - Opmaakprofiel4 2 2 8 8" xfId="10262"/>
    <cellStyle name="TotRow - Opmaakprofiel4 2 2 8 8 2" xfId="22560"/>
    <cellStyle name="TotRow - Opmaakprofiel4 2 2 8 8 3" xfId="44321"/>
    <cellStyle name="TotRow - Opmaakprofiel4 2 2 8 8 4" xfId="42348"/>
    <cellStyle name="TotRow - Opmaakprofiel4 2 2 8 8 5" xfId="55227"/>
    <cellStyle name="TotRow - Opmaakprofiel4 2 2 8 9" xfId="18456"/>
    <cellStyle name="TotRow - Opmaakprofiel4 2 2 9" xfId="1309"/>
    <cellStyle name="TotRow - Opmaakprofiel4 2 2 9 2" xfId="1968"/>
    <cellStyle name="TotRow - Opmaakprofiel4 2 2 9 2 2" xfId="11899"/>
    <cellStyle name="TotRow - Opmaakprofiel4 2 2 9 2 2 2" xfId="24198"/>
    <cellStyle name="TotRow - Opmaakprofiel4 2 2 9 2 2 3" xfId="36250"/>
    <cellStyle name="TotRow - Opmaakprofiel4 2 2 9 2 2 4" xfId="46973"/>
    <cellStyle name="TotRow - Opmaakprofiel4 2 2 9 2 2 5" xfId="56864"/>
    <cellStyle name="TotRow - Opmaakprofiel4 2 2 9 2 3" xfId="18464"/>
    <cellStyle name="TotRow - Opmaakprofiel4 2 2 9 2 4" xfId="30516"/>
    <cellStyle name="TotRow - Opmaakprofiel4 2 2 9 2 5" xfId="43964"/>
    <cellStyle name="TotRow - Opmaakprofiel4 2 2 9 2 6" xfId="51268"/>
    <cellStyle name="TotRow - Opmaakprofiel4 2 2 9 3" xfId="3320"/>
    <cellStyle name="TotRow - Opmaakprofiel4 2 2 9 3 2" xfId="11900"/>
    <cellStyle name="TotRow - Opmaakprofiel4 2 2 9 3 2 2" xfId="24199"/>
    <cellStyle name="TotRow - Opmaakprofiel4 2 2 9 3 2 3" xfId="36251"/>
    <cellStyle name="TotRow - Opmaakprofiel4 2 2 9 3 2 4" xfId="46974"/>
    <cellStyle name="TotRow - Opmaakprofiel4 2 2 9 3 2 5" xfId="56865"/>
    <cellStyle name="TotRow - Opmaakprofiel4 2 2 9 3 3" xfId="18465"/>
    <cellStyle name="TotRow - Opmaakprofiel4 2 2 9 3 4" xfId="30517"/>
    <cellStyle name="TotRow - Opmaakprofiel4 2 2 9 3 5" xfId="37532"/>
    <cellStyle name="TotRow - Opmaakprofiel4 2 2 9 3 6" xfId="51269"/>
    <cellStyle name="TotRow - Opmaakprofiel4 2 2 9 4" xfId="4101"/>
    <cellStyle name="TotRow - Opmaakprofiel4 2 2 9 4 2" xfId="11901"/>
    <cellStyle name="TotRow - Opmaakprofiel4 2 2 9 4 2 2" xfId="24200"/>
    <cellStyle name="TotRow - Opmaakprofiel4 2 2 9 4 2 3" xfId="36252"/>
    <cellStyle name="TotRow - Opmaakprofiel4 2 2 9 4 2 4" xfId="46975"/>
    <cellStyle name="TotRow - Opmaakprofiel4 2 2 9 4 2 5" xfId="56866"/>
    <cellStyle name="TotRow - Opmaakprofiel4 2 2 9 4 3" xfId="18466"/>
    <cellStyle name="TotRow - Opmaakprofiel4 2 2 9 4 4" xfId="30518"/>
    <cellStyle name="TotRow - Opmaakprofiel4 2 2 9 4 5" xfId="37531"/>
    <cellStyle name="TotRow - Opmaakprofiel4 2 2 9 4 6" xfId="51270"/>
    <cellStyle name="TotRow - Opmaakprofiel4 2 2 9 5" xfId="6641"/>
    <cellStyle name="TotRow - Opmaakprofiel4 2 2 9 5 2" xfId="11902"/>
    <cellStyle name="TotRow - Opmaakprofiel4 2 2 9 5 2 2" xfId="24201"/>
    <cellStyle name="TotRow - Opmaakprofiel4 2 2 9 5 2 3" xfId="36253"/>
    <cellStyle name="TotRow - Opmaakprofiel4 2 2 9 5 2 4" xfId="46976"/>
    <cellStyle name="TotRow - Opmaakprofiel4 2 2 9 5 2 5" xfId="56867"/>
    <cellStyle name="TotRow - Opmaakprofiel4 2 2 9 5 3" xfId="18467"/>
    <cellStyle name="TotRow - Opmaakprofiel4 2 2 9 5 4" xfId="30519"/>
    <cellStyle name="TotRow - Opmaakprofiel4 2 2 9 5 5" xfId="43963"/>
    <cellStyle name="TotRow - Opmaakprofiel4 2 2 9 5 6" xfId="51271"/>
    <cellStyle name="TotRow - Opmaakprofiel4 2 2 9 6" xfId="6642"/>
    <cellStyle name="TotRow - Opmaakprofiel4 2 2 9 6 2" xfId="11903"/>
    <cellStyle name="TotRow - Opmaakprofiel4 2 2 9 6 2 2" xfId="24202"/>
    <cellStyle name="TotRow - Opmaakprofiel4 2 2 9 6 2 3" xfId="36254"/>
    <cellStyle name="TotRow - Opmaakprofiel4 2 2 9 6 2 4" xfId="46977"/>
    <cellStyle name="TotRow - Opmaakprofiel4 2 2 9 6 2 5" xfId="56868"/>
    <cellStyle name="TotRow - Opmaakprofiel4 2 2 9 6 3" xfId="18468"/>
    <cellStyle name="TotRow - Opmaakprofiel4 2 2 9 6 4" xfId="30520"/>
    <cellStyle name="TotRow - Opmaakprofiel4 2 2 9 6 5" xfId="37530"/>
    <cellStyle name="TotRow - Opmaakprofiel4 2 2 9 6 6" xfId="51272"/>
    <cellStyle name="TotRow - Opmaakprofiel4 2 2 9 7" xfId="6643"/>
    <cellStyle name="TotRow - Opmaakprofiel4 2 2 9 7 2" xfId="18469"/>
    <cellStyle name="TotRow - Opmaakprofiel4 2 2 9 7 3" xfId="30521"/>
    <cellStyle name="TotRow - Opmaakprofiel4 2 2 9 7 4" xfId="37529"/>
    <cellStyle name="TotRow - Opmaakprofiel4 2 2 9 7 5" xfId="51273"/>
    <cellStyle name="TotRow - Opmaakprofiel4 2 2 9 8" xfId="7068"/>
    <cellStyle name="TotRow - Opmaakprofiel4 2 2 9 8 2" xfId="19366"/>
    <cellStyle name="TotRow - Opmaakprofiel4 2 2 9 8 3" xfId="41169"/>
    <cellStyle name="TotRow - Opmaakprofiel4 2 2 9 8 4" xfId="43663"/>
    <cellStyle name="TotRow - Opmaakprofiel4 2 2 9 8 5" xfId="52039"/>
    <cellStyle name="TotRow - Opmaakprofiel4 2 2 9 9" xfId="18463"/>
    <cellStyle name="TotRow - Opmaakprofiel4 2 20" xfId="694"/>
    <cellStyle name="TotRow - Opmaakprofiel4 2 20 10" xfId="6644"/>
    <cellStyle name="TotRow - Opmaakprofiel4 2 20 10 2" xfId="11904"/>
    <cellStyle name="TotRow - Opmaakprofiel4 2 20 10 2 2" xfId="24203"/>
    <cellStyle name="TotRow - Opmaakprofiel4 2 20 10 2 3" xfId="36255"/>
    <cellStyle name="TotRow - Opmaakprofiel4 2 20 10 2 4" xfId="46978"/>
    <cellStyle name="TotRow - Opmaakprofiel4 2 20 10 2 5" xfId="56869"/>
    <cellStyle name="TotRow - Opmaakprofiel4 2 20 10 3" xfId="18471"/>
    <cellStyle name="TotRow - Opmaakprofiel4 2 20 10 4" xfId="30523"/>
    <cellStyle name="TotRow - Opmaakprofiel4 2 20 10 5" xfId="43961"/>
    <cellStyle name="TotRow - Opmaakprofiel4 2 20 10 6" xfId="51274"/>
    <cellStyle name="TotRow - Opmaakprofiel4 2 20 11" xfId="6645"/>
    <cellStyle name="TotRow - Opmaakprofiel4 2 20 11 2" xfId="11905"/>
    <cellStyle name="TotRow - Opmaakprofiel4 2 20 11 2 2" xfId="24204"/>
    <cellStyle name="TotRow - Opmaakprofiel4 2 20 11 2 3" xfId="36256"/>
    <cellStyle name="TotRow - Opmaakprofiel4 2 20 11 2 4" xfId="46979"/>
    <cellStyle name="TotRow - Opmaakprofiel4 2 20 11 2 5" xfId="56870"/>
    <cellStyle name="TotRow - Opmaakprofiel4 2 20 11 3" xfId="18472"/>
    <cellStyle name="TotRow - Opmaakprofiel4 2 20 11 4" xfId="30524"/>
    <cellStyle name="TotRow - Opmaakprofiel4 2 20 11 5" xfId="37527"/>
    <cellStyle name="TotRow - Opmaakprofiel4 2 20 11 6" xfId="51275"/>
    <cellStyle name="TotRow - Opmaakprofiel4 2 20 12" xfId="6646"/>
    <cellStyle name="TotRow - Opmaakprofiel4 2 20 12 2" xfId="18473"/>
    <cellStyle name="TotRow - Opmaakprofiel4 2 20 12 3" xfId="30525"/>
    <cellStyle name="TotRow - Opmaakprofiel4 2 20 12 4" xfId="37526"/>
    <cellStyle name="TotRow - Opmaakprofiel4 2 20 12 5" xfId="51276"/>
    <cellStyle name="TotRow - Opmaakprofiel4 2 20 13" xfId="7518"/>
    <cellStyle name="TotRow - Opmaakprofiel4 2 20 13 2" xfId="19816"/>
    <cellStyle name="TotRow - Opmaakprofiel4 2 20 13 3" xfId="41619"/>
    <cellStyle name="TotRow - Opmaakprofiel4 2 20 13 4" xfId="12536"/>
    <cellStyle name="TotRow - Opmaakprofiel4 2 20 13 5" xfId="52488"/>
    <cellStyle name="TotRow - Opmaakprofiel4 2 20 14" xfId="18470"/>
    <cellStyle name="TotRow - Opmaakprofiel4 2 20 2" xfId="867"/>
    <cellStyle name="TotRow - Opmaakprofiel4 2 20 2 2" xfId="1432"/>
    <cellStyle name="TotRow - Opmaakprofiel4 2 20 2 2 2" xfId="11906"/>
    <cellStyle name="TotRow - Opmaakprofiel4 2 20 2 2 2 2" xfId="24205"/>
    <cellStyle name="TotRow - Opmaakprofiel4 2 20 2 2 2 3" xfId="36257"/>
    <cellStyle name="TotRow - Opmaakprofiel4 2 20 2 2 2 4" xfId="46980"/>
    <cellStyle name="TotRow - Opmaakprofiel4 2 20 2 2 2 5" xfId="56871"/>
    <cellStyle name="TotRow - Opmaakprofiel4 2 20 2 2 3" xfId="18475"/>
    <cellStyle name="TotRow - Opmaakprofiel4 2 20 2 2 4" xfId="30527"/>
    <cellStyle name="TotRow - Opmaakprofiel4 2 20 2 2 5" xfId="37525"/>
    <cellStyle name="TotRow - Opmaakprofiel4 2 20 2 2 6" xfId="51277"/>
    <cellStyle name="TotRow - Opmaakprofiel4 2 20 2 3" xfId="2878"/>
    <cellStyle name="TotRow - Opmaakprofiel4 2 20 2 3 2" xfId="11907"/>
    <cellStyle name="TotRow - Opmaakprofiel4 2 20 2 3 2 2" xfId="24206"/>
    <cellStyle name="TotRow - Opmaakprofiel4 2 20 2 3 2 3" xfId="36258"/>
    <cellStyle name="TotRow - Opmaakprofiel4 2 20 2 3 2 4" xfId="46981"/>
    <cellStyle name="TotRow - Opmaakprofiel4 2 20 2 3 2 5" xfId="56872"/>
    <cellStyle name="TotRow - Opmaakprofiel4 2 20 2 3 3" xfId="18476"/>
    <cellStyle name="TotRow - Opmaakprofiel4 2 20 2 3 4" xfId="30528"/>
    <cellStyle name="TotRow - Opmaakprofiel4 2 20 2 3 5" xfId="37524"/>
    <cellStyle name="TotRow - Opmaakprofiel4 2 20 2 3 6" xfId="51278"/>
    <cellStyle name="TotRow - Opmaakprofiel4 2 20 2 4" xfId="3731"/>
    <cellStyle name="TotRow - Opmaakprofiel4 2 20 2 4 2" xfId="11908"/>
    <cellStyle name="TotRow - Opmaakprofiel4 2 20 2 4 2 2" xfId="24207"/>
    <cellStyle name="TotRow - Opmaakprofiel4 2 20 2 4 2 3" xfId="36259"/>
    <cellStyle name="TotRow - Opmaakprofiel4 2 20 2 4 2 4" xfId="46982"/>
    <cellStyle name="TotRow - Opmaakprofiel4 2 20 2 4 2 5" xfId="56873"/>
    <cellStyle name="TotRow - Opmaakprofiel4 2 20 2 4 3" xfId="18477"/>
    <cellStyle name="TotRow - Opmaakprofiel4 2 20 2 4 4" xfId="30529"/>
    <cellStyle name="TotRow - Opmaakprofiel4 2 20 2 4 5" xfId="37523"/>
    <cellStyle name="TotRow - Opmaakprofiel4 2 20 2 4 6" xfId="51279"/>
    <cellStyle name="TotRow - Opmaakprofiel4 2 20 2 5" xfId="6647"/>
    <cellStyle name="TotRow - Opmaakprofiel4 2 20 2 5 2" xfId="11909"/>
    <cellStyle name="TotRow - Opmaakprofiel4 2 20 2 5 2 2" xfId="24208"/>
    <cellStyle name="TotRow - Opmaakprofiel4 2 20 2 5 2 3" xfId="36260"/>
    <cellStyle name="TotRow - Opmaakprofiel4 2 20 2 5 2 4" xfId="46983"/>
    <cellStyle name="TotRow - Opmaakprofiel4 2 20 2 5 2 5" xfId="56874"/>
    <cellStyle name="TotRow - Opmaakprofiel4 2 20 2 5 3" xfId="18478"/>
    <cellStyle name="TotRow - Opmaakprofiel4 2 20 2 5 4" xfId="30530"/>
    <cellStyle name="TotRow - Opmaakprofiel4 2 20 2 5 5" xfId="43958"/>
    <cellStyle name="TotRow - Opmaakprofiel4 2 20 2 5 6" xfId="51280"/>
    <cellStyle name="TotRow - Opmaakprofiel4 2 20 2 6" xfId="6648"/>
    <cellStyle name="TotRow - Opmaakprofiel4 2 20 2 6 2" xfId="11910"/>
    <cellStyle name="TotRow - Opmaakprofiel4 2 20 2 6 2 2" xfId="24209"/>
    <cellStyle name="TotRow - Opmaakprofiel4 2 20 2 6 2 3" xfId="36261"/>
    <cellStyle name="TotRow - Opmaakprofiel4 2 20 2 6 2 4" xfId="46984"/>
    <cellStyle name="TotRow - Opmaakprofiel4 2 20 2 6 2 5" xfId="56875"/>
    <cellStyle name="TotRow - Opmaakprofiel4 2 20 2 6 3" xfId="18479"/>
    <cellStyle name="TotRow - Opmaakprofiel4 2 20 2 6 4" xfId="30531"/>
    <cellStyle name="TotRow - Opmaakprofiel4 2 20 2 6 5" xfId="37522"/>
    <cellStyle name="TotRow - Opmaakprofiel4 2 20 2 6 6" xfId="51281"/>
    <cellStyle name="TotRow - Opmaakprofiel4 2 20 2 7" xfId="6649"/>
    <cellStyle name="TotRow - Opmaakprofiel4 2 20 2 7 2" xfId="18480"/>
    <cellStyle name="TotRow - Opmaakprofiel4 2 20 2 7 3" xfId="30532"/>
    <cellStyle name="TotRow - Opmaakprofiel4 2 20 2 7 4" xfId="37521"/>
    <cellStyle name="TotRow - Opmaakprofiel4 2 20 2 7 5" xfId="51282"/>
    <cellStyle name="TotRow - Opmaakprofiel4 2 20 2 8" xfId="7400"/>
    <cellStyle name="TotRow - Opmaakprofiel4 2 20 2 8 2" xfId="19698"/>
    <cellStyle name="TotRow - Opmaakprofiel4 2 20 2 8 3" xfId="41501"/>
    <cellStyle name="TotRow - Opmaakprofiel4 2 20 2 8 4" xfId="43524"/>
    <cellStyle name="TotRow - Opmaakprofiel4 2 20 2 8 5" xfId="52370"/>
    <cellStyle name="TotRow - Opmaakprofiel4 2 20 2 9" xfId="18474"/>
    <cellStyle name="TotRow - Opmaakprofiel4 2 20 3" xfId="502"/>
    <cellStyle name="TotRow - Opmaakprofiel4 2 20 3 2" xfId="1911"/>
    <cellStyle name="TotRow - Opmaakprofiel4 2 20 3 2 2" xfId="11911"/>
    <cellStyle name="TotRow - Opmaakprofiel4 2 20 3 2 2 2" xfId="24210"/>
    <cellStyle name="TotRow - Opmaakprofiel4 2 20 3 2 2 3" xfId="36262"/>
    <cellStyle name="TotRow - Opmaakprofiel4 2 20 3 2 2 4" xfId="46985"/>
    <cellStyle name="TotRow - Opmaakprofiel4 2 20 3 2 2 5" xfId="56876"/>
    <cellStyle name="TotRow - Opmaakprofiel4 2 20 3 2 3" xfId="18482"/>
    <cellStyle name="TotRow - Opmaakprofiel4 2 20 3 2 4" xfId="30534"/>
    <cellStyle name="TotRow - Opmaakprofiel4 2 20 3 2 5" xfId="37520"/>
    <cellStyle name="TotRow - Opmaakprofiel4 2 20 3 2 6" xfId="51283"/>
    <cellStyle name="TotRow - Opmaakprofiel4 2 20 3 3" xfId="2573"/>
    <cellStyle name="TotRow - Opmaakprofiel4 2 20 3 3 2" xfId="11912"/>
    <cellStyle name="TotRow - Opmaakprofiel4 2 20 3 3 2 2" xfId="24211"/>
    <cellStyle name="TotRow - Opmaakprofiel4 2 20 3 3 2 3" xfId="36263"/>
    <cellStyle name="TotRow - Opmaakprofiel4 2 20 3 3 2 4" xfId="46986"/>
    <cellStyle name="TotRow - Opmaakprofiel4 2 20 3 3 2 5" xfId="56877"/>
    <cellStyle name="TotRow - Opmaakprofiel4 2 20 3 3 3" xfId="18483"/>
    <cellStyle name="TotRow - Opmaakprofiel4 2 20 3 3 4" xfId="30535"/>
    <cellStyle name="TotRow - Opmaakprofiel4 2 20 3 3 5" xfId="43955"/>
    <cellStyle name="TotRow - Opmaakprofiel4 2 20 3 3 6" xfId="51284"/>
    <cellStyle name="TotRow - Opmaakprofiel4 2 20 3 4" xfId="3457"/>
    <cellStyle name="TotRow - Opmaakprofiel4 2 20 3 4 2" xfId="11913"/>
    <cellStyle name="TotRow - Opmaakprofiel4 2 20 3 4 2 2" xfId="24212"/>
    <cellStyle name="TotRow - Opmaakprofiel4 2 20 3 4 2 3" xfId="36264"/>
    <cellStyle name="TotRow - Opmaakprofiel4 2 20 3 4 2 4" xfId="46987"/>
    <cellStyle name="TotRow - Opmaakprofiel4 2 20 3 4 2 5" xfId="56878"/>
    <cellStyle name="TotRow - Opmaakprofiel4 2 20 3 4 3" xfId="18484"/>
    <cellStyle name="TotRow - Opmaakprofiel4 2 20 3 4 4" xfId="30536"/>
    <cellStyle name="TotRow - Opmaakprofiel4 2 20 3 4 5" xfId="37519"/>
    <cellStyle name="TotRow - Opmaakprofiel4 2 20 3 4 6" xfId="51285"/>
    <cellStyle name="TotRow - Opmaakprofiel4 2 20 3 5" xfId="6650"/>
    <cellStyle name="TotRow - Opmaakprofiel4 2 20 3 5 2" xfId="11914"/>
    <cellStyle name="TotRow - Opmaakprofiel4 2 20 3 5 2 2" xfId="24213"/>
    <cellStyle name="TotRow - Opmaakprofiel4 2 20 3 5 2 3" xfId="36265"/>
    <cellStyle name="TotRow - Opmaakprofiel4 2 20 3 5 2 4" xfId="46988"/>
    <cellStyle name="TotRow - Opmaakprofiel4 2 20 3 5 2 5" xfId="56879"/>
    <cellStyle name="TotRow - Opmaakprofiel4 2 20 3 5 3" xfId="18485"/>
    <cellStyle name="TotRow - Opmaakprofiel4 2 20 3 5 4" xfId="30537"/>
    <cellStyle name="TotRow - Opmaakprofiel4 2 20 3 5 5" xfId="37518"/>
    <cellStyle name="TotRow - Opmaakprofiel4 2 20 3 5 6" xfId="51286"/>
    <cellStyle name="TotRow - Opmaakprofiel4 2 20 3 6" xfId="6651"/>
    <cellStyle name="TotRow - Opmaakprofiel4 2 20 3 6 2" xfId="11915"/>
    <cellStyle name="TotRow - Opmaakprofiel4 2 20 3 6 2 2" xfId="24214"/>
    <cellStyle name="TotRow - Opmaakprofiel4 2 20 3 6 2 3" xfId="36266"/>
    <cellStyle name="TotRow - Opmaakprofiel4 2 20 3 6 2 4" xfId="46989"/>
    <cellStyle name="TotRow - Opmaakprofiel4 2 20 3 6 2 5" xfId="56880"/>
    <cellStyle name="TotRow - Opmaakprofiel4 2 20 3 6 3" xfId="18486"/>
    <cellStyle name="TotRow - Opmaakprofiel4 2 20 3 6 4" xfId="30538"/>
    <cellStyle name="TotRow - Opmaakprofiel4 2 20 3 6 5" xfId="43954"/>
    <cellStyle name="TotRow - Opmaakprofiel4 2 20 3 6 6" xfId="51287"/>
    <cellStyle name="TotRow - Opmaakprofiel4 2 20 3 7" xfId="6652"/>
    <cellStyle name="TotRow - Opmaakprofiel4 2 20 3 7 2" xfId="18487"/>
    <cellStyle name="TotRow - Opmaakprofiel4 2 20 3 7 3" xfId="30539"/>
    <cellStyle name="TotRow - Opmaakprofiel4 2 20 3 7 4" xfId="37517"/>
    <cellStyle name="TotRow - Opmaakprofiel4 2 20 3 7 5" xfId="51288"/>
    <cellStyle name="TotRow - Opmaakprofiel4 2 20 3 8" xfId="10318"/>
    <cellStyle name="TotRow - Opmaakprofiel4 2 20 3 8 2" xfId="22616"/>
    <cellStyle name="TotRow - Opmaakprofiel4 2 20 3 8 3" xfId="44377"/>
    <cellStyle name="TotRow - Opmaakprofiel4 2 20 3 8 4" xfId="31941"/>
    <cellStyle name="TotRow - Opmaakprofiel4 2 20 3 8 5" xfId="55283"/>
    <cellStyle name="TotRow - Opmaakprofiel4 2 20 3 9" xfId="18481"/>
    <cellStyle name="TotRow - Opmaakprofiel4 2 20 4" xfId="997"/>
    <cellStyle name="TotRow - Opmaakprofiel4 2 20 4 2" xfId="2186"/>
    <cellStyle name="TotRow - Opmaakprofiel4 2 20 4 2 2" xfId="11916"/>
    <cellStyle name="TotRow - Opmaakprofiel4 2 20 4 2 2 2" xfId="24215"/>
    <cellStyle name="TotRow - Opmaakprofiel4 2 20 4 2 2 3" xfId="36267"/>
    <cellStyle name="TotRow - Opmaakprofiel4 2 20 4 2 2 4" xfId="46990"/>
    <cellStyle name="TotRow - Opmaakprofiel4 2 20 4 2 2 5" xfId="56881"/>
    <cellStyle name="TotRow - Opmaakprofiel4 2 20 4 2 3" xfId="18489"/>
    <cellStyle name="TotRow - Opmaakprofiel4 2 20 4 2 4" xfId="30541"/>
    <cellStyle name="TotRow - Opmaakprofiel4 2 20 4 2 5" xfId="37515"/>
    <cellStyle name="TotRow - Opmaakprofiel4 2 20 4 2 6" xfId="51289"/>
    <cellStyle name="TotRow - Opmaakprofiel4 2 20 4 3" xfId="3008"/>
    <cellStyle name="TotRow - Opmaakprofiel4 2 20 4 3 2" xfId="11917"/>
    <cellStyle name="TotRow - Opmaakprofiel4 2 20 4 3 2 2" xfId="24216"/>
    <cellStyle name="TotRow - Opmaakprofiel4 2 20 4 3 2 3" xfId="36268"/>
    <cellStyle name="TotRow - Opmaakprofiel4 2 20 4 3 2 4" xfId="46991"/>
    <cellStyle name="TotRow - Opmaakprofiel4 2 20 4 3 2 5" xfId="56882"/>
    <cellStyle name="TotRow - Opmaakprofiel4 2 20 4 3 3" xfId="18490"/>
    <cellStyle name="TotRow - Opmaakprofiel4 2 20 4 3 4" xfId="30542"/>
    <cellStyle name="TotRow - Opmaakprofiel4 2 20 4 3 5" xfId="43952"/>
    <cellStyle name="TotRow - Opmaakprofiel4 2 20 4 3 6" xfId="51290"/>
    <cellStyle name="TotRow - Opmaakprofiel4 2 20 4 4" xfId="3854"/>
    <cellStyle name="TotRow - Opmaakprofiel4 2 20 4 4 2" xfId="11918"/>
    <cellStyle name="TotRow - Opmaakprofiel4 2 20 4 4 2 2" xfId="24217"/>
    <cellStyle name="TotRow - Opmaakprofiel4 2 20 4 4 2 3" xfId="36269"/>
    <cellStyle name="TotRow - Opmaakprofiel4 2 20 4 4 2 4" xfId="46992"/>
    <cellStyle name="TotRow - Opmaakprofiel4 2 20 4 4 2 5" xfId="56883"/>
    <cellStyle name="TotRow - Opmaakprofiel4 2 20 4 4 3" xfId="18491"/>
    <cellStyle name="TotRow - Opmaakprofiel4 2 20 4 4 4" xfId="30543"/>
    <cellStyle name="TotRow - Opmaakprofiel4 2 20 4 4 5" xfId="37514"/>
    <cellStyle name="TotRow - Opmaakprofiel4 2 20 4 4 6" xfId="51291"/>
    <cellStyle name="TotRow - Opmaakprofiel4 2 20 4 5" xfId="6653"/>
    <cellStyle name="TotRow - Opmaakprofiel4 2 20 4 5 2" xfId="11919"/>
    <cellStyle name="TotRow - Opmaakprofiel4 2 20 4 5 2 2" xfId="24218"/>
    <cellStyle name="TotRow - Opmaakprofiel4 2 20 4 5 2 3" xfId="36270"/>
    <cellStyle name="TotRow - Opmaakprofiel4 2 20 4 5 2 4" xfId="46993"/>
    <cellStyle name="TotRow - Opmaakprofiel4 2 20 4 5 2 5" xfId="56884"/>
    <cellStyle name="TotRow - Opmaakprofiel4 2 20 4 5 3" xfId="18492"/>
    <cellStyle name="TotRow - Opmaakprofiel4 2 20 4 5 4" xfId="30544"/>
    <cellStyle name="TotRow - Opmaakprofiel4 2 20 4 5 5" xfId="37513"/>
    <cellStyle name="TotRow - Opmaakprofiel4 2 20 4 5 6" xfId="51292"/>
    <cellStyle name="TotRow - Opmaakprofiel4 2 20 4 6" xfId="6654"/>
    <cellStyle name="TotRow - Opmaakprofiel4 2 20 4 6 2" xfId="11920"/>
    <cellStyle name="TotRow - Opmaakprofiel4 2 20 4 6 2 2" xfId="24219"/>
    <cellStyle name="TotRow - Opmaakprofiel4 2 20 4 6 2 3" xfId="36271"/>
    <cellStyle name="TotRow - Opmaakprofiel4 2 20 4 6 2 4" xfId="46994"/>
    <cellStyle name="TotRow - Opmaakprofiel4 2 20 4 6 2 5" xfId="56885"/>
    <cellStyle name="TotRow - Opmaakprofiel4 2 20 4 6 3" xfId="18493"/>
    <cellStyle name="TotRow - Opmaakprofiel4 2 20 4 6 4" xfId="30545"/>
    <cellStyle name="TotRow - Opmaakprofiel4 2 20 4 6 5" xfId="37512"/>
    <cellStyle name="TotRow - Opmaakprofiel4 2 20 4 6 6" xfId="51293"/>
    <cellStyle name="TotRow - Opmaakprofiel4 2 20 4 7" xfId="6655"/>
    <cellStyle name="TotRow - Opmaakprofiel4 2 20 4 7 2" xfId="18494"/>
    <cellStyle name="TotRow - Opmaakprofiel4 2 20 4 7 3" xfId="30546"/>
    <cellStyle name="TotRow - Opmaakprofiel4 2 20 4 7 4" xfId="37511"/>
    <cellStyle name="TotRow - Opmaakprofiel4 2 20 4 7 5" xfId="51294"/>
    <cellStyle name="TotRow - Opmaakprofiel4 2 20 4 8" xfId="7314"/>
    <cellStyle name="TotRow - Opmaakprofiel4 2 20 4 8 2" xfId="19612"/>
    <cellStyle name="TotRow - Opmaakprofiel4 2 20 4 8 3" xfId="41415"/>
    <cellStyle name="TotRow - Opmaakprofiel4 2 20 4 8 4" xfId="43561"/>
    <cellStyle name="TotRow - Opmaakprofiel4 2 20 4 8 5" xfId="52284"/>
    <cellStyle name="TotRow - Opmaakprofiel4 2 20 4 9" xfId="18488"/>
    <cellStyle name="TotRow - Opmaakprofiel4 2 20 5" xfId="1112"/>
    <cellStyle name="TotRow - Opmaakprofiel4 2 20 5 2" xfId="1504"/>
    <cellStyle name="TotRow - Opmaakprofiel4 2 20 5 2 2" xfId="11921"/>
    <cellStyle name="TotRow - Opmaakprofiel4 2 20 5 2 2 2" xfId="24220"/>
    <cellStyle name="TotRow - Opmaakprofiel4 2 20 5 2 2 3" xfId="36272"/>
    <cellStyle name="TotRow - Opmaakprofiel4 2 20 5 2 2 4" xfId="46995"/>
    <cellStyle name="TotRow - Opmaakprofiel4 2 20 5 2 2 5" xfId="56886"/>
    <cellStyle name="TotRow - Opmaakprofiel4 2 20 5 2 3" xfId="18496"/>
    <cellStyle name="TotRow - Opmaakprofiel4 2 20 5 2 4" xfId="30548"/>
    <cellStyle name="TotRow - Opmaakprofiel4 2 20 5 2 5" xfId="37510"/>
    <cellStyle name="TotRow - Opmaakprofiel4 2 20 5 2 6" xfId="51295"/>
    <cellStyle name="TotRow - Opmaakprofiel4 2 20 5 3" xfId="3123"/>
    <cellStyle name="TotRow - Opmaakprofiel4 2 20 5 3 2" xfId="11922"/>
    <cellStyle name="TotRow - Opmaakprofiel4 2 20 5 3 2 2" xfId="24221"/>
    <cellStyle name="TotRow - Opmaakprofiel4 2 20 5 3 2 3" xfId="36273"/>
    <cellStyle name="TotRow - Opmaakprofiel4 2 20 5 3 2 4" xfId="46996"/>
    <cellStyle name="TotRow - Opmaakprofiel4 2 20 5 3 2 5" xfId="56887"/>
    <cellStyle name="TotRow - Opmaakprofiel4 2 20 5 3 3" xfId="18497"/>
    <cellStyle name="TotRow - Opmaakprofiel4 2 20 5 3 4" xfId="30549"/>
    <cellStyle name="TotRow - Opmaakprofiel4 2 20 5 3 5" xfId="37509"/>
    <cellStyle name="TotRow - Opmaakprofiel4 2 20 5 3 6" xfId="51296"/>
    <cellStyle name="TotRow - Opmaakprofiel4 2 20 5 4" xfId="3957"/>
    <cellStyle name="TotRow - Opmaakprofiel4 2 20 5 4 2" xfId="11923"/>
    <cellStyle name="TotRow - Opmaakprofiel4 2 20 5 4 2 2" xfId="24222"/>
    <cellStyle name="TotRow - Opmaakprofiel4 2 20 5 4 2 3" xfId="36274"/>
    <cellStyle name="TotRow - Opmaakprofiel4 2 20 5 4 2 4" xfId="46997"/>
    <cellStyle name="TotRow - Opmaakprofiel4 2 20 5 4 2 5" xfId="56888"/>
    <cellStyle name="TotRow - Opmaakprofiel4 2 20 5 4 3" xfId="18498"/>
    <cellStyle name="TotRow - Opmaakprofiel4 2 20 5 4 4" xfId="30550"/>
    <cellStyle name="TotRow - Opmaakprofiel4 2 20 5 4 5" xfId="43948"/>
    <cellStyle name="TotRow - Opmaakprofiel4 2 20 5 4 6" xfId="51297"/>
    <cellStyle name="TotRow - Opmaakprofiel4 2 20 5 5" xfId="6656"/>
    <cellStyle name="TotRow - Opmaakprofiel4 2 20 5 5 2" xfId="11924"/>
    <cellStyle name="TotRow - Opmaakprofiel4 2 20 5 5 2 2" xfId="24223"/>
    <cellStyle name="TotRow - Opmaakprofiel4 2 20 5 5 2 3" xfId="36275"/>
    <cellStyle name="TotRow - Opmaakprofiel4 2 20 5 5 2 4" xfId="46998"/>
    <cellStyle name="TotRow - Opmaakprofiel4 2 20 5 5 2 5" xfId="56889"/>
    <cellStyle name="TotRow - Opmaakprofiel4 2 20 5 5 3" xfId="18499"/>
    <cellStyle name="TotRow - Opmaakprofiel4 2 20 5 5 4" xfId="30551"/>
    <cellStyle name="TotRow - Opmaakprofiel4 2 20 5 5 5" xfId="37508"/>
    <cellStyle name="TotRow - Opmaakprofiel4 2 20 5 5 6" xfId="51298"/>
    <cellStyle name="TotRow - Opmaakprofiel4 2 20 5 6" xfId="6657"/>
    <cellStyle name="TotRow - Opmaakprofiel4 2 20 5 6 2" xfId="11925"/>
    <cellStyle name="TotRow - Opmaakprofiel4 2 20 5 6 2 2" xfId="24224"/>
    <cellStyle name="TotRow - Opmaakprofiel4 2 20 5 6 2 3" xfId="36276"/>
    <cellStyle name="TotRow - Opmaakprofiel4 2 20 5 6 2 4" xfId="46999"/>
    <cellStyle name="TotRow - Opmaakprofiel4 2 20 5 6 2 5" xfId="56890"/>
    <cellStyle name="TotRow - Opmaakprofiel4 2 20 5 6 3" xfId="18500"/>
    <cellStyle name="TotRow - Opmaakprofiel4 2 20 5 6 4" xfId="30552"/>
    <cellStyle name="TotRow - Opmaakprofiel4 2 20 5 6 5" xfId="37507"/>
    <cellStyle name="TotRow - Opmaakprofiel4 2 20 5 6 6" xfId="51299"/>
    <cellStyle name="TotRow - Opmaakprofiel4 2 20 5 7" xfId="6658"/>
    <cellStyle name="TotRow - Opmaakprofiel4 2 20 5 7 2" xfId="18501"/>
    <cellStyle name="TotRow - Opmaakprofiel4 2 20 5 7 3" xfId="30553"/>
    <cellStyle name="TotRow - Opmaakprofiel4 2 20 5 7 4" xfId="37506"/>
    <cellStyle name="TotRow - Opmaakprofiel4 2 20 5 7 5" xfId="51300"/>
    <cellStyle name="TotRow - Opmaakprofiel4 2 20 5 8" xfId="9925"/>
    <cellStyle name="TotRow - Opmaakprofiel4 2 20 5 8 2" xfId="22223"/>
    <cellStyle name="TotRow - Opmaakprofiel4 2 20 5 8 3" xfId="43989"/>
    <cellStyle name="TotRow - Opmaakprofiel4 2 20 5 8 4" xfId="34235"/>
    <cellStyle name="TotRow - Opmaakprofiel4 2 20 5 8 5" xfId="54890"/>
    <cellStyle name="TotRow - Opmaakprofiel4 2 20 5 9" xfId="18495"/>
    <cellStyle name="TotRow - Opmaakprofiel4 2 20 6" xfId="428"/>
    <cellStyle name="TotRow - Opmaakprofiel4 2 20 6 2" xfId="2154"/>
    <cellStyle name="TotRow - Opmaakprofiel4 2 20 6 2 2" xfId="11926"/>
    <cellStyle name="TotRow - Opmaakprofiel4 2 20 6 2 2 2" xfId="24225"/>
    <cellStyle name="TotRow - Opmaakprofiel4 2 20 6 2 2 3" xfId="36277"/>
    <cellStyle name="TotRow - Opmaakprofiel4 2 20 6 2 2 4" xfId="47000"/>
    <cellStyle name="TotRow - Opmaakprofiel4 2 20 6 2 2 5" xfId="56891"/>
    <cellStyle name="TotRow - Opmaakprofiel4 2 20 6 2 3" xfId="18503"/>
    <cellStyle name="TotRow - Opmaakprofiel4 2 20 6 2 4" xfId="30555"/>
    <cellStyle name="TotRow - Opmaakprofiel4 2 20 6 2 5" xfId="37505"/>
    <cellStyle name="TotRow - Opmaakprofiel4 2 20 6 2 6" xfId="51301"/>
    <cellStyle name="TotRow - Opmaakprofiel4 2 20 6 3" xfId="2499"/>
    <cellStyle name="TotRow - Opmaakprofiel4 2 20 6 3 2" xfId="11927"/>
    <cellStyle name="TotRow - Opmaakprofiel4 2 20 6 3 2 2" xfId="24226"/>
    <cellStyle name="TotRow - Opmaakprofiel4 2 20 6 3 2 3" xfId="36278"/>
    <cellStyle name="TotRow - Opmaakprofiel4 2 20 6 3 2 4" xfId="47001"/>
    <cellStyle name="TotRow - Opmaakprofiel4 2 20 6 3 2 5" xfId="56892"/>
    <cellStyle name="TotRow - Opmaakprofiel4 2 20 6 3 3" xfId="18504"/>
    <cellStyle name="TotRow - Opmaakprofiel4 2 20 6 3 4" xfId="30556"/>
    <cellStyle name="TotRow - Opmaakprofiel4 2 20 6 3 5" xfId="37504"/>
    <cellStyle name="TotRow - Opmaakprofiel4 2 20 6 3 6" xfId="51302"/>
    <cellStyle name="TotRow - Opmaakprofiel4 2 20 6 4" xfId="1857"/>
    <cellStyle name="TotRow - Opmaakprofiel4 2 20 6 4 2" xfId="11928"/>
    <cellStyle name="TotRow - Opmaakprofiel4 2 20 6 4 2 2" xfId="24227"/>
    <cellStyle name="TotRow - Opmaakprofiel4 2 20 6 4 2 3" xfId="36279"/>
    <cellStyle name="TotRow - Opmaakprofiel4 2 20 6 4 2 4" xfId="47002"/>
    <cellStyle name="TotRow - Opmaakprofiel4 2 20 6 4 2 5" xfId="56893"/>
    <cellStyle name="TotRow - Opmaakprofiel4 2 20 6 4 3" xfId="18505"/>
    <cellStyle name="TotRow - Opmaakprofiel4 2 20 6 4 4" xfId="30557"/>
    <cellStyle name="TotRow - Opmaakprofiel4 2 20 6 4 5" xfId="37503"/>
    <cellStyle name="TotRow - Opmaakprofiel4 2 20 6 4 6" xfId="51303"/>
    <cellStyle name="TotRow - Opmaakprofiel4 2 20 6 5" xfId="6659"/>
    <cellStyle name="TotRow - Opmaakprofiel4 2 20 6 5 2" xfId="11929"/>
    <cellStyle name="TotRow - Opmaakprofiel4 2 20 6 5 2 2" xfId="24228"/>
    <cellStyle name="TotRow - Opmaakprofiel4 2 20 6 5 2 3" xfId="36280"/>
    <cellStyle name="TotRow - Opmaakprofiel4 2 20 6 5 2 4" xfId="47003"/>
    <cellStyle name="TotRow - Opmaakprofiel4 2 20 6 5 2 5" xfId="56894"/>
    <cellStyle name="TotRow - Opmaakprofiel4 2 20 6 5 3" xfId="18506"/>
    <cellStyle name="TotRow - Opmaakprofiel4 2 20 6 5 4" xfId="30558"/>
    <cellStyle name="TotRow - Opmaakprofiel4 2 20 6 5 5" xfId="37502"/>
    <cellStyle name="TotRow - Opmaakprofiel4 2 20 6 5 6" xfId="51304"/>
    <cellStyle name="TotRow - Opmaakprofiel4 2 20 6 6" xfId="6660"/>
    <cellStyle name="TotRow - Opmaakprofiel4 2 20 6 6 2" xfId="11930"/>
    <cellStyle name="TotRow - Opmaakprofiel4 2 20 6 6 2 2" xfId="24229"/>
    <cellStyle name="TotRow - Opmaakprofiel4 2 20 6 6 2 3" xfId="36281"/>
    <cellStyle name="TotRow - Opmaakprofiel4 2 20 6 6 2 4" xfId="47004"/>
    <cellStyle name="TotRow - Opmaakprofiel4 2 20 6 6 2 5" xfId="56895"/>
    <cellStyle name="TotRow - Opmaakprofiel4 2 20 6 6 3" xfId="18507"/>
    <cellStyle name="TotRow - Opmaakprofiel4 2 20 6 6 4" xfId="30559"/>
    <cellStyle name="TotRow - Opmaakprofiel4 2 20 6 6 5" xfId="37501"/>
    <cellStyle name="TotRow - Opmaakprofiel4 2 20 6 6 6" xfId="51305"/>
    <cellStyle name="TotRow - Opmaakprofiel4 2 20 6 7" xfId="6661"/>
    <cellStyle name="TotRow - Opmaakprofiel4 2 20 6 7 2" xfId="18508"/>
    <cellStyle name="TotRow - Opmaakprofiel4 2 20 6 7 3" xfId="30560"/>
    <cellStyle name="TotRow - Opmaakprofiel4 2 20 6 7 4" xfId="43942"/>
    <cellStyle name="TotRow - Opmaakprofiel4 2 20 6 7 5" xfId="51306"/>
    <cellStyle name="TotRow - Opmaakprofiel4 2 20 6 8" xfId="7697"/>
    <cellStyle name="TotRow - Opmaakprofiel4 2 20 6 8 2" xfId="19995"/>
    <cellStyle name="TotRow - Opmaakprofiel4 2 20 6 8 3" xfId="41798"/>
    <cellStyle name="TotRow - Opmaakprofiel4 2 20 6 8 4" xfId="25090"/>
    <cellStyle name="TotRow - Opmaakprofiel4 2 20 6 8 5" xfId="52667"/>
    <cellStyle name="TotRow - Opmaakprofiel4 2 20 6 9" xfId="18502"/>
    <cellStyle name="TotRow - Opmaakprofiel4 2 20 7" xfId="1716"/>
    <cellStyle name="TotRow - Opmaakprofiel4 2 20 7 2" xfId="11931"/>
    <cellStyle name="TotRow - Opmaakprofiel4 2 20 7 2 2" xfId="24230"/>
    <cellStyle name="TotRow - Opmaakprofiel4 2 20 7 2 3" xfId="36282"/>
    <cellStyle name="TotRow - Opmaakprofiel4 2 20 7 2 4" xfId="47005"/>
    <cellStyle name="TotRow - Opmaakprofiel4 2 20 7 2 5" xfId="56896"/>
    <cellStyle name="TotRow - Opmaakprofiel4 2 20 7 3" xfId="18509"/>
    <cellStyle name="TotRow - Opmaakprofiel4 2 20 7 4" xfId="30561"/>
    <cellStyle name="TotRow - Opmaakprofiel4 2 20 7 5" xfId="37500"/>
    <cellStyle name="TotRow - Opmaakprofiel4 2 20 7 6" xfId="51307"/>
    <cellStyle name="TotRow - Opmaakprofiel4 2 20 8" xfId="2759"/>
    <cellStyle name="TotRow - Opmaakprofiel4 2 20 8 2" xfId="11932"/>
    <cellStyle name="TotRow - Opmaakprofiel4 2 20 8 2 2" xfId="24231"/>
    <cellStyle name="TotRow - Opmaakprofiel4 2 20 8 2 3" xfId="36283"/>
    <cellStyle name="TotRow - Opmaakprofiel4 2 20 8 2 4" xfId="47006"/>
    <cellStyle name="TotRow - Opmaakprofiel4 2 20 8 2 5" xfId="56897"/>
    <cellStyle name="TotRow - Opmaakprofiel4 2 20 8 3" xfId="18510"/>
    <cellStyle name="TotRow - Opmaakprofiel4 2 20 8 4" xfId="30562"/>
    <cellStyle name="TotRow - Opmaakprofiel4 2 20 8 5" xfId="43941"/>
    <cellStyle name="TotRow - Opmaakprofiel4 2 20 8 6" xfId="51308"/>
    <cellStyle name="TotRow - Opmaakprofiel4 2 20 9" xfId="3621"/>
    <cellStyle name="TotRow - Opmaakprofiel4 2 20 9 2" xfId="11933"/>
    <cellStyle name="TotRow - Opmaakprofiel4 2 20 9 2 2" xfId="24232"/>
    <cellStyle name="TotRow - Opmaakprofiel4 2 20 9 2 3" xfId="36284"/>
    <cellStyle name="TotRow - Opmaakprofiel4 2 20 9 2 4" xfId="47007"/>
    <cellStyle name="TotRow - Opmaakprofiel4 2 20 9 2 5" xfId="56898"/>
    <cellStyle name="TotRow - Opmaakprofiel4 2 20 9 3" xfId="18511"/>
    <cellStyle name="TotRow - Opmaakprofiel4 2 20 9 4" xfId="30563"/>
    <cellStyle name="TotRow - Opmaakprofiel4 2 20 9 5" xfId="37499"/>
    <cellStyle name="TotRow - Opmaakprofiel4 2 20 9 6" xfId="51309"/>
    <cellStyle name="TotRow - Opmaakprofiel4 2 21" xfId="695"/>
    <cellStyle name="TotRow - Opmaakprofiel4 2 21 10" xfId="6662"/>
    <cellStyle name="TotRow - Opmaakprofiel4 2 21 10 2" xfId="11934"/>
    <cellStyle name="TotRow - Opmaakprofiel4 2 21 10 2 2" xfId="24233"/>
    <cellStyle name="TotRow - Opmaakprofiel4 2 21 10 2 3" xfId="36285"/>
    <cellStyle name="TotRow - Opmaakprofiel4 2 21 10 2 4" xfId="47008"/>
    <cellStyle name="TotRow - Opmaakprofiel4 2 21 10 2 5" xfId="56899"/>
    <cellStyle name="TotRow - Opmaakprofiel4 2 21 10 3" xfId="18513"/>
    <cellStyle name="TotRow - Opmaakprofiel4 2 21 10 4" xfId="30565"/>
    <cellStyle name="TotRow - Opmaakprofiel4 2 21 10 5" xfId="37498"/>
    <cellStyle name="TotRow - Opmaakprofiel4 2 21 10 6" xfId="51310"/>
    <cellStyle name="TotRow - Opmaakprofiel4 2 21 11" xfId="6663"/>
    <cellStyle name="TotRow - Opmaakprofiel4 2 21 11 2" xfId="11935"/>
    <cellStyle name="TotRow - Opmaakprofiel4 2 21 11 2 2" xfId="24234"/>
    <cellStyle name="TotRow - Opmaakprofiel4 2 21 11 2 3" xfId="36286"/>
    <cellStyle name="TotRow - Opmaakprofiel4 2 21 11 2 4" xfId="47009"/>
    <cellStyle name="TotRow - Opmaakprofiel4 2 21 11 2 5" xfId="56900"/>
    <cellStyle name="TotRow - Opmaakprofiel4 2 21 11 3" xfId="18514"/>
    <cellStyle name="TotRow - Opmaakprofiel4 2 21 11 4" xfId="30566"/>
    <cellStyle name="TotRow - Opmaakprofiel4 2 21 11 5" xfId="37497"/>
    <cellStyle name="TotRow - Opmaakprofiel4 2 21 11 6" xfId="51311"/>
    <cellStyle name="TotRow - Opmaakprofiel4 2 21 12" xfId="6664"/>
    <cellStyle name="TotRow - Opmaakprofiel4 2 21 12 2" xfId="18515"/>
    <cellStyle name="TotRow - Opmaakprofiel4 2 21 12 3" xfId="30567"/>
    <cellStyle name="TotRow - Opmaakprofiel4 2 21 12 4" xfId="41895"/>
    <cellStyle name="TotRow - Opmaakprofiel4 2 21 12 5" xfId="51312"/>
    <cellStyle name="TotRow - Opmaakprofiel4 2 21 13" xfId="7517"/>
    <cellStyle name="TotRow - Opmaakprofiel4 2 21 13 2" xfId="19815"/>
    <cellStyle name="TotRow - Opmaakprofiel4 2 21 13 3" xfId="41618"/>
    <cellStyle name="TotRow - Opmaakprofiel4 2 21 13 4" xfId="43476"/>
    <cellStyle name="TotRow - Opmaakprofiel4 2 21 13 5" xfId="52487"/>
    <cellStyle name="TotRow - Opmaakprofiel4 2 21 14" xfId="18512"/>
    <cellStyle name="TotRow - Opmaakprofiel4 2 21 2" xfId="868"/>
    <cellStyle name="TotRow - Opmaakprofiel4 2 21 2 2" xfId="1515"/>
    <cellStyle name="TotRow - Opmaakprofiel4 2 21 2 2 2" xfId="11936"/>
    <cellStyle name="TotRow - Opmaakprofiel4 2 21 2 2 2 2" xfId="24235"/>
    <cellStyle name="TotRow - Opmaakprofiel4 2 21 2 2 2 3" xfId="36287"/>
    <cellStyle name="TotRow - Opmaakprofiel4 2 21 2 2 2 4" xfId="47010"/>
    <cellStyle name="TotRow - Opmaakprofiel4 2 21 2 2 2 5" xfId="56901"/>
    <cellStyle name="TotRow - Opmaakprofiel4 2 21 2 2 3" xfId="18517"/>
    <cellStyle name="TotRow - Opmaakprofiel4 2 21 2 2 4" xfId="30569"/>
    <cellStyle name="TotRow - Opmaakprofiel4 2 21 2 2 5" xfId="43938"/>
    <cellStyle name="TotRow - Opmaakprofiel4 2 21 2 2 6" xfId="51313"/>
    <cellStyle name="TotRow - Opmaakprofiel4 2 21 2 3" xfId="2879"/>
    <cellStyle name="TotRow - Opmaakprofiel4 2 21 2 3 2" xfId="11937"/>
    <cellStyle name="TotRow - Opmaakprofiel4 2 21 2 3 2 2" xfId="24236"/>
    <cellStyle name="TotRow - Opmaakprofiel4 2 21 2 3 2 3" xfId="36288"/>
    <cellStyle name="TotRow - Opmaakprofiel4 2 21 2 3 2 4" xfId="47011"/>
    <cellStyle name="TotRow - Opmaakprofiel4 2 21 2 3 2 5" xfId="56902"/>
    <cellStyle name="TotRow - Opmaakprofiel4 2 21 2 3 3" xfId="18518"/>
    <cellStyle name="TotRow - Opmaakprofiel4 2 21 2 3 4" xfId="30570"/>
    <cellStyle name="TotRow - Opmaakprofiel4 2 21 2 3 5" xfId="37495"/>
    <cellStyle name="TotRow - Opmaakprofiel4 2 21 2 3 6" xfId="51314"/>
    <cellStyle name="TotRow - Opmaakprofiel4 2 21 2 4" xfId="3732"/>
    <cellStyle name="TotRow - Opmaakprofiel4 2 21 2 4 2" xfId="11938"/>
    <cellStyle name="TotRow - Opmaakprofiel4 2 21 2 4 2 2" xfId="24237"/>
    <cellStyle name="TotRow - Opmaakprofiel4 2 21 2 4 2 3" xfId="36289"/>
    <cellStyle name="TotRow - Opmaakprofiel4 2 21 2 4 2 4" xfId="47012"/>
    <cellStyle name="TotRow - Opmaakprofiel4 2 21 2 4 2 5" xfId="56903"/>
    <cellStyle name="TotRow - Opmaakprofiel4 2 21 2 4 3" xfId="18519"/>
    <cellStyle name="TotRow - Opmaakprofiel4 2 21 2 4 4" xfId="30571"/>
    <cellStyle name="TotRow - Opmaakprofiel4 2 21 2 4 5" xfId="43937"/>
    <cellStyle name="TotRow - Opmaakprofiel4 2 21 2 4 6" xfId="51315"/>
    <cellStyle name="TotRow - Opmaakprofiel4 2 21 2 5" xfId="6665"/>
    <cellStyle name="TotRow - Opmaakprofiel4 2 21 2 5 2" xfId="11939"/>
    <cellStyle name="TotRow - Opmaakprofiel4 2 21 2 5 2 2" xfId="24238"/>
    <cellStyle name="TotRow - Opmaakprofiel4 2 21 2 5 2 3" xfId="36290"/>
    <cellStyle name="TotRow - Opmaakprofiel4 2 21 2 5 2 4" xfId="47013"/>
    <cellStyle name="TotRow - Opmaakprofiel4 2 21 2 5 2 5" xfId="56904"/>
    <cellStyle name="TotRow - Opmaakprofiel4 2 21 2 5 3" xfId="18520"/>
    <cellStyle name="TotRow - Opmaakprofiel4 2 21 2 5 4" xfId="30572"/>
    <cellStyle name="TotRow - Opmaakprofiel4 2 21 2 5 5" xfId="37494"/>
    <cellStyle name="TotRow - Opmaakprofiel4 2 21 2 5 6" xfId="51316"/>
    <cellStyle name="TotRow - Opmaakprofiel4 2 21 2 6" xfId="6666"/>
    <cellStyle name="TotRow - Opmaakprofiel4 2 21 2 6 2" xfId="11940"/>
    <cellStyle name="TotRow - Opmaakprofiel4 2 21 2 6 2 2" xfId="24239"/>
    <cellStyle name="TotRow - Opmaakprofiel4 2 21 2 6 2 3" xfId="36291"/>
    <cellStyle name="TotRow - Opmaakprofiel4 2 21 2 6 2 4" xfId="47014"/>
    <cellStyle name="TotRow - Opmaakprofiel4 2 21 2 6 2 5" xfId="56905"/>
    <cellStyle name="TotRow - Opmaakprofiel4 2 21 2 6 3" xfId="18521"/>
    <cellStyle name="TotRow - Opmaakprofiel4 2 21 2 6 4" xfId="30573"/>
    <cellStyle name="TotRow - Opmaakprofiel4 2 21 2 6 5" xfId="43936"/>
    <cellStyle name="TotRow - Opmaakprofiel4 2 21 2 6 6" xfId="51317"/>
    <cellStyle name="TotRow - Opmaakprofiel4 2 21 2 7" xfId="6667"/>
    <cellStyle name="TotRow - Opmaakprofiel4 2 21 2 7 2" xfId="18522"/>
    <cellStyle name="TotRow - Opmaakprofiel4 2 21 2 7 3" xfId="30574"/>
    <cellStyle name="TotRow - Opmaakprofiel4 2 21 2 7 4" xfId="37493"/>
    <cellStyle name="TotRow - Opmaakprofiel4 2 21 2 7 5" xfId="51318"/>
    <cellStyle name="TotRow - Opmaakprofiel4 2 21 2 8" xfId="10088"/>
    <cellStyle name="TotRow - Opmaakprofiel4 2 21 2 8 2" xfId="22386"/>
    <cellStyle name="TotRow - Opmaakprofiel4 2 21 2 8 3" xfId="44150"/>
    <cellStyle name="TotRow - Opmaakprofiel4 2 21 2 8 4" xfId="42420"/>
    <cellStyle name="TotRow - Opmaakprofiel4 2 21 2 8 5" xfId="55053"/>
    <cellStyle name="TotRow - Opmaakprofiel4 2 21 2 9" xfId="18516"/>
    <cellStyle name="TotRow - Opmaakprofiel4 2 21 3" xfId="606"/>
    <cellStyle name="TotRow - Opmaakprofiel4 2 21 3 2" xfId="1499"/>
    <cellStyle name="TotRow - Opmaakprofiel4 2 21 3 2 2" xfId="11941"/>
    <cellStyle name="TotRow - Opmaakprofiel4 2 21 3 2 2 2" xfId="24240"/>
    <cellStyle name="TotRow - Opmaakprofiel4 2 21 3 2 2 3" xfId="36292"/>
    <cellStyle name="TotRow - Opmaakprofiel4 2 21 3 2 2 4" xfId="47015"/>
    <cellStyle name="TotRow - Opmaakprofiel4 2 21 3 2 2 5" xfId="56906"/>
    <cellStyle name="TotRow - Opmaakprofiel4 2 21 3 2 3" xfId="18524"/>
    <cellStyle name="TotRow - Opmaakprofiel4 2 21 3 2 4" xfId="30576"/>
    <cellStyle name="TotRow - Opmaakprofiel4 2 21 3 2 5" xfId="37492"/>
    <cellStyle name="TotRow - Opmaakprofiel4 2 21 3 2 6" xfId="51319"/>
    <cellStyle name="TotRow - Opmaakprofiel4 2 21 3 3" xfId="2677"/>
    <cellStyle name="TotRow - Opmaakprofiel4 2 21 3 3 2" xfId="11942"/>
    <cellStyle name="TotRow - Opmaakprofiel4 2 21 3 3 2 2" xfId="24241"/>
    <cellStyle name="TotRow - Opmaakprofiel4 2 21 3 3 2 3" xfId="36293"/>
    <cellStyle name="TotRow - Opmaakprofiel4 2 21 3 3 2 4" xfId="47016"/>
    <cellStyle name="TotRow - Opmaakprofiel4 2 21 3 3 2 5" xfId="56907"/>
    <cellStyle name="TotRow - Opmaakprofiel4 2 21 3 3 3" xfId="18525"/>
    <cellStyle name="TotRow - Opmaakprofiel4 2 21 3 3 4" xfId="30577"/>
    <cellStyle name="TotRow - Opmaakprofiel4 2 21 3 3 5" xfId="37491"/>
    <cellStyle name="TotRow - Opmaakprofiel4 2 21 3 3 6" xfId="51320"/>
    <cellStyle name="TotRow - Opmaakprofiel4 2 21 3 4" xfId="3549"/>
    <cellStyle name="TotRow - Opmaakprofiel4 2 21 3 4 2" xfId="11943"/>
    <cellStyle name="TotRow - Opmaakprofiel4 2 21 3 4 2 2" xfId="24242"/>
    <cellStyle name="TotRow - Opmaakprofiel4 2 21 3 4 2 3" xfId="36294"/>
    <cellStyle name="TotRow - Opmaakprofiel4 2 21 3 4 2 4" xfId="47017"/>
    <cellStyle name="TotRow - Opmaakprofiel4 2 21 3 4 2 5" xfId="56908"/>
    <cellStyle name="TotRow - Opmaakprofiel4 2 21 3 4 3" xfId="18526"/>
    <cellStyle name="TotRow - Opmaakprofiel4 2 21 3 4 4" xfId="30578"/>
    <cellStyle name="TotRow - Opmaakprofiel4 2 21 3 4 5" xfId="37490"/>
    <cellStyle name="TotRow - Opmaakprofiel4 2 21 3 4 6" xfId="51321"/>
    <cellStyle name="TotRow - Opmaakprofiel4 2 21 3 5" xfId="6668"/>
    <cellStyle name="TotRow - Opmaakprofiel4 2 21 3 5 2" xfId="11944"/>
    <cellStyle name="TotRow - Opmaakprofiel4 2 21 3 5 2 2" xfId="24243"/>
    <cellStyle name="TotRow - Opmaakprofiel4 2 21 3 5 2 3" xfId="36295"/>
    <cellStyle name="TotRow - Opmaakprofiel4 2 21 3 5 2 4" xfId="47018"/>
    <cellStyle name="TotRow - Opmaakprofiel4 2 21 3 5 2 5" xfId="56909"/>
    <cellStyle name="TotRow - Opmaakprofiel4 2 21 3 5 3" xfId="18527"/>
    <cellStyle name="TotRow - Opmaakprofiel4 2 21 3 5 4" xfId="30579"/>
    <cellStyle name="TotRow - Opmaakprofiel4 2 21 3 5 5" xfId="37489"/>
    <cellStyle name="TotRow - Opmaakprofiel4 2 21 3 5 6" xfId="51322"/>
    <cellStyle name="TotRow - Opmaakprofiel4 2 21 3 6" xfId="6669"/>
    <cellStyle name="TotRow - Opmaakprofiel4 2 21 3 6 2" xfId="11945"/>
    <cellStyle name="TotRow - Opmaakprofiel4 2 21 3 6 2 2" xfId="24244"/>
    <cellStyle name="TotRow - Opmaakprofiel4 2 21 3 6 2 3" xfId="36296"/>
    <cellStyle name="TotRow - Opmaakprofiel4 2 21 3 6 2 4" xfId="47019"/>
    <cellStyle name="TotRow - Opmaakprofiel4 2 21 3 6 2 5" xfId="56910"/>
    <cellStyle name="TotRow - Opmaakprofiel4 2 21 3 6 3" xfId="18528"/>
    <cellStyle name="TotRow - Opmaakprofiel4 2 21 3 6 4" xfId="30580"/>
    <cellStyle name="TotRow - Opmaakprofiel4 2 21 3 6 5" xfId="37488"/>
    <cellStyle name="TotRow - Opmaakprofiel4 2 21 3 6 6" xfId="51323"/>
    <cellStyle name="TotRow - Opmaakprofiel4 2 21 3 7" xfId="6670"/>
    <cellStyle name="TotRow - Opmaakprofiel4 2 21 3 7 2" xfId="18529"/>
    <cellStyle name="TotRow - Opmaakprofiel4 2 21 3 7 3" xfId="30581"/>
    <cellStyle name="TotRow - Opmaakprofiel4 2 21 3 7 4" xfId="45538"/>
    <cellStyle name="TotRow - Opmaakprofiel4 2 21 3 7 5" xfId="51324"/>
    <cellStyle name="TotRow - Opmaakprofiel4 2 21 3 8" xfId="10266"/>
    <cellStyle name="TotRow - Opmaakprofiel4 2 21 3 8 2" xfId="22564"/>
    <cellStyle name="TotRow - Opmaakprofiel4 2 21 3 8 3" xfId="44325"/>
    <cellStyle name="TotRow - Opmaakprofiel4 2 21 3 8 4" xfId="31881"/>
    <cellStyle name="TotRow - Opmaakprofiel4 2 21 3 8 5" xfId="55231"/>
    <cellStyle name="TotRow - Opmaakprofiel4 2 21 3 9" xfId="18523"/>
    <cellStyle name="TotRow - Opmaakprofiel4 2 21 4" xfId="592"/>
    <cellStyle name="TotRow - Opmaakprofiel4 2 21 4 2" xfId="1879"/>
    <cellStyle name="TotRow - Opmaakprofiel4 2 21 4 2 2" xfId="11946"/>
    <cellStyle name="TotRow - Opmaakprofiel4 2 21 4 2 2 2" xfId="24245"/>
    <cellStyle name="TotRow - Opmaakprofiel4 2 21 4 2 2 3" xfId="36297"/>
    <cellStyle name="TotRow - Opmaakprofiel4 2 21 4 2 2 4" xfId="47020"/>
    <cellStyle name="TotRow - Opmaakprofiel4 2 21 4 2 2 5" xfId="56911"/>
    <cellStyle name="TotRow - Opmaakprofiel4 2 21 4 2 3" xfId="18531"/>
    <cellStyle name="TotRow - Opmaakprofiel4 2 21 4 2 4" xfId="30583"/>
    <cellStyle name="TotRow - Opmaakprofiel4 2 21 4 2 5" xfId="37487"/>
    <cellStyle name="TotRow - Opmaakprofiel4 2 21 4 2 6" xfId="51325"/>
    <cellStyle name="TotRow - Opmaakprofiel4 2 21 4 3" xfId="2663"/>
    <cellStyle name="TotRow - Opmaakprofiel4 2 21 4 3 2" xfId="11947"/>
    <cellStyle name="TotRow - Opmaakprofiel4 2 21 4 3 2 2" xfId="24246"/>
    <cellStyle name="TotRow - Opmaakprofiel4 2 21 4 3 2 3" xfId="36298"/>
    <cellStyle name="TotRow - Opmaakprofiel4 2 21 4 3 2 4" xfId="47021"/>
    <cellStyle name="TotRow - Opmaakprofiel4 2 21 4 3 2 5" xfId="56912"/>
    <cellStyle name="TotRow - Opmaakprofiel4 2 21 4 3 3" xfId="18532"/>
    <cellStyle name="TotRow - Opmaakprofiel4 2 21 4 3 4" xfId="30584"/>
    <cellStyle name="TotRow - Opmaakprofiel4 2 21 4 3 5" xfId="37486"/>
    <cellStyle name="TotRow - Opmaakprofiel4 2 21 4 3 6" xfId="51326"/>
    <cellStyle name="TotRow - Opmaakprofiel4 2 21 4 4" xfId="3537"/>
    <cellStyle name="TotRow - Opmaakprofiel4 2 21 4 4 2" xfId="11948"/>
    <cellStyle name="TotRow - Opmaakprofiel4 2 21 4 4 2 2" xfId="24247"/>
    <cellStyle name="TotRow - Opmaakprofiel4 2 21 4 4 2 3" xfId="36299"/>
    <cellStyle name="TotRow - Opmaakprofiel4 2 21 4 4 2 4" xfId="47022"/>
    <cellStyle name="TotRow - Opmaakprofiel4 2 21 4 4 2 5" xfId="56913"/>
    <cellStyle name="TotRow - Opmaakprofiel4 2 21 4 4 3" xfId="18533"/>
    <cellStyle name="TotRow - Opmaakprofiel4 2 21 4 4 4" xfId="30585"/>
    <cellStyle name="TotRow - Opmaakprofiel4 2 21 4 4 5" xfId="37485"/>
    <cellStyle name="TotRow - Opmaakprofiel4 2 21 4 4 6" xfId="51327"/>
    <cellStyle name="TotRow - Opmaakprofiel4 2 21 4 5" xfId="6671"/>
    <cellStyle name="TotRow - Opmaakprofiel4 2 21 4 5 2" xfId="11949"/>
    <cellStyle name="TotRow - Opmaakprofiel4 2 21 4 5 2 2" xfId="24248"/>
    <cellStyle name="TotRow - Opmaakprofiel4 2 21 4 5 2 3" xfId="36300"/>
    <cellStyle name="TotRow - Opmaakprofiel4 2 21 4 5 2 4" xfId="47023"/>
    <cellStyle name="TotRow - Opmaakprofiel4 2 21 4 5 2 5" xfId="56914"/>
    <cellStyle name="TotRow - Opmaakprofiel4 2 21 4 5 3" xfId="18534"/>
    <cellStyle name="TotRow - Opmaakprofiel4 2 21 4 5 4" xfId="30586"/>
    <cellStyle name="TotRow - Opmaakprofiel4 2 21 4 5 5" xfId="31333"/>
    <cellStyle name="TotRow - Opmaakprofiel4 2 21 4 5 6" xfId="51328"/>
    <cellStyle name="TotRow - Opmaakprofiel4 2 21 4 6" xfId="6672"/>
    <cellStyle name="TotRow - Opmaakprofiel4 2 21 4 6 2" xfId="11950"/>
    <cellStyle name="TotRow - Opmaakprofiel4 2 21 4 6 2 2" xfId="24249"/>
    <cellStyle name="TotRow - Opmaakprofiel4 2 21 4 6 2 3" xfId="36301"/>
    <cellStyle name="TotRow - Opmaakprofiel4 2 21 4 6 2 4" xfId="47024"/>
    <cellStyle name="TotRow - Opmaakprofiel4 2 21 4 6 2 5" xfId="56915"/>
    <cellStyle name="TotRow - Opmaakprofiel4 2 21 4 6 3" xfId="18535"/>
    <cellStyle name="TotRow - Opmaakprofiel4 2 21 4 6 4" xfId="30587"/>
    <cellStyle name="TotRow - Opmaakprofiel4 2 21 4 6 5" xfId="37484"/>
    <cellStyle name="TotRow - Opmaakprofiel4 2 21 4 6 6" xfId="51329"/>
    <cellStyle name="TotRow - Opmaakprofiel4 2 21 4 7" xfId="6673"/>
    <cellStyle name="TotRow - Opmaakprofiel4 2 21 4 7 2" xfId="18536"/>
    <cellStyle name="TotRow - Opmaakprofiel4 2 21 4 7 3" xfId="30588"/>
    <cellStyle name="TotRow - Opmaakprofiel4 2 21 4 7 4" xfId="37483"/>
    <cellStyle name="TotRow - Opmaakprofiel4 2 21 4 7 5" xfId="51330"/>
    <cellStyle name="TotRow - Opmaakprofiel4 2 21 4 8" xfId="7587"/>
    <cellStyle name="TotRow - Opmaakprofiel4 2 21 4 8 2" xfId="19885"/>
    <cellStyle name="TotRow - Opmaakprofiel4 2 21 4 8 3" xfId="41688"/>
    <cellStyle name="TotRow - Opmaakprofiel4 2 21 4 8 4" xfId="24863"/>
    <cellStyle name="TotRow - Opmaakprofiel4 2 21 4 8 5" xfId="52557"/>
    <cellStyle name="TotRow - Opmaakprofiel4 2 21 4 9" xfId="18530"/>
    <cellStyle name="TotRow - Opmaakprofiel4 2 21 5" xfId="854"/>
    <cellStyle name="TotRow - Opmaakprofiel4 2 21 5 2" xfId="1445"/>
    <cellStyle name="TotRow - Opmaakprofiel4 2 21 5 2 2" xfId="11951"/>
    <cellStyle name="TotRow - Opmaakprofiel4 2 21 5 2 2 2" xfId="24250"/>
    <cellStyle name="TotRow - Opmaakprofiel4 2 21 5 2 2 3" xfId="36302"/>
    <cellStyle name="TotRow - Opmaakprofiel4 2 21 5 2 2 4" xfId="47025"/>
    <cellStyle name="TotRow - Opmaakprofiel4 2 21 5 2 2 5" xfId="56916"/>
    <cellStyle name="TotRow - Opmaakprofiel4 2 21 5 2 3" xfId="18538"/>
    <cellStyle name="TotRow - Opmaakprofiel4 2 21 5 2 4" xfId="30590"/>
    <cellStyle name="TotRow - Opmaakprofiel4 2 21 5 2 5" xfId="37481"/>
    <cellStyle name="TotRow - Opmaakprofiel4 2 21 5 2 6" xfId="51331"/>
    <cellStyle name="TotRow - Opmaakprofiel4 2 21 5 3" xfId="2865"/>
    <cellStyle name="TotRow - Opmaakprofiel4 2 21 5 3 2" xfId="11952"/>
    <cellStyle name="TotRow - Opmaakprofiel4 2 21 5 3 2 2" xfId="24251"/>
    <cellStyle name="TotRow - Opmaakprofiel4 2 21 5 3 2 3" xfId="36303"/>
    <cellStyle name="TotRow - Opmaakprofiel4 2 21 5 3 2 4" xfId="47026"/>
    <cellStyle name="TotRow - Opmaakprofiel4 2 21 5 3 2 5" xfId="56917"/>
    <cellStyle name="TotRow - Opmaakprofiel4 2 21 5 3 3" xfId="18539"/>
    <cellStyle name="TotRow - Opmaakprofiel4 2 21 5 3 4" xfId="30591"/>
    <cellStyle name="TotRow - Opmaakprofiel4 2 21 5 3 5" xfId="37480"/>
    <cellStyle name="TotRow - Opmaakprofiel4 2 21 5 3 6" xfId="51332"/>
    <cellStyle name="TotRow - Opmaakprofiel4 2 21 5 4" xfId="3718"/>
    <cellStyle name="TotRow - Opmaakprofiel4 2 21 5 4 2" xfId="11953"/>
    <cellStyle name="TotRow - Opmaakprofiel4 2 21 5 4 2 2" xfId="24252"/>
    <cellStyle name="TotRow - Opmaakprofiel4 2 21 5 4 2 3" xfId="36304"/>
    <cellStyle name="TotRow - Opmaakprofiel4 2 21 5 4 2 4" xfId="47027"/>
    <cellStyle name="TotRow - Opmaakprofiel4 2 21 5 4 2 5" xfId="56918"/>
    <cellStyle name="TotRow - Opmaakprofiel4 2 21 5 4 3" xfId="18540"/>
    <cellStyle name="TotRow - Opmaakprofiel4 2 21 5 4 4" xfId="30592"/>
    <cellStyle name="TotRow - Opmaakprofiel4 2 21 5 4 5" xfId="37479"/>
    <cellStyle name="TotRow - Opmaakprofiel4 2 21 5 4 6" xfId="51333"/>
    <cellStyle name="TotRow - Opmaakprofiel4 2 21 5 5" xfId="6674"/>
    <cellStyle name="TotRow - Opmaakprofiel4 2 21 5 5 2" xfId="11954"/>
    <cellStyle name="TotRow - Opmaakprofiel4 2 21 5 5 2 2" xfId="24253"/>
    <cellStyle name="TotRow - Opmaakprofiel4 2 21 5 5 2 3" xfId="36305"/>
    <cellStyle name="TotRow - Opmaakprofiel4 2 21 5 5 2 4" xfId="47028"/>
    <cellStyle name="TotRow - Opmaakprofiel4 2 21 5 5 2 5" xfId="56919"/>
    <cellStyle name="TotRow - Opmaakprofiel4 2 21 5 5 3" xfId="18541"/>
    <cellStyle name="TotRow - Opmaakprofiel4 2 21 5 5 4" xfId="30593"/>
    <cellStyle name="TotRow - Opmaakprofiel4 2 21 5 5 5" xfId="37478"/>
    <cellStyle name="TotRow - Opmaakprofiel4 2 21 5 5 6" xfId="51334"/>
    <cellStyle name="TotRow - Opmaakprofiel4 2 21 5 6" xfId="6675"/>
    <cellStyle name="TotRow - Opmaakprofiel4 2 21 5 6 2" xfId="11955"/>
    <cellStyle name="TotRow - Opmaakprofiel4 2 21 5 6 2 2" xfId="24254"/>
    <cellStyle name="TotRow - Opmaakprofiel4 2 21 5 6 2 3" xfId="36306"/>
    <cellStyle name="TotRow - Opmaakprofiel4 2 21 5 6 2 4" xfId="47029"/>
    <cellStyle name="TotRow - Opmaakprofiel4 2 21 5 6 2 5" xfId="56920"/>
    <cellStyle name="TotRow - Opmaakprofiel4 2 21 5 6 3" xfId="18542"/>
    <cellStyle name="TotRow - Opmaakprofiel4 2 21 5 6 4" xfId="30594"/>
    <cellStyle name="TotRow - Opmaakprofiel4 2 21 5 6 5" xfId="37477"/>
    <cellStyle name="TotRow - Opmaakprofiel4 2 21 5 6 6" xfId="51335"/>
    <cellStyle name="TotRow - Opmaakprofiel4 2 21 5 7" xfId="6676"/>
    <cellStyle name="TotRow - Opmaakprofiel4 2 21 5 7 2" xfId="18543"/>
    <cellStyle name="TotRow - Opmaakprofiel4 2 21 5 7 3" xfId="30595"/>
    <cellStyle name="TotRow - Opmaakprofiel4 2 21 5 7 4" xfId="37476"/>
    <cellStyle name="TotRow - Opmaakprofiel4 2 21 5 7 5" xfId="51336"/>
    <cellStyle name="TotRow - Opmaakprofiel4 2 21 5 8" xfId="7409"/>
    <cellStyle name="TotRow - Opmaakprofiel4 2 21 5 8 2" xfId="19707"/>
    <cellStyle name="TotRow - Opmaakprofiel4 2 21 5 8 3" xfId="41510"/>
    <cellStyle name="TotRow - Opmaakprofiel4 2 21 5 8 4" xfId="15573"/>
    <cellStyle name="TotRow - Opmaakprofiel4 2 21 5 8 5" xfId="52379"/>
    <cellStyle name="TotRow - Opmaakprofiel4 2 21 5 9" xfId="18537"/>
    <cellStyle name="TotRow - Opmaakprofiel4 2 21 6" xfId="1260"/>
    <cellStyle name="TotRow - Opmaakprofiel4 2 21 6 2" xfId="1808"/>
    <cellStyle name="TotRow - Opmaakprofiel4 2 21 6 2 2" xfId="11956"/>
    <cellStyle name="TotRow - Opmaakprofiel4 2 21 6 2 2 2" xfId="24255"/>
    <cellStyle name="TotRow - Opmaakprofiel4 2 21 6 2 2 3" xfId="36307"/>
    <cellStyle name="TotRow - Opmaakprofiel4 2 21 6 2 2 4" xfId="47030"/>
    <cellStyle name="TotRow - Opmaakprofiel4 2 21 6 2 2 5" xfId="56921"/>
    <cellStyle name="TotRow - Opmaakprofiel4 2 21 6 2 3" xfId="18545"/>
    <cellStyle name="TotRow - Opmaakprofiel4 2 21 6 2 4" xfId="30597"/>
    <cellStyle name="TotRow - Opmaakprofiel4 2 21 6 2 5" xfId="37474"/>
    <cellStyle name="TotRow - Opmaakprofiel4 2 21 6 2 6" xfId="51337"/>
    <cellStyle name="TotRow - Opmaakprofiel4 2 21 6 3" xfId="3271"/>
    <cellStyle name="TotRow - Opmaakprofiel4 2 21 6 3 2" xfId="11957"/>
    <cellStyle name="TotRow - Opmaakprofiel4 2 21 6 3 2 2" xfId="24256"/>
    <cellStyle name="TotRow - Opmaakprofiel4 2 21 6 3 2 3" xfId="36308"/>
    <cellStyle name="TotRow - Opmaakprofiel4 2 21 6 3 2 4" xfId="47031"/>
    <cellStyle name="TotRow - Opmaakprofiel4 2 21 6 3 2 5" xfId="56922"/>
    <cellStyle name="TotRow - Opmaakprofiel4 2 21 6 3 3" xfId="18546"/>
    <cellStyle name="TotRow - Opmaakprofiel4 2 21 6 3 4" xfId="30598"/>
    <cellStyle name="TotRow - Opmaakprofiel4 2 21 6 3 5" xfId="37473"/>
    <cellStyle name="TotRow - Opmaakprofiel4 2 21 6 3 6" xfId="51338"/>
    <cellStyle name="TotRow - Opmaakprofiel4 2 21 6 4" xfId="4079"/>
    <cellStyle name="TotRow - Opmaakprofiel4 2 21 6 4 2" xfId="11958"/>
    <cellStyle name="TotRow - Opmaakprofiel4 2 21 6 4 2 2" xfId="24257"/>
    <cellStyle name="TotRow - Opmaakprofiel4 2 21 6 4 2 3" xfId="36309"/>
    <cellStyle name="TotRow - Opmaakprofiel4 2 21 6 4 2 4" xfId="47032"/>
    <cellStyle name="TotRow - Opmaakprofiel4 2 21 6 4 2 5" xfId="56923"/>
    <cellStyle name="TotRow - Opmaakprofiel4 2 21 6 4 3" xfId="18547"/>
    <cellStyle name="TotRow - Opmaakprofiel4 2 21 6 4 4" xfId="30599"/>
    <cellStyle name="TotRow - Opmaakprofiel4 2 21 6 4 5" xfId="37472"/>
    <cellStyle name="TotRow - Opmaakprofiel4 2 21 6 4 6" xfId="51339"/>
    <cellStyle name="TotRow - Opmaakprofiel4 2 21 6 5" xfId="6677"/>
    <cellStyle name="TotRow - Opmaakprofiel4 2 21 6 5 2" xfId="11959"/>
    <cellStyle name="TotRow - Opmaakprofiel4 2 21 6 5 2 2" xfId="24258"/>
    <cellStyle name="TotRow - Opmaakprofiel4 2 21 6 5 2 3" xfId="36310"/>
    <cellStyle name="TotRow - Opmaakprofiel4 2 21 6 5 2 4" xfId="47033"/>
    <cellStyle name="TotRow - Opmaakprofiel4 2 21 6 5 2 5" xfId="56924"/>
    <cellStyle name="TotRow - Opmaakprofiel4 2 21 6 5 3" xfId="18548"/>
    <cellStyle name="TotRow - Opmaakprofiel4 2 21 6 5 4" xfId="30600"/>
    <cellStyle name="TotRow - Opmaakprofiel4 2 21 6 5 5" xfId="37471"/>
    <cellStyle name="TotRow - Opmaakprofiel4 2 21 6 5 6" xfId="51340"/>
    <cellStyle name="TotRow - Opmaakprofiel4 2 21 6 6" xfId="6678"/>
    <cellStyle name="TotRow - Opmaakprofiel4 2 21 6 6 2" xfId="11960"/>
    <cellStyle name="TotRow - Opmaakprofiel4 2 21 6 6 2 2" xfId="24259"/>
    <cellStyle name="TotRow - Opmaakprofiel4 2 21 6 6 2 3" xfId="36311"/>
    <cellStyle name="TotRow - Opmaakprofiel4 2 21 6 6 2 4" xfId="47034"/>
    <cellStyle name="TotRow - Opmaakprofiel4 2 21 6 6 2 5" xfId="56925"/>
    <cellStyle name="TotRow - Opmaakprofiel4 2 21 6 6 3" xfId="18549"/>
    <cellStyle name="TotRow - Opmaakprofiel4 2 21 6 6 4" xfId="30601"/>
    <cellStyle name="TotRow - Opmaakprofiel4 2 21 6 6 5" xfId="37470"/>
    <cellStyle name="TotRow - Opmaakprofiel4 2 21 6 6 6" xfId="51341"/>
    <cellStyle name="TotRow - Opmaakprofiel4 2 21 6 7" xfId="6679"/>
    <cellStyle name="TotRow - Opmaakprofiel4 2 21 6 7 2" xfId="18550"/>
    <cellStyle name="TotRow - Opmaakprofiel4 2 21 6 7 3" xfId="30602"/>
    <cellStyle name="TotRow - Opmaakprofiel4 2 21 6 7 4" xfId="37469"/>
    <cellStyle name="TotRow - Opmaakprofiel4 2 21 6 7 5" xfId="51342"/>
    <cellStyle name="TotRow - Opmaakprofiel4 2 21 6 8" xfId="7115"/>
    <cellStyle name="TotRow - Opmaakprofiel4 2 21 6 8 2" xfId="19413"/>
    <cellStyle name="TotRow - Opmaakprofiel4 2 21 6 8 3" xfId="41216"/>
    <cellStyle name="TotRow - Opmaakprofiel4 2 21 6 8 4" xfId="36967"/>
    <cellStyle name="TotRow - Opmaakprofiel4 2 21 6 8 5" xfId="52086"/>
    <cellStyle name="TotRow - Opmaakprofiel4 2 21 6 9" xfId="18544"/>
    <cellStyle name="TotRow - Opmaakprofiel4 2 21 7" xfId="1657"/>
    <cellStyle name="TotRow - Opmaakprofiel4 2 21 7 2" xfId="11961"/>
    <cellStyle name="TotRow - Opmaakprofiel4 2 21 7 2 2" xfId="24260"/>
    <cellStyle name="TotRow - Opmaakprofiel4 2 21 7 2 3" xfId="36312"/>
    <cellStyle name="TotRow - Opmaakprofiel4 2 21 7 2 4" xfId="47035"/>
    <cellStyle name="TotRow - Opmaakprofiel4 2 21 7 2 5" xfId="56926"/>
    <cellStyle name="TotRow - Opmaakprofiel4 2 21 7 3" xfId="18551"/>
    <cellStyle name="TotRow - Opmaakprofiel4 2 21 7 4" xfId="30603"/>
    <cellStyle name="TotRow - Opmaakprofiel4 2 21 7 5" xfId="37468"/>
    <cellStyle name="TotRow - Opmaakprofiel4 2 21 7 6" xfId="51343"/>
    <cellStyle name="TotRow - Opmaakprofiel4 2 21 8" xfId="2760"/>
    <cellStyle name="TotRow - Opmaakprofiel4 2 21 8 2" xfId="11962"/>
    <cellStyle name="TotRow - Opmaakprofiel4 2 21 8 2 2" xfId="24261"/>
    <cellStyle name="TotRow - Opmaakprofiel4 2 21 8 2 3" xfId="36313"/>
    <cellStyle name="TotRow - Opmaakprofiel4 2 21 8 2 4" xfId="47036"/>
    <cellStyle name="TotRow - Opmaakprofiel4 2 21 8 2 5" xfId="56927"/>
    <cellStyle name="TotRow - Opmaakprofiel4 2 21 8 3" xfId="18552"/>
    <cellStyle name="TotRow - Opmaakprofiel4 2 21 8 4" xfId="30604"/>
    <cellStyle name="TotRow - Opmaakprofiel4 2 21 8 5" xfId="37467"/>
    <cellStyle name="TotRow - Opmaakprofiel4 2 21 8 6" xfId="51344"/>
    <cellStyle name="TotRow - Opmaakprofiel4 2 21 9" xfId="3622"/>
    <cellStyle name="TotRow - Opmaakprofiel4 2 21 9 2" xfId="11963"/>
    <cellStyle name="TotRow - Opmaakprofiel4 2 21 9 2 2" xfId="24262"/>
    <cellStyle name="TotRow - Opmaakprofiel4 2 21 9 2 3" xfId="36314"/>
    <cellStyle name="TotRow - Opmaakprofiel4 2 21 9 2 4" xfId="47037"/>
    <cellStyle name="TotRow - Opmaakprofiel4 2 21 9 2 5" xfId="56928"/>
    <cellStyle name="TotRow - Opmaakprofiel4 2 21 9 3" xfId="18553"/>
    <cellStyle name="TotRow - Opmaakprofiel4 2 21 9 4" xfId="30605"/>
    <cellStyle name="TotRow - Opmaakprofiel4 2 21 9 5" xfId="37466"/>
    <cellStyle name="TotRow - Opmaakprofiel4 2 21 9 6" xfId="51345"/>
    <cellStyle name="TotRow - Opmaakprofiel4 2 22" xfId="779"/>
    <cellStyle name="TotRow - Opmaakprofiel4 2 22 10" xfId="6680"/>
    <cellStyle name="TotRow - Opmaakprofiel4 2 22 10 2" xfId="11964"/>
    <cellStyle name="TotRow - Opmaakprofiel4 2 22 10 2 2" xfId="24263"/>
    <cellStyle name="TotRow - Opmaakprofiel4 2 22 10 2 3" xfId="36315"/>
    <cellStyle name="TotRow - Opmaakprofiel4 2 22 10 2 4" xfId="47038"/>
    <cellStyle name="TotRow - Opmaakprofiel4 2 22 10 2 5" xfId="56929"/>
    <cellStyle name="TotRow - Opmaakprofiel4 2 22 10 3" xfId="18555"/>
    <cellStyle name="TotRow - Opmaakprofiel4 2 22 10 4" xfId="30607"/>
    <cellStyle name="TotRow - Opmaakprofiel4 2 22 10 5" xfId="37464"/>
    <cellStyle name="TotRow - Opmaakprofiel4 2 22 10 6" xfId="51346"/>
    <cellStyle name="TotRow - Opmaakprofiel4 2 22 11" xfId="6681"/>
    <cellStyle name="TotRow - Opmaakprofiel4 2 22 11 2" xfId="11965"/>
    <cellStyle name="TotRow - Opmaakprofiel4 2 22 11 2 2" xfId="24264"/>
    <cellStyle name="TotRow - Opmaakprofiel4 2 22 11 2 3" xfId="36316"/>
    <cellStyle name="TotRow - Opmaakprofiel4 2 22 11 2 4" xfId="47039"/>
    <cellStyle name="TotRow - Opmaakprofiel4 2 22 11 2 5" xfId="56930"/>
    <cellStyle name="TotRow - Opmaakprofiel4 2 22 11 3" xfId="18556"/>
    <cellStyle name="TotRow - Opmaakprofiel4 2 22 11 4" xfId="30608"/>
    <cellStyle name="TotRow - Opmaakprofiel4 2 22 11 5" xfId="37463"/>
    <cellStyle name="TotRow - Opmaakprofiel4 2 22 11 6" xfId="51347"/>
    <cellStyle name="TotRow - Opmaakprofiel4 2 22 12" xfId="6682"/>
    <cellStyle name="TotRow - Opmaakprofiel4 2 22 12 2" xfId="18557"/>
    <cellStyle name="TotRow - Opmaakprofiel4 2 22 12 3" xfId="30609"/>
    <cellStyle name="TotRow - Opmaakprofiel4 2 22 12 4" xfId="37462"/>
    <cellStyle name="TotRow - Opmaakprofiel4 2 22 12 5" xfId="51348"/>
    <cellStyle name="TotRow - Opmaakprofiel4 2 22 13" xfId="7461"/>
    <cellStyle name="TotRow - Opmaakprofiel4 2 22 13 2" xfId="19759"/>
    <cellStyle name="TotRow - Opmaakprofiel4 2 22 13 3" xfId="41562"/>
    <cellStyle name="TotRow - Opmaakprofiel4 2 22 13 4" xfId="15538"/>
    <cellStyle name="TotRow - Opmaakprofiel4 2 22 13 5" xfId="52431"/>
    <cellStyle name="TotRow - Opmaakprofiel4 2 22 14" xfId="18554"/>
    <cellStyle name="TotRow - Opmaakprofiel4 2 22 2" xfId="942"/>
    <cellStyle name="TotRow - Opmaakprofiel4 2 22 2 2" xfId="2038"/>
    <cellStyle name="TotRow - Opmaakprofiel4 2 22 2 2 2" xfId="11966"/>
    <cellStyle name="TotRow - Opmaakprofiel4 2 22 2 2 2 2" xfId="24265"/>
    <cellStyle name="TotRow - Opmaakprofiel4 2 22 2 2 2 3" xfId="36317"/>
    <cellStyle name="TotRow - Opmaakprofiel4 2 22 2 2 2 4" xfId="47040"/>
    <cellStyle name="TotRow - Opmaakprofiel4 2 22 2 2 2 5" xfId="56931"/>
    <cellStyle name="TotRow - Opmaakprofiel4 2 22 2 2 3" xfId="18559"/>
    <cellStyle name="TotRow - Opmaakprofiel4 2 22 2 2 4" xfId="30611"/>
    <cellStyle name="TotRow - Opmaakprofiel4 2 22 2 2 5" xfId="37460"/>
    <cellStyle name="TotRow - Opmaakprofiel4 2 22 2 2 6" xfId="51349"/>
    <cellStyle name="TotRow - Opmaakprofiel4 2 22 2 3" xfId="2953"/>
    <cellStyle name="TotRow - Opmaakprofiel4 2 22 2 3 2" xfId="11967"/>
    <cellStyle name="TotRow - Opmaakprofiel4 2 22 2 3 2 2" xfId="24266"/>
    <cellStyle name="TotRow - Opmaakprofiel4 2 22 2 3 2 3" xfId="36318"/>
    <cellStyle name="TotRow - Opmaakprofiel4 2 22 2 3 2 4" xfId="47041"/>
    <cellStyle name="TotRow - Opmaakprofiel4 2 22 2 3 2 5" xfId="56932"/>
    <cellStyle name="TotRow - Opmaakprofiel4 2 22 2 3 3" xfId="18560"/>
    <cellStyle name="TotRow - Opmaakprofiel4 2 22 2 3 4" xfId="30612"/>
    <cellStyle name="TotRow - Opmaakprofiel4 2 22 2 3 5" xfId="37459"/>
    <cellStyle name="TotRow - Opmaakprofiel4 2 22 2 3 6" xfId="51350"/>
    <cellStyle name="TotRow - Opmaakprofiel4 2 22 2 4" xfId="3801"/>
    <cellStyle name="TotRow - Opmaakprofiel4 2 22 2 4 2" xfId="11968"/>
    <cellStyle name="TotRow - Opmaakprofiel4 2 22 2 4 2 2" xfId="24267"/>
    <cellStyle name="TotRow - Opmaakprofiel4 2 22 2 4 2 3" xfId="36319"/>
    <cellStyle name="TotRow - Opmaakprofiel4 2 22 2 4 2 4" xfId="47042"/>
    <cellStyle name="TotRow - Opmaakprofiel4 2 22 2 4 2 5" xfId="56933"/>
    <cellStyle name="TotRow - Opmaakprofiel4 2 22 2 4 3" xfId="18561"/>
    <cellStyle name="TotRow - Opmaakprofiel4 2 22 2 4 4" xfId="30613"/>
    <cellStyle name="TotRow - Opmaakprofiel4 2 22 2 4 5" xfId="37458"/>
    <cellStyle name="TotRow - Opmaakprofiel4 2 22 2 4 6" xfId="51351"/>
    <cellStyle name="TotRow - Opmaakprofiel4 2 22 2 5" xfId="6683"/>
    <cellStyle name="TotRow - Opmaakprofiel4 2 22 2 5 2" xfId="11969"/>
    <cellStyle name="TotRow - Opmaakprofiel4 2 22 2 5 2 2" xfId="24268"/>
    <cellStyle name="TotRow - Opmaakprofiel4 2 22 2 5 2 3" xfId="36320"/>
    <cellStyle name="TotRow - Opmaakprofiel4 2 22 2 5 2 4" xfId="47043"/>
    <cellStyle name="TotRow - Opmaakprofiel4 2 22 2 5 2 5" xfId="56934"/>
    <cellStyle name="TotRow - Opmaakprofiel4 2 22 2 5 3" xfId="18562"/>
    <cellStyle name="TotRow - Opmaakprofiel4 2 22 2 5 4" xfId="30614"/>
    <cellStyle name="TotRow - Opmaakprofiel4 2 22 2 5 5" xfId="37457"/>
    <cellStyle name="TotRow - Opmaakprofiel4 2 22 2 5 6" xfId="51352"/>
    <cellStyle name="TotRow - Opmaakprofiel4 2 22 2 6" xfId="6684"/>
    <cellStyle name="TotRow - Opmaakprofiel4 2 22 2 6 2" xfId="11970"/>
    <cellStyle name="TotRow - Opmaakprofiel4 2 22 2 6 2 2" xfId="24269"/>
    <cellStyle name="TotRow - Opmaakprofiel4 2 22 2 6 2 3" xfId="36321"/>
    <cellStyle name="TotRow - Opmaakprofiel4 2 22 2 6 2 4" xfId="47044"/>
    <cellStyle name="TotRow - Opmaakprofiel4 2 22 2 6 2 5" xfId="56935"/>
    <cellStyle name="TotRow - Opmaakprofiel4 2 22 2 6 3" xfId="18563"/>
    <cellStyle name="TotRow - Opmaakprofiel4 2 22 2 6 4" xfId="30615"/>
    <cellStyle name="TotRow - Opmaakprofiel4 2 22 2 6 5" xfId="41095"/>
    <cellStyle name="TotRow - Opmaakprofiel4 2 22 2 6 6" xfId="51353"/>
    <cellStyle name="TotRow - Opmaakprofiel4 2 22 2 7" xfId="6685"/>
    <cellStyle name="TotRow - Opmaakprofiel4 2 22 2 7 2" xfId="18564"/>
    <cellStyle name="TotRow - Opmaakprofiel4 2 22 2 7 3" xfId="30616"/>
    <cellStyle name="TotRow - Opmaakprofiel4 2 22 2 7 4" xfId="41230"/>
    <cellStyle name="TotRow - Opmaakprofiel4 2 22 2 7 5" xfId="51354"/>
    <cellStyle name="TotRow - Opmaakprofiel4 2 22 2 8" xfId="10041"/>
    <cellStyle name="TotRow - Opmaakprofiel4 2 22 2 8 2" xfId="22339"/>
    <cellStyle name="TotRow - Opmaakprofiel4 2 22 2 8 3" xfId="44103"/>
    <cellStyle name="TotRow - Opmaakprofiel4 2 22 2 8 4" xfId="28490"/>
    <cellStyle name="TotRow - Opmaakprofiel4 2 22 2 8 5" xfId="55006"/>
    <cellStyle name="TotRow - Opmaakprofiel4 2 22 2 9" xfId="18558"/>
    <cellStyle name="TotRow - Opmaakprofiel4 2 22 3" xfId="1039"/>
    <cellStyle name="TotRow - Opmaakprofiel4 2 22 3 2" xfId="2141"/>
    <cellStyle name="TotRow - Opmaakprofiel4 2 22 3 2 2" xfId="11971"/>
    <cellStyle name="TotRow - Opmaakprofiel4 2 22 3 2 2 2" xfId="24270"/>
    <cellStyle name="TotRow - Opmaakprofiel4 2 22 3 2 2 3" xfId="36322"/>
    <cellStyle name="TotRow - Opmaakprofiel4 2 22 3 2 2 4" xfId="47045"/>
    <cellStyle name="TotRow - Opmaakprofiel4 2 22 3 2 2 5" xfId="56936"/>
    <cellStyle name="TotRow - Opmaakprofiel4 2 22 3 2 3" xfId="18566"/>
    <cellStyle name="TotRow - Opmaakprofiel4 2 22 3 2 4" xfId="30618"/>
    <cellStyle name="TotRow - Opmaakprofiel4 2 22 3 2 5" xfId="37455"/>
    <cellStyle name="TotRow - Opmaakprofiel4 2 22 3 2 6" xfId="51355"/>
    <cellStyle name="TotRow - Opmaakprofiel4 2 22 3 3" xfId="3050"/>
    <cellStyle name="TotRow - Opmaakprofiel4 2 22 3 3 2" xfId="11972"/>
    <cellStyle name="TotRow - Opmaakprofiel4 2 22 3 3 2 2" xfId="24271"/>
    <cellStyle name="TotRow - Opmaakprofiel4 2 22 3 3 2 3" xfId="36323"/>
    <cellStyle name="TotRow - Opmaakprofiel4 2 22 3 3 2 4" xfId="47046"/>
    <cellStyle name="TotRow - Opmaakprofiel4 2 22 3 3 2 5" xfId="56937"/>
    <cellStyle name="TotRow - Opmaakprofiel4 2 22 3 3 3" xfId="18567"/>
    <cellStyle name="TotRow - Opmaakprofiel4 2 22 3 3 4" xfId="30619"/>
    <cellStyle name="TotRow - Opmaakprofiel4 2 22 3 3 5" xfId="37454"/>
    <cellStyle name="TotRow - Opmaakprofiel4 2 22 3 3 6" xfId="51356"/>
    <cellStyle name="TotRow - Opmaakprofiel4 2 22 3 4" xfId="3891"/>
    <cellStyle name="TotRow - Opmaakprofiel4 2 22 3 4 2" xfId="11973"/>
    <cellStyle name="TotRow - Opmaakprofiel4 2 22 3 4 2 2" xfId="24272"/>
    <cellStyle name="TotRow - Opmaakprofiel4 2 22 3 4 2 3" xfId="36324"/>
    <cellStyle name="TotRow - Opmaakprofiel4 2 22 3 4 2 4" xfId="47047"/>
    <cellStyle name="TotRow - Opmaakprofiel4 2 22 3 4 2 5" xfId="56938"/>
    <cellStyle name="TotRow - Opmaakprofiel4 2 22 3 4 3" xfId="18568"/>
    <cellStyle name="TotRow - Opmaakprofiel4 2 22 3 4 4" xfId="30620"/>
    <cellStyle name="TotRow - Opmaakprofiel4 2 22 3 4 5" xfId="37453"/>
    <cellStyle name="TotRow - Opmaakprofiel4 2 22 3 4 6" xfId="51357"/>
    <cellStyle name="TotRow - Opmaakprofiel4 2 22 3 5" xfId="6686"/>
    <cellStyle name="TotRow - Opmaakprofiel4 2 22 3 5 2" xfId="11974"/>
    <cellStyle name="TotRow - Opmaakprofiel4 2 22 3 5 2 2" xfId="24273"/>
    <cellStyle name="TotRow - Opmaakprofiel4 2 22 3 5 2 3" xfId="36325"/>
    <cellStyle name="TotRow - Opmaakprofiel4 2 22 3 5 2 4" xfId="47048"/>
    <cellStyle name="TotRow - Opmaakprofiel4 2 22 3 5 2 5" xfId="56939"/>
    <cellStyle name="TotRow - Opmaakprofiel4 2 22 3 5 3" xfId="18569"/>
    <cellStyle name="TotRow - Opmaakprofiel4 2 22 3 5 4" xfId="30621"/>
    <cellStyle name="TotRow - Opmaakprofiel4 2 22 3 5 5" xfId="37452"/>
    <cellStyle name="TotRow - Opmaakprofiel4 2 22 3 5 6" xfId="51358"/>
    <cellStyle name="TotRow - Opmaakprofiel4 2 22 3 6" xfId="6687"/>
    <cellStyle name="TotRow - Opmaakprofiel4 2 22 3 6 2" xfId="11975"/>
    <cellStyle name="TotRow - Opmaakprofiel4 2 22 3 6 2 2" xfId="24274"/>
    <cellStyle name="TotRow - Opmaakprofiel4 2 22 3 6 2 3" xfId="36326"/>
    <cellStyle name="TotRow - Opmaakprofiel4 2 22 3 6 2 4" xfId="47049"/>
    <cellStyle name="TotRow - Opmaakprofiel4 2 22 3 6 2 5" xfId="56940"/>
    <cellStyle name="TotRow - Opmaakprofiel4 2 22 3 6 3" xfId="18570"/>
    <cellStyle name="TotRow - Opmaakprofiel4 2 22 3 6 4" xfId="30622"/>
    <cellStyle name="TotRow - Opmaakprofiel4 2 22 3 6 5" xfId="37451"/>
    <cellStyle name="TotRow - Opmaakprofiel4 2 22 3 6 6" xfId="51359"/>
    <cellStyle name="TotRow - Opmaakprofiel4 2 22 3 7" xfId="6688"/>
    <cellStyle name="TotRow - Opmaakprofiel4 2 22 3 7 2" xfId="18571"/>
    <cellStyle name="TotRow - Opmaakprofiel4 2 22 3 7 3" xfId="30623"/>
    <cellStyle name="TotRow - Opmaakprofiel4 2 22 3 7 4" xfId="37450"/>
    <cellStyle name="TotRow - Opmaakprofiel4 2 22 3 7 5" xfId="51360"/>
    <cellStyle name="TotRow - Opmaakprofiel4 2 22 3 8" xfId="7283"/>
    <cellStyle name="TotRow - Opmaakprofiel4 2 22 3 8 2" xfId="19581"/>
    <cellStyle name="TotRow - Opmaakprofiel4 2 22 3 8 3" xfId="41384"/>
    <cellStyle name="TotRow - Opmaakprofiel4 2 22 3 8 4" xfId="36869"/>
    <cellStyle name="TotRow - Opmaakprofiel4 2 22 3 8 5" xfId="52253"/>
    <cellStyle name="TotRow - Opmaakprofiel4 2 22 3 9" xfId="18565"/>
    <cellStyle name="TotRow - Opmaakprofiel4 2 22 4" xfId="636"/>
    <cellStyle name="TotRow - Opmaakprofiel4 2 22 4 2" xfId="1763"/>
    <cellStyle name="TotRow - Opmaakprofiel4 2 22 4 2 2" xfId="11976"/>
    <cellStyle name="TotRow - Opmaakprofiel4 2 22 4 2 2 2" xfId="24275"/>
    <cellStyle name="TotRow - Opmaakprofiel4 2 22 4 2 2 3" xfId="36327"/>
    <cellStyle name="TotRow - Opmaakprofiel4 2 22 4 2 2 4" xfId="47050"/>
    <cellStyle name="TotRow - Opmaakprofiel4 2 22 4 2 2 5" xfId="56941"/>
    <cellStyle name="TotRow - Opmaakprofiel4 2 22 4 2 3" xfId="18573"/>
    <cellStyle name="TotRow - Opmaakprofiel4 2 22 4 2 4" xfId="30625"/>
    <cellStyle name="TotRow - Opmaakprofiel4 2 22 4 2 5" xfId="37448"/>
    <cellStyle name="TotRow - Opmaakprofiel4 2 22 4 2 6" xfId="51361"/>
    <cellStyle name="TotRow - Opmaakprofiel4 2 22 4 3" xfId="2702"/>
    <cellStyle name="TotRow - Opmaakprofiel4 2 22 4 3 2" xfId="11977"/>
    <cellStyle name="TotRow - Opmaakprofiel4 2 22 4 3 2 2" xfId="24276"/>
    <cellStyle name="TotRow - Opmaakprofiel4 2 22 4 3 2 3" xfId="36328"/>
    <cellStyle name="TotRow - Opmaakprofiel4 2 22 4 3 2 4" xfId="47051"/>
    <cellStyle name="TotRow - Opmaakprofiel4 2 22 4 3 2 5" xfId="56942"/>
    <cellStyle name="TotRow - Opmaakprofiel4 2 22 4 3 3" xfId="18574"/>
    <cellStyle name="TotRow - Opmaakprofiel4 2 22 4 3 4" xfId="30626"/>
    <cellStyle name="TotRow - Opmaakprofiel4 2 22 4 3 5" xfId="37447"/>
    <cellStyle name="TotRow - Opmaakprofiel4 2 22 4 3 6" xfId="51362"/>
    <cellStyle name="TotRow - Opmaakprofiel4 2 22 4 4" xfId="3573"/>
    <cellStyle name="TotRow - Opmaakprofiel4 2 22 4 4 2" xfId="11978"/>
    <cellStyle name="TotRow - Opmaakprofiel4 2 22 4 4 2 2" xfId="24277"/>
    <cellStyle name="TotRow - Opmaakprofiel4 2 22 4 4 2 3" xfId="36329"/>
    <cellStyle name="TotRow - Opmaakprofiel4 2 22 4 4 2 4" xfId="47052"/>
    <cellStyle name="TotRow - Opmaakprofiel4 2 22 4 4 2 5" xfId="56943"/>
    <cellStyle name="TotRow - Opmaakprofiel4 2 22 4 4 3" xfId="18575"/>
    <cellStyle name="TotRow - Opmaakprofiel4 2 22 4 4 4" xfId="30627"/>
    <cellStyle name="TotRow - Opmaakprofiel4 2 22 4 4 5" xfId="37446"/>
    <cellStyle name="TotRow - Opmaakprofiel4 2 22 4 4 6" xfId="51363"/>
    <cellStyle name="TotRow - Opmaakprofiel4 2 22 4 5" xfId="6689"/>
    <cellStyle name="TotRow - Opmaakprofiel4 2 22 4 5 2" xfId="11979"/>
    <cellStyle name="TotRow - Opmaakprofiel4 2 22 4 5 2 2" xfId="24278"/>
    <cellStyle name="TotRow - Opmaakprofiel4 2 22 4 5 2 3" xfId="36330"/>
    <cellStyle name="TotRow - Opmaakprofiel4 2 22 4 5 2 4" xfId="47053"/>
    <cellStyle name="TotRow - Opmaakprofiel4 2 22 4 5 2 5" xfId="56944"/>
    <cellStyle name="TotRow - Opmaakprofiel4 2 22 4 5 3" xfId="18576"/>
    <cellStyle name="TotRow - Opmaakprofiel4 2 22 4 5 4" xfId="30628"/>
    <cellStyle name="TotRow - Opmaakprofiel4 2 22 4 5 5" xfId="37445"/>
    <cellStyle name="TotRow - Opmaakprofiel4 2 22 4 5 6" xfId="51364"/>
    <cellStyle name="TotRow - Opmaakprofiel4 2 22 4 6" xfId="6690"/>
    <cellStyle name="TotRow - Opmaakprofiel4 2 22 4 6 2" xfId="11980"/>
    <cellStyle name="TotRow - Opmaakprofiel4 2 22 4 6 2 2" xfId="24279"/>
    <cellStyle name="TotRow - Opmaakprofiel4 2 22 4 6 2 3" xfId="36331"/>
    <cellStyle name="TotRow - Opmaakprofiel4 2 22 4 6 2 4" xfId="47054"/>
    <cellStyle name="TotRow - Opmaakprofiel4 2 22 4 6 2 5" xfId="56945"/>
    <cellStyle name="TotRow - Opmaakprofiel4 2 22 4 6 3" xfId="18577"/>
    <cellStyle name="TotRow - Opmaakprofiel4 2 22 4 6 4" xfId="30629"/>
    <cellStyle name="TotRow - Opmaakprofiel4 2 22 4 6 5" xfId="37444"/>
    <cellStyle name="TotRow - Opmaakprofiel4 2 22 4 6 6" xfId="51365"/>
    <cellStyle name="TotRow - Opmaakprofiel4 2 22 4 7" xfId="6691"/>
    <cellStyle name="TotRow - Opmaakprofiel4 2 22 4 7 2" xfId="18578"/>
    <cellStyle name="TotRow - Opmaakprofiel4 2 22 4 7 3" xfId="30630"/>
    <cellStyle name="TotRow - Opmaakprofiel4 2 22 4 7 4" xfId="37443"/>
    <cellStyle name="TotRow - Opmaakprofiel4 2 22 4 7 5" xfId="51366"/>
    <cellStyle name="TotRow - Opmaakprofiel4 2 22 4 8" xfId="10246"/>
    <cellStyle name="TotRow - Opmaakprofiel4 2 22 4 8 2" xfId="22544"/>
    <cellStyle name="TotRow - Opmaakprofiel4 2 22 4 8 3" xfId="44305"/>
    <cellStyle name="TotRow - Opmaakprofiel4 2 22 4 8 4" xfId="32013"/>
    <cellStyle name="TotRow - Opmaakprofiel4 2 22 4 8 5" xfId="55211"/>
    <cellStyle name="TotRow - Opmaakprofiel4 2 22 4 9" xfId="18572"/>
    <cellStyle name="TotRow - Opmaakprofiel4 2 22 5" xfId="1211"/>
    <cellStyle name="TotRow - Opmaakprofiel4 2 22 5 2" xfId="2251"/>
    <cellStyle name="TotRow - Opmaakprofiel4 2 22 5 2 2" xfId="11981"/>
    <cellStyle name="TotRow - Opmaakprofiel4 2 22 5 2 2 2" xfId="24280"/>
    <cellStyle name="TotRow - Opmaakprofiel4 2 22 5 2 2 3" xfId="36332"/>
    <cellStyle name="TotRow - Opmaakprofiel4 2 22 5 2 2 4" xfId="47055"/>
    <cellStyle name="TotRow - Opmaakprofiel4 2 22 5 2 2 5" xfId="56946"/>
    <cellStyle name="TotRow - Opmaakprofiel4 2 22 5 2 3" xfId="18580"/>
    <cellStyle name="TotRow - Opmaakprofiel4 2 22 5 2 4" xfId="30632"/>
    <cellStyle name="TotRow - Opmaakprofiel4 2 22 5 2 5" xfId="37442"/>
    <cellStyle name="TotRow - Opmaakprofiel4 2 22 5 2 6" xfId="51367"/>
    <cellStyle name="TotRow - Opmaakprofiel4 2 22 5 3" xfId="3222"/>
    <cellStyle name="TotRow - Opmaakprofiel4 2 22 5 3 2" xfId="11982"/>
    <cellStyle name="TotRow - Opmaakprofiel4 2 22 5 3 2 2" xfId="24281"/>
    <cellStyle name="TotRow - Opmaakprofiel4 2 22 5 3 2 3" xfId="36333"/>
    <cellStyle name="TotRow - Opmaakprofiel4 2 22 5 3 2 4" xfId="47056"/>
    <cellStyle name="TotRow - Opmaakprofiel4 2 22 5 3 2 5" xfId="56947"/>
    <cellStyle name="TotRow - Opmaakprofiel4 2 22 5 3 3" xfId="18581"/>
    <cellStyle name="TotRow - Opmaakprofiel4 2 22 5 3 4" xfId="30633"/>
    <cellStyle name="TotRow - Opmaakprofiel4 2 22 5 3 5" xfId="37441"/>
    <cellStyle name="TotRow - Opmaakprofiel4 2 22 5 3 6" xfId="51368"/>
    <cellStyle name="TotRow - Opmaakprofiel4 2 22 5 4" xfId="4037"/>
    <cellStyle name="TotRow - Opmaakprofiel4 2 22 5 4 2" xfId="11983"/>
    <cellStyle name="TotRow - Opmaakprofiel4 2 22 5 4 2 2" xfId="24282"/>
    <cellStyle name="TotRow - Opmaakprofiel4 2 22 5 4 2 3" xfId="36334"/>
    <cellStyle name="TotRow - Opmaakprofiel4 2 22 5 4 2 4" xfId="47057"/>
    <cellStyle name="TotRow - Opmaakprofiel4 2 22 5 4 2 5" xfId="56948"/>
    <cellStyle name="TotRow - Opmaakprofiel4 2 22 5 4 3" xfId="18582"/>
    <cellStyle name="TotRow - Opmaakprofiel4 2 22 5 4 4" xfId="30634"/>
    <cellStyle name="TotRow - Opmaakprofiel4 2 22 5 4 5" xfId="37440"/>
    <cellStyle name="TotRow - Opmaakprofiel4 2 22 5 4 6" xfId="51369"/>
    <cellStyle name="TotRow - Opmaakprofiel4 2 22 5 5" xfId="6692"/>
    <cellStyle name="TotRow - Opmaakprofiel4 2 22 5 5 2" xfId="11984"/>
    <cellStyle name="TotRow - Opmaakprofiel4 2 22 5 5 2 2" xfId="24283"/>
    <cellStyle name="TotRow - Opmaakprofiel4 2 22 5 5 2 3" xfId="36335"/>
    <cellStyle name="TotRow - Opmaakprofiel4 2 22 5 5 2 4" xfId="47058"/>
    <cellStyle name="TotRow - Opmaakprofiel4 2 22 5 5 2 5" xfId="56949"/>
    <cellStyle name="TotRow - Opmaakprofiel4 2 22 5 5 3" xfId="18583"/>
    <cellStyle name="TotRow - Opmaakprofiel4 2 22 5 5 4" xfId="30635"/>
    <cellStyle name="TotRow - Opmaakprofiel4 2 22 5 5 5" xfId="37439"/>
    <cellStyle name="TotRow - Opmaakprofiel4 2 22 5 5 6" xfId="51370"/>
    <cellStyle name="TotRow - Opmaakprofiel4 2 22 5 6" xfId="6693"/>
    <cellStyle name="TotRow - Opmaakprofiel4 2 22 5 6 2" xfId="11985"/>
    <cellStyle name="TotRow - Opmaakprofiel4 2 22 5 6 2 2" xfId="24284"/>
    <cellStyle name="TotRow - Opmaakprofiel4 2 22 5 6 2 3" xfId="36336"/>
    <cellStyle name="TotRow - Opmaakprofiel4 2 22 5 6 2 4" xfId="47059"/>
    <cellStyle name="TotRow - Opmaakprofiel4 2 22 5 6 2 5" xfId="56950"/>
    <cellStyle name="TotRow - Opmaakprofiel4 2 22 5 6 3" xfId="18584"/>
    <cellStyle name="TotRow - Opmaakprofiel4 2 22 5 6 4" xfId="30636"/>
    <cellStyle name="TotRow - Opmaakprofiel4 2 22 5 6 5" xfId="37438"/>
    <cellStyle name="TotRow - Opmaakprofiel4 2 22 5 6 6" xfId="51371"/>
    <cellStyle name="TotRow - Opmaakprofiel4 2 22 5 7" xfId="6694"/>
    <cellStyle name="TotRow - Opmaakprofiel4 2 22 5 7 2" xfId="18585"/>
    <cellStyle name="TotRow - Opmaakprofiel4 2 22 5 7 3" xfId="30637"/>
    <cellStyle name="TotRow - Opmaakprofiel4 2 22 5 7 4" xfId="31341"/>
    <cellStyle name="TotRow - Opmaakprofiel4 2 22 5 7 5" xfId="51372"/>
    <cellStyle name="TotRow - Opmaakprofiel4 2 22 5 8" xfId="7163"/>
    <cellStyle name="TotRow - Opmaakprofiel4 2 22 5 8 2" xfId="19461"/>
    <cellStyle name="TotRow - Opmaakprofiel4 2 22 5 8 3" xfId="41264"/>
    <cellStyle name="TotRow - Opmaakprofiel4 2 22 5 8 4" xfId="36939"/>
    <cellStyle name="TotRow - Opmaakprofiel4 2 22 5 8 5" xfId="52133"/>
    <cellStyle name="TotRow - Opmaakprofiel4 2 22 5 9" xfId="18579"/>
    <cellStyle name="TotRow - Opmaakprofiel4 2 22 6" xfId="1189"/>
    <cellStyle name="TotRow - Opmaakprofiel4 2 22 6 2" xfId="2293"/>
    <cellStyle name="TotRow - Opmaakprofiel4 2 22 6 2 2" xfId="11986"/>
    <cellStyle name="TotRow - Opmaakprofiel4 2 22 6 2 2 2" xfId="24285"/>
    <cellStyle name="TotRow - Opmaakprofiel4 2 22 6 2 2 3" xfId="36337"/>
    <cellStyle name="TotRow - Opmaakprofiel4 2 22 6 2 2 4" xfId="47060"/>
    <cellStyle name="TotRow - Opmaakprofiel4 2 22 6 2 2 5" xfId="56951"/>
    <cellStyle name="TotRow - Opmaakprofiel4 2 22 6 2 3" xfId="18587"/>
    <cellStyle name="TotRow - Opmaakprofiel4 2 22 6 2 4" xfId="30639"/>
    <cellStyle name="TotRow - Opmaakprofiel4 2 22 6 2 5" xfId="37436"/>
    <cellStyle name="TotRow - Opmaakprofiel4 2 22 6 2 6" xfId="51373"/>
    <cellStyle name="TotRow - Opmaakprofiel4 2 22 6 3" xfId="3200"/>
    <cellStyle name="TotRow - Opmaakprofiel4 2 22 6 3 2" xfId="11987"/>
    <cellStyle name="TotRow - Opmaakprofiel4 2 22 6 3 2 2" xfId="24286"/>
    <cellStyle name="TotRow - Opmaakprofiel4 2 22 6 3 2 3" xfId="36338"/>
    <cellStyle name="TotRow - Opmaakprofiel4 2 22 6 3 2 4" xfId="47061"/>
    <cellStyle name="TotRow - Opmaakprofiel4 2 22 6 3 2 5" xfId="56952"/>
    <cellStyle name="TotRow - Opmaakprofiel4 2 22 6 3 3" xfId="18588"/>
    <cellStyle name="TotRow - Opmaakprofiel4 2 22 6 3 4" xfId="30640"/>
    <cellStyle name="TotRow - Opmaakprofiel4 2 22 6 3 5" xfId="37435"/>
    <cellStyle name="TotRow - Opmaakprofiel4 2 22 6 3 6" xfId="51374"/>
    <cellStyle name="TotRow - Opmaakprofiel4 2 22 6 4" xfId="4018"/>
    <cellStyle name="TotRow - Opmaakprofiel4 2 22 6 4 2" xfId="11988"/>
    <cellStyle name="TotRow - Opmaakprofiel4 2 22 6 4 2 2" xfId="24287"/>
    <cellStyle name="TotRow - Opmaakprofiel4 2 22 6 4 2 3" xfId="36339"/>
    <cellStyle name="TotRow - Opmaakprofiel4 2 22 6 4 2 4" xfId="47062"/>
    <cellStyle name="TotRow - Opmaakprofiel4 2 22 6 4 2 5" xfId="56953"/>
    <cellStyle name="TotRow - Opmaakprofiel4 2 22 6 4 3" xfId="18589"/>
    <cellStyle name="TotRow - Opmaakprofiel4 2 22 6 4 4" xfId="30641"/>
    <cellStyle name="TotRow - Opmaakprofiel4 2 22 6 4 5" xfId="37434"/>
    <cellStyle name="TotRow - Opmaakprofiel4 2 22 6 4 6" xfId="51375"/>
    <cellStyle name="TotRow - Opmaakprofiel4 2 22 6 5" xfId="6695"/>
    <cellStyle name="TotRow - Opmaakprofiel4 2 22 6 5 2" xfId="11989"/>
    <cellStyle name="TotRow - Opmaakprofiel4 2 22 6 5 2 2" xfId="24288"/>
    <cellStyle name="TotRow - Opmaakprofiel4 2 22 6 5 2 3" xfId="36340"/>
    <cellStyle name="TotRow - Opmaakprofiel4 2 22 6 5 2 4" xfId="47063"/>
    <cellStyle name="TotRow - Opmaakprofiel4 2 22 6 5 2 5" xfId="56954"/>
    <cellStyle name="TotRow - Opmaakprofiel4 2 22 6 5 3" xfId="18590"/>
    <cellStyle name="TotRow - Opmaakprofiel4 2 22 6 5 4" xfId="30642"/>
    <cellStyle name="TotRow - Opmaakprofiel4 2 22 6 5 5" xfId="37433"/>
    <cellStyle name="TotRow - Opmaakprofiel4 2 22 6 5 6" xfId="51376"/>
    <cellStyle name="TotRow - Opmaakprofiel4 2 22 6 6" xfId="6696"/>
    <cellStyle name="TotRow - Opmaakprofiel4 2 22 6 6 2" xfId="11990"/>
    <cellStyle name="TotRow - Opmaakprofiel4 2 22 6 6 2 2" xfId="24289"/>
    <cellStyle name="TotRow - Opmaakprofiel4 2 22 6 6 2 3" xfId="36341"/>
    <cellStyle name="TotRow - Opmaakprofiel4 2 22 6 6 2 4" xfId="47064"/>
    <cellStyle name="TotRow - Opmaakprofiel4 2 22 6 6 2 5" xfId="56955"/>
    <cellStyle name="TotRow - Opmaakprofiel4 2 22 6 6 3" xfId="18591"/>
    <cellStyle name="TotRow - Opmaakprofiel4 2 22 6 6 4" xfId="30643"/>
    <cellStyle name="TotRow - Opmaakprofiel4 2 22 6 6 5" xfId="37432"/>
    <cellStyle name="TotRow - Opmaakprofiel4 2 22 6 6 6" xfId="51377"/>
    <cellStyle name="TotRow - Opmaakprofiel4 2 22 6 7" xfId="6697"/>
    <cellStyle name="TotRow - Opmaakprofiel4 2 22 6 7 2" xfId="18592"/>
    <cellStyle name="TotRow - Opmaakprofiel4 2 22 6 7 3" xfId="30644"/>
    <cellStyle name="TotRow - Opmaakprofiel4 2 22 6 7 4" xfId="37431"/>
    <cellStyle name="TotRow - Opmaakprofiel4 2 22 6 7 5" xfId="51378"/>
    <cellStyle name="TotRow - Opmaakprofiel4 2 22 6 8" xfId="7182"/>
    <cellStyle name="TotRow - Opmaakprofiel4 2 22 6 8 2" xfId="19480"/>
    <cellStyle name="TotRow - Opmaakprofiel4 2 22 6 8 3" xfId="41283"/>
    <cellStyle name="TotRow - Opmaakprofiel4 2 22 6 8 4" xfId="43616"/>
    <cellStyle name="TotRow - Opmaakprofiel4 2 22 6 8 5" xfId="52152"/>
    <cellStyle name="TotRow - Opmaakprofiel4 2 22 6 9" xfId="18586"/>
    <cellStyle name="TotRow - Opmaakprofiel4 2 22 7" xfId="1591"/>
    <cellStyle name="TotRow - Opmaakprofiel4 2 22 7 2" xfId="11991"/>
    <cellStyle name="TotRow - Opmaakprofiel4 2 22 7 2 2" xfId="24290"/>
    <cellStyle name="TotRow - Opmaakprofiel4 2 22 7 2 3" xfId="36342"/>
    <cellStyle name="TotRow - Opmaakprofiel4 2 22 7 2 4" xfId="47065"/>
    <cellStyle name="TotRow - Opmaakprofiel4 2 22 7 2 5" xfId="56956"/>
    <cellStyle name="TotRow - Opmaakprofiel4 2 22 7 3" xfId="18593"/>
    <cellStyle name="TotRow - Opmaakprofiel4 2 22 7 4" xfId="30645"/>
    <cellStyle name="TotRow - Opmaakprofiel4 2 22 7 5" xfId="37430"/>
    <cellStyle name="TotRow - Opmaakprofiel4 2 22 7 6" xfId="51379"/>
    <cellStyle name="TotRow - Opmaakprofiel4 2 22 8" xfId="2810"/>
    <cellStyle name="TotRow - Opmaakprofiel4 2 22 8 2" xfId="11992"/>
    <cellStyle name="TotRow - Opmaakprofiel4 2 22 8 2 2" xfId="24291"/>
    <cellStyle name="TotRow - Opmaakprofiel4 2 22 8 2 3" xfId="36343"/>
    <cellStyle name="TotRow - Opmaakprofiel4 2 22 8 2 4" xfId="47066"/>
    <cellStyle name="TotRow - Opmaakprofiel4 2 22 8 2 5" xfId="56957"/>
    <cellStyle name="TotRow - Opmaakprofiel4 2 22 8 3" xfId="18594"/>
    <cellStyle name="TotRow - Opmaakprofiel4 2 22 8 4" xfId="30646"/>
    <cellStyle name="TotRow - Opmaakprofiel4 2 22 8 5" xfId="37429"/>
    <cellStyle name="TotRow - Opmaakprofiel4 2 22 8 6" xfId="51380"/>
    <cellStyle name="TotRow - Opmaakprofiel4 2 22 9" xfId="3669"/>
    <cellStyle name="TotRow - Opmaakprofiel4 2 22 9 2" xfId="11993"/>
    <cellStyle name="TotRow - Opmaakprofiel4 2 22 9 2 2" xfId="24292"/>
    <cellStyle name="TotRow - Opmaakprofiel4 2 22 9 2 3" xfId="36344"/>
    <cellStyle name="TotRow - Opmaakprofiel4 2 22 9 2 4" xfId="47067"/>
    <cellStyle name="TotRow - Opmaakprofiel4 2 22 9 2 5" xfId="56958"/>
    <cellStyle name="TotRow - Opmaakprofiel4 2 22 9 3" xfId="18595"/>
    <cellStyle name="TotRow - Opmaakprofiel4 2 22 9 4" xfId="30647"/>
    <cellStyle name="TotRow - Opmaakprofiel4 2 22 9 5" xfId="37428"/>
    <cellStyle name="TotRow - Opmaakprofiel4 2 22 9 6" xfId="51381"/>
    <cellStyle name="TotRow - Opmaakprofiel4 2 23" xfId="822"/>
    <cellStyle name="TotRow - Opmaakprofiel4 2 23 10" xfId="6698"/>
    <cellStyle name="TotRow - Opmaakprofiel4 2 23 10 2" xfId="11994"/>
    <cellStyle name="TotRow - Opmaakprofiel4 2 23 10 2 2" xfId="24293"/>
    <cellStyle name="TotRow - Opmaakprofiel4 2 23 10 2 3" xfId="36345"/>
    <cellStyle name="TotRow - Opmaakprofiel4 2 23 10 2 4" xfId="47068"/>
    <cellStyle name="TotRow - Opmaakprofiel4 2 23 10 2 5" xfId="56959"/>
    <cellStyle name="TotRow - Opmaakprofiel4 2 23 10 3" xfId="18597"/>
    <cellStyle name="TotRow - Opmaakprofiel4 2 23 10 4" xfId="30649"/>
    <cellStyle name="TotRow - Opmaakprofiel4 2 23 10 5" xfId="37426"/>
    <cellStyle name="TotRow - Opmaakprofiel4 2 23 10 6" xfId="51382"/>
    <cellStyle name="TotRow - Opmaakprofiel4 2 23 11" xfId="6699"/>
    <cellStyle name="TotRow - Opmaakprofiel4 2 23 11 2" xfId="11995"/>
    <cellStyle name="TotRow - Opmaakprofiel4 2 23 11 2 2" xfId="24294"/>
    <cellStyle name="TotRow - Opmaakprofiel4 2 23 11 2 3" xfId="36346"/>
    <cellStyle name="TotRow - Opmaakprofiel4 2 23 11 2 4" xfId="47069"/>
    <cellStyle name="TotRow - Opmaakprofiel4 2 23 11 2 5" xfId="56960"/>
    <cellStyle name="TotRow - Opmaakprofiel4 2 23 11 3" xfId="18598"/>
    <cellStyle name="TotRow - Opmaakprofiel4 2 23 11 4" xfId="30650"/>
    <cellStyle name="TotRow - Opmaakprofiel4 2 23 11 5" xfId="37425"/>
    <cellStyle name="TotRow - Opmaakprofiel4 2 23 11 6" xfId="51383"/>
    <cellStyle name="TotRow - Opmaakprofiel4 2 23 12" xfId="6700"/>
    <cellStyle name="TotRow - Opmaakprofiel4 2 23 12 2" xfId="18599"/>
    <cellStyle name="TotRow - Opmaakprofiel4 2 23 12 3" xfId="30651"/>
    <cellStyle name="TotRow - Opmaakprofiel4 2 23 12 4" xfId="31335"/>
    <cellStyle name="TotRow - Opmaakprofiel4 2 23 12 5" xfId="51384"/>
    <cellStyle name="TotRow - Opmaakprofiel4 2 23 13" xfId="10123"/>
    <cellStyle name="TotRow - Opmaakprofiel4 2 23 13 2" xfId="22421"/>
    <cellStyle name="TotRow - Opmaakprofiel4 2 23 13 3" xfId="44185"/>
    <cellStyle name="TotRow - Opmaakprofiel4 2 23 13 4" xfId="42406"/>
    <cellStyle name="TotRow - Opmaakprofiel4 2 23 13 5" xfId="55088"/>
    <cellStyle name="TotRow - Opmaakprofiel4 2 23 14" xfId="18596"/>
    <cellStyle name="TotRow - Opmaakprofiel4 2 23 2" xfId="979"/>
    <cellStyle name="TotRow - Opmaakprofiel4 2 23 2 2" xfId="2209"/>
    <cellStyle name="TotRow - Opmaakprofiel4 2 23 2 2 2" xfId="11996"/>
    <cellStyle name="TotRow - Opmaakprofiel4 2 23 2 2 2 2" xfId="24295"/>
    <cellStyle name="TotRow - Opmaakprofiel4 2 23 2 2 2 3" xfId="36347"/>
    <cellStyle name="TotRow - Opmaakprofiel4 2 23 2 2 2 4" xfId="47070"/>
    <cellStyle name="TotRow - Opmaakprofiel4 2 23 2 2 2 5" xfId="56961"/>
    <cellStyle name="TotRow - Opmaakprofiel4 2 23 2 2 3" xfId="18601"/>
    <cellStyle name="TotRow - Opmaakprofiel4 2 23 2 2 4" xfId="30653"/>
    <cellStyle name="TotRow - Opmaakprofiel4 2 23 2 2 5" xfId="37424"/>
    <cellStyle name="TotRow - Opmaakprofiel4 2 23 2 2 6" xfId="51385"/>
    <cellStyle name="TotRow - Opmaakprofiel4 2 23 2 3" xfId="2990"/>
    <cellStyle name="TotRow - Opmaakprofiel4 2 23 2 3 2" xfId="11997"/>
    <cellStyle name="TotRow - Opmaakprofiel4 2 23 2 3 2 2" xfId="24296"/>
    <cellStyle name="TotRow - Opmaakprofiel4 2 23 2 3 2 3" xfId="36348"/>
    <cellStyle name="TotRow - Opmaakprofiel4 2 23 2 3 2 4" xfId="47071"/>
    <cellStyle name="TotRow - Opmaakprofiel4 2 23 2 3 2 5" xfId="56962"/>
    <cellStyle name="TotRow - Opmaakprofiel4 2 23 2 3 3" xfId="18602"/>
    <cellStyle name="TotRow - Opmaakprofiel4 2 23 2 3 4" xfId="30654"/>
    <cellStyle name="TotRow - Opmaakprofiel4 2 23 2 3 5" xfId="37423"/>
    <cellStyle name="TotRow - Opmaakprofiel4 2 23 2 3 6" xfId="51386"/>
    <cellStyle name="TotRow - Opmaakprofiel4 2 23 2 4" xfId="3836"/>
    <cellStyle name="TotRow - Opmaakprofiel4 2 23 2 4 2" xfId="11998"/>
    <cellStyle name="TotRow - Opmaakprofiel4 2 23 2 4 2 2" xfId="24297"/>
    <cellStyle name="TotRow - Opmaakprofiel4 2 23 2 4 2 3" xfId="36349"/>
    <cellStyle name="TotRow - Opmaakprofiel4 2 23 2 4 2 4" xfId="47072"/>
    <cellStyle name="TotRow - Opmaakprofiel4 2 23 2 4 2 5" xfId="56963"/>
    <cellStyle name="TotRow - Opmaakprofiel4 2 23 2 4 3" xfId="18603"/>
    <cellStyle name="TotRow - Opmaakprofiel4 2 23 2 4 4" xfId="30655"/>
    <cellStyle name="TotRow - Opmaakprofiel4 2 23 2 4 5" xfId="37422"/>
    <cellStyle name="TotRow - Opmaakprofiel4 2 23 2 4 6" xfId="51387"/>
    <cellStyle name="TotRow - Opmaakprofiel4 2 23 2 5" xfId="6701"/>
    <cellStyle name="TotRow - Opmaakprofiel4 2 23 2 5 2" xfId="11999"/>
    <cellStyle name="TotRow - Opmaakprofiel4 2 23 2 5 2 2" xfId="24298"/>
    <cellStyle name="TotRow - Opmaakprofiel4 2 23 2 5 2 3" xfId="36350"/>
    <cellStyle name="TotRow - Opmaakprofiel4 2 23 2 5 2 4" xfId="47073"/>
    <cellStyle name="TotRow - Opmaakprofiel4 2 23 2 5 2 5" xfId="56964"/>
    <cellStyle name="TotRow - Opmaakprofiel4 2 23 2 5 3" xfId="18604"/>
    <cellStyle name="TotRow - Opmaakprofiel4 2 23 2 5 4" xfId="30656"/>
    <cellStyle name="TotRow - Opmaakprofiel4 2 23 2 5 5" xfId="37421"/>
    <cellStyle name="TotRow - Opmaakprofiel4 2 23 2 5 6" xfId="51388"/>
    <cellStyle name="TotRow - Opmaakprofiel4 2 23 2 6" xfId="6702"/>
    <cellStyle name="TotRow - Opmaakprofiel4 2 23 2 6 2" xfId="12000"/>
    <cellStyle name="TotRow - Opmaakprofiel4 2 23 2 6 2 2" xfId="24299"/>
    <cellStyle name="TotRow - Opmaakprofiel4 2 23 2 6 2 3" xfId="36351"/>
    <cellStyle name="TotRow - Opmaakprofiel4 2 23 2 6 2 4" xfId="47074"/>
    <cellStyle name="TotRow - Opmaakprofiel4 2 23 2 6 2 5" xfId="56965"/>
    <cellStyle name="TotRow - Opmaakprofiel4 2 23 2 6 3" xfId="18605"/>
    <cellStyle name="TotRow - Opmaakprofiel4 2 23 2 6 4" xfId="30657"/>
    <cellStyle name="TotRow - Opmaakprofiel4 2 23 2 6 5" xfId="37420"/>
    <cellStyle name="TotRow - Opmaakprofiel4 2 23 2 6 6" xfId="51389"/>
    <cellStyle name="TotRow - Opmaakprofiel4 2 23 2 7" xfId="6703"/>
    <cellStyle name="TotRow - Opmaakprofiel4 2 23 2 7 2" xfId="18606"/>
    <cellStyle name="TotRow - Opmaakprofiel4 2 23 2 7 3" xfId="30658"/>
    <cellStyle name="TotRow - Opmaakprofiel4 2 23 2 7 4" xfId="37419"/>
    <cellStyle name="TotRow - Opmaakprofiel4 2 23 2 7 5" xfId="51390"/>
    <cellStyle name="TotRow - Opmaakprofiel4 2 23 2 8" xfId="7326"/>
    <cellStyle name="TotRow - Opmaakprofiel4 2 23 2 8 2" xfId="19624"/>
    <cellStyle name="TotRow - Opmaakprofiel4 2 23 2 8 3" xfId="41427"/>
    <cellStyle name="TotRow - Opmaakprofiel4 2 23 2 8 4" xfId="43556"/>
    <cellStyle name="TotRow - Opmaakprofiel4 2 23 2 8 5" xfId="52296"/>
    <cellStyle name="TotRow - Opmaakprofiel4 2 23 2 9" xfId="18600"/>
    <cellStyle name="TotRow - Opmaakprofiel4 2 23 3" xfId="1075"/>
    <cellStyle name="TotRow - Opmaakprofiel4 2 23 3 2" xfId="2133"/>
    <cellStyle name="TotRow - Opmaakprofiel4 2 23 3 2 2" xfId="12001"/>
    <cellStyle name="TotRow - Opmaakprofiel4 2 23 3 2 2 2" xfId="24300"/>
    <cellStyle name="TotRow - Opmaakprofiel4 2 23 3 2 2 3" xfId="36352"/>
    <cellStyle name="TotRow - Opmaakprofiel4 2 23 3 2 2 4" xfId="47075"/>
    <cellStyle name="TotRow - Opmaakprofiel4 2 23 3 2 2 5" xfId="56966"/>
    <cellStyle name="TotRow - Opmaakprofiel4 2 23 3 2 3" xfId="18608"/>
    <cellStyle name="TotRow - Opmaakprofiel4 2 23 3 2 4" xfId="30660"/>
    <cellStyle name="TotRow - Opmaakprofiel4 2 23 3 2 5" xfId="37418"/>
    <cellStyle name="TotRow - Opmaakprofiel4 2 23 3 2 6" xfId="51391"/>
    <cellStyle name="TotRow - Opmaakprofiel4 2 23 3 3" xfId="3086"/>
    <cellStyle name="TotRow - Opmaakprofiel4 2 23 3 3 2" xfId="12002"/>
    <cellStyle name="TotRow - Opmaakprofiel4 2 23 3 3 2 2" xfId="24301"/>
    <cellStyle name="TotRow - Opmaakprofiel4 2 23 3 3 2 3" xfId="36353"/>
    <cellStyle name="TotRow - Opmaakprofiel4 2 23 3 3 2 4" xfId="47076"/>
    <cellStyle name="TotRow - Opmaakprofiel4 2 23 3 3 2 5" xfId="56967"/>
    <cellStyle name="TotRow - Opmaakprofiel4 2 23 3 3 3" xfId="18609"/>
    <cellStyle name="TotRow - Opmaakprofiel4 2 23 3 3 4" xfId="30661"/>
    <cellStyle name="TotRow - Opmaakprofiel4 2 23 3 3 5" xfId="31336"/>
    <cellStyle name="TotRow - Opmaakprofiel4 2 23 3 3 6" xfId="51392"/>
    <cellStyle name="TotRow - Opmaakprofiel4 2 23 3 4" xfId="3925"/>
    <cellStyle name="TotRow - Opmaakprofiel4 2 23 3 4 2" xfId="12003"/>
    <cellStyle name="TotRow - Opmaakprofiel4 2 23 3 4 2 2" xfId="24302"/>
    <cellStyle name="TotRow - Opmaakprofiel4 2 23 3 4 2 3" xfId="36354"/>
    <cellStyle name="TotRow - Opmaakprofiel4 2 23 3 4 2 4" xfId="47077"/>
    <cellStyle name="TotRow - Opmaakprofiel4 2 23 3 4 2 5" xfId="56968"/>
    <cellStyle name="TotRow - Opmaakprofiel4 2 23 3 4 3" xfId="18610"/>
    <cellStyle name="TotRow - Opmaakprofiel4 2 23 3 4 4" xfId="30662"/>
    <cellStyle name="TotRow - Opmaakprofiel4 2 23 3 4 5" xfId="37417"/>
    <cellStyle name="TotRow - Opmaakprofiel4 2 23 3 4 6" xfId="51393"/>
    <cellStyle name="TotRow - Opmaakprofiel4 2 23 3 5" xfId="6704"/>
    <cellStyle name="TotRow - Opmaakprofiel4 2 23 3 5 2" xfId="12004"/>
    <cellStyle name="TotRow - Opmaakprofiel4 2 23 3 5 2 2" xfId="24303"/>
    <cellStyle name="TotRow - Opmaakprofiel4 2 23 3 5 2 3" xfId="36355"/>
    <cellStyle name="TotRow - Opmaakprofiel4 2 23 3 5 2 4" xfId="47078"/>
    <cellStyle name="TotRow - Opmaakprofiel4 2 23 3 5 2 5" xfId="56969"/>
    <cellStyle name="TotRow - Opmaakprofiel4 2 23 3 5 3" xfId="18611"/>
    <cellStyle name="TotRow - Opmaakprofiel4 2 23 3 5 4" xfId="30663"/>
    <cellStyle name="TotRow - Opmaakprofiel4 2 23 3 5 5" xfId="37416"/>
    <cellStyle name="TotRow - Opmaakprofiel4 2 23 3 5 6" xfId="51394"/>
    <cellStyle name="TotRow - Opmaakprofiel4 2 23 3 6" xfId="6705"/>
    <cellStyle name="TotRow - Opmaakprofiel4 2 23 3 6 2" xfId="12005"/>
    <cellStyle name="TotRow - Opmaakprofiel4 2 23 3 6 2 2" xfId="24304"/>
    <cellStyle name="TotRow - Opmaakprofiel4 2 23 3 6 2 3" xfId="36356"/>
    <cellStyle name="TotRow - Opmaakprofiel4 2 23 3 6 2 4" xfId="47079"/>
    <cellStyle name="TotRow - Opmaakprofiel4 2 23 3 6 2 5" xfId="56970"/>
    <cellStyle name="TotRow - Opmaakprofiel4 2 23 3 6 3" xfId="18612"/>
    <cellStyle name="TotRow - Opmaakprofiel4 2 23 3 6 4" xfId="30664"/>
    <cellStyle name="TotRow - Opmaakprofiel4 2 23 3 6 5" xfId="37415"/>
    <cellStyle name="TotRow - Opmaakprofiel4 2 23 3 6 6" xfId="51395"/>
    <cellStyle name="TotRow - Opmaakprofiel4 2 23 3 7" xfId="6706"/>
    <cellStyle name="TotRow - Opmaakprofiel4 2 23 3 7 2" xfId="18613"/>
    <cellStyle name="TotRow - Opmaakprofiel4 2 23 3 7 3" xfId="30665"/>
    <cellStyle name="TotRow - Opmaakprofiel4 2 23 3 7 4" xfId="37414"/>
    <cellStyle name="TotRow - Opmaakprofiel4 2 23 3 7 5" xfId="51396"/>
    <cellStyle name="TotRow - Opmaakprofiel4 2 23 3 8" xfId="7259"/>
    <cellStyle name="TotRow - Opmaakprofiel4 2 23 3 8 2" xfId="19557"/>
    <cellStyle name="TotRow - Opmaakprofiel4 2 23 3 8 3" xfId="41360"/>
    <cellStyle name="TotRow - Opmaakprofiel4 2 23 3 8 4" xfId="36883"/>
    <cellStyle name="TotRow - Opmaakprofiel4 2 23 3 8 5" xfId="52229"/>
    <cellStyle name="TotRow - Opmaakprofiel4 2 23 3 9" xfId="18607"/>
    <cellStyle name="TotRow - Opmaakprofiel4 2 23 4" xfId="414"/>
    <cellStyle name="TotRow - Opmaakprofiel4 2 23 4 2" xfId="2238"/>
    <cellStyle name="TotRow - Opmaakprofiel4 2 23 4 2 2" xfId="12006"/>
    <cellStyle name="TotRow - Opmaakprofiel4 2 23 4 2 2 2" xfId="24305"/>
    <cellStyle name="TotRow - Opmaakprofiel4 2 23 4 2 2 3" xfId="36357"/>
    <cellStyle name="TotRow - Opmaakprofiel4 2 23 4 2 2 4" xfId="47080"/>
    <cellStyle name="TotRow - Opmaakprofiel4 2 23 4 2 2 5" xfId="56971"/>
    <cellStyle name="TotRow - Opmaakprofiel4 2 23 4 2 3" xfId="18615"/>
    <cellStyle name="TotRow - Opmaakprofiel4 2 23 4 2 4" xfId="30667"/>
    <cellStyle name="TotRow - Opmaakprofiel4 2 23 4 2 5" xfId="37412"/>
    <cellStyle name="TotRow - Opmaakprofiel4 2 23 4 2 6" xfId="51397"/>
    <cellStyle name="TotRow - Opmaakprofiel4 2 23 4 3" xfId="2485"/>
    <cellStyle name="TotRow - Opmaakprofiel4 2 23 4 3 2" xfId="12007"/>
    <cellStyle name="TotRow - Opmaakprofiel4 2 23 4 3 2 2" xfId="24306"/>
    <cellStyle name="TotRow - Opmaakprofiel4 2 23 4 3 2 3" xfId="36358"/>
    <cellStyle name="TotRow - Opmaakprofiel4 2 23 4 3 2 4" xfId="47081"/>
    <cellStyle name="TotRow - Opmaakprofiel4 2 23 4 3 2 5" xfId="56972"/>
    <cellStyle name="TotRow - Opmaakprofiel4 2 23 4 3 3" xfId="18616"/>
    <cellStyle name="TotRow - Opmaakprofiel4 2 23 4 3 4" xfId="30668"/>
    <cellStyle name="TotRow - Opmaakprofiel4 2 23 4 3 5" xfId="37411"/>
    <cellStyle name="TotRow - Opmaakprofiel4 2 23 4 3 6" xfId="51398"/>
    <cellStyle name="TotRow - Opmaakprofiel4 2 23 4 4" xfId="1942"/>
    <cellStyle name="TotRow - Opmaakprofiel4 2 23 4 4 2" xfId="12008"/>
    <cellStyle name="TotRow - Opmaakprofiel4 2 23 4 4 2 2" xfId="24307"/>
    <cellStyle name="TotRow - Opmaakprofiel4 2 23 4 4 2 3" xfId="36359"/>
    <cellStyle name="TotRow - Opmaakprofiel4 2 23 4 4 2 4" xfId="47082"/>
    <cellStyle name="TotRow - Opmaakprofiel4 2 23 4 4 2 5" xfId="56973"/>
    <cellStyle name="TotRow - Opmaakprofiel4 2 23 4 4 3" xfId="18617"/>
    <cellStyle name="TotRow - Opmaakprofiel4 2 23 4 4 4" xfId="30669"/>
    <cellStyle name="TotRow - Opmaakprofiel4 2 23 4 4 5" xfId="37410"/>
    <cellStyle name="TotRow - Opmaakprofiel4 2 23 4 4 6" xfId="51399"/>
    <cellStyle name="TotRow - Opmaakprofiel4 2 23 4 5" xfId="6707"/>
    <cellStyle name="TotRow - Opmaakprofiel4 2 23 4 5 2" xfId="12009"/>
    <cellStyle name="TotRow - Opmaakprofiel4 2 23 4 5 2 2" xfId="24308"/>
    <cellStyle name="TotRow - Opmaakprofiel4 2 23 4 5 2 3" xfId="36360"/>
    <cellStyle name="TotRow - Opmaakprofiel4 2 23 4 5 2 4" xfId="47083"/>
    <cellStyle name="TotRow - Opmaakprofiel4 2 23 4 5 2 5" xfId="56974"/>
    <cellStyle name="TotRow - Opmaakprofiel4 2 23 4 5 3" xfId="18618"/>
    <cellStyle name="TotRow - Opmaakprofiel4 2 23 4 5 4" xfId="30670"/>
    <cellStyle name="TotRow - Opmaakprofiel4 2 23 4 5 5" xfId="37409"/>
    <cellStyle name="TotRow - Opmaakprofiel4 2 23 4 5 6" xfId="51400"/>
    <cellStyle name="TotRow - Opmaakprofiel4 2 23 4 6" xfId="6708"/>
    <cellStyle name="TotRow - Opmaakprofiel4 2 23 4 6 2" xfId="12010"/>
    <cellStyle name="TotRow - Opmaakprofiel4 2 23 4 6 2 2" xfId="24309"/>
    <cellStyle name="TotRow - Opmaakprofiel4 2 23 4 6 2 3" xfId="36361"/>
    <cellStyle name="TotRow - Opmaakprofiel4 2 23 4 6 2 4" xfId="47084"/>
    <cellStyle name="TotRow - Opmaakprofiel4 2 23 4 6 2 5" xfId="56975"/>
    <cellStyle name="TotRow - Opmaakprofiel4 2 23 4 6 3" xfId="18619"/>
    <cellStyle name="TotRow - Opmaakprofiel4 2 23 4 6 4" xfId="30671"/>
    <cellStyle name="TotRow - Opmaakprofiel4 2 23 4 6 5" xfId="37408"/>
    <cellStyle name="TotRow - Opmaakprofiel4 2 23 4 6 6" xfId="51401"/>
    <cellStyle name="TotRow - Opmaakprofiel4 2 23 4 7" xfId="6709"/>
    <cellStyle name="TotRow - Opmaakprofiel4 2 23 4 7 2" xfId="18620"/>
    <cellStyle name="TotRow - Opmaakprofiel4 2 23 4 7 3" xfId="30672"/>
    <cellStyle name="TotRow - Opmaakprofiel4 2 23 4 7 4" xfId="37407"/>
    <cellStyle name="TotRow - Opmaakprofiel4 2 23 4 7 5" xfId="51402"/>
    <cellStyle name="TotRow - Opmaakprofiel4 2 23 4 8" xfId="10397"/>
    <cellStyle name="TotRow - Opmaakprofiel4 2 23 4 8 2" xfId="22695"/>
    <cellStyle name="TotRow - Opmaakprofiel4 2 23 4 8 3" xfId="44455"/>
    <cellStyle name="TotRow - Opmaakprofiel4 2 23 4 8 4" xfId="31974"/>
    <cellStyle name="TotRow - Opmaakprofiel4 2 23 4 8 5" xfId="55362"/>
    <cellStyle name="TotRow - Opmaakprofiel4 2 23 4 9" xfId="18614"/>
    <cellStyle name="TotRow - Opmaakprofiel4 2 23 5" xfId="1244"/>
    <cellStyle name="TotRow - Opmaakprofiel4 2 23 5 2" xfId="2121"/>
    <cellStyle name="TotRow - Opmaakprofiel4 2 23 5 2 2" xfId="12011"/>
    <cellStyle name="TotRow - Opmaakprofiel4 2 23 5 2 2 2" xfId="24310"/>
    <cellStyle name="TotRow - Opmaakprofiel4 2 23 5 2 2 3" xfId="36362"/>
    <cellStyle name="TotRow - Opmaakprofiel4 2 23 5 2 2 4" xfId="47085"/>
    <cellStyle name="TotRow - Opmaakprofiel4 2 23 5 2 2 5" xfId="56976"/>
    <cellStyle name="TotRow - Opmaakprofiel4 2 23 5 2 3" xfId="18622"/>
    <cellStyle name="TotRow - Opmaakprofiel4 2 23 5 2 4" xfId="30674"/>
    <cellStyle name="TotRow - Opmaakprofiel4 2 23 5 2 5" xfId="37405"/>
    <cellStyle name="TotRow - Opmaakprofiel4 2 23 5 2 6" xfId="51403"/>
    <cellStyle name="TotRow - Opmaakprofiel4 2 23 5 3" xfId="3255"/>
    <cellStyle name="TotRow - Opmaakprofiel4 2 23 5 3 2" xfId="12012"/>
    <cellStyle name="TotRow - Opmaakprofiel4 2 23 5 3 2 2" xfId="24311"/>
    <cellStyle name="TotRow - Opmaakprofiel4 2 23 5 3 2 3" xfId="36363"/>
    <cellStyle name="TotRow - Opmaakprofiel4 2 23 5 3 2 4" xfId="47086"/>
    <cellStyle name="TotRow - Opmaakprofiel4 2 23 5 3 2 5" xfId="56977"/>
    <cellStyle name="TotRow - Opmaakprofiel4 2 23 5 3 3" xfId="18623"/>
    <cellStyle name="TotRow - Opmaakprofiel4 2 23 5 3 4" xfId="30675"/>
    <cellStyle name="TotRow - Opmaakprofiel4 2 23 5 3 5" xfId="37404"/>
    <cellStyle name="TotRow - Opmaakprofiel4 2 23 5 3 6" xfId="51404"/>
    <cellStyle name="TotRow - Opmaakprofiel4 2 23 5 4" xfId="4068"/>
    <cellStyle name="TotRow - Opmaakprofiel4 2 23 5 4 2" xfId="12013"/>
    <cellStyle name="TotRow - Opmaakprofiel4 2 23 5 4 2 2" xfId="24312"/>
    <cellStyle name="TotRow - Opmaakprofiel4 2 23 5 4 2 3" xfId="36364"/>
    <cellStyle name="TotRow - Opmaakprofiel4 2 23 5 4 2 4" xfId="47087"/>
    <cellStyle name="TotRow - Opmaakprofiel4 2 23 5 4 2 5" xfId="56978"/>
    <cellStyle name="TotRow - Opmaakprofiel4 2 23 5 4 3" xfId="18624"/>
    <cellStyle name="TotRow - Opmaakprofiel4 2 23 5 4 4" xfId="30676"/>
    <cellStyle name="TotRow - Opmaakprofiel4 2 23 5 4 5" xfId="37403"/>
    <cellStyle name="TotRow - Opmaakprofiel4 2 23 5 4 6" xfId="51405"/>
    <cellStyle name="TotRow - Opmaakprofiel4 2 23 5 5" xfId="6710"/>
    <cellStyle name="TotRow - Opmaakprofiel4 2 23 5 5 2" xfId="12014"/>
    <cellStyle name="TotRow - Opmaakprofiel4 2 23 5 5 2 2" xfId="24313"/>
    <cellStyle name="TotRow - Opmaakprofiel4 2 23 5 5 2 3" xfId="36365"/>
    <cellStyle name="TotRow - Opmaakprofiel4 2 23 5 5 2 4" xfId="47088"/>
    <cellStyle name="TotRow - Opmaakprofiel4 2 23 5 5 2 5" xfId="56979"/>
    <cellStyle name="TotRow - Opmaakprofiel4 2 23 5 5 3" xfId="18625"/>
    <cellStyle name="TotRow - Opmaakprofiel4 2 23 5 5 4" xfId="30677"/>
    <cellStyle name="TotRow - Opmaakprofiel4 2 23 5 5 5" xfId="37402"/>
    <cellStyle name="TotRow - Opmaakprofiel4 2 23 5 5 6" xfId="51406"/>
    <cellStyle name="TotRow - Opmaakprofiel4 2 23 5 6" xfId="6711"/>
    <cellStyle name="TotRow - Opmaakprofiel4 2 23 5 6 2" xfId="12015"/>
    <cellStyle name="TotRow - Opmaakprofiel4 2 23 5 6 2 2" xfId="24314"/>
    <cellStyle name="TotRow - Opmaakprofiel4 2 23 5 6 2 3" xfId="36366"/>
    <cellStyle name="TotRow - Opmaakprofiel4 2 23 5 6 2 4" xfId="47089"/>
    <cellStyle name="TotRow - Opmaakprofiel4 2 23 5 6 2 5" xfId="56980"/>
    <cellStyle name="TotRow - Opmaakprofiel4 2 23 5 6 3" xfId="18626"/>
    <cellStyle name="TotRow - Opmaakprofiel4 2 23 5 6 4" xfId="30678"/>
    <cellStyle name="TotRow - Opmaakprofiel4 2 23 5 6 5" xfId="37401"/>
    <cellStyle name="TotRow - Opmaakprofiel4 2 23 5 6 6" xfId="51407"/>
    <cellStyle name="TotRow - Opmaakprofiel4 2 23 5 7" xfId="6712"/>
    <cellStyle name="TotRow - Opmaakprofiel4 2 23 5 7 2" xfId="18627"/>
    <cellStyle name="TotRow - Opmaakprofiel4 2 23 5 7 3" xfId="30679"/>
    <cellStyle name="TotRow - Opmaakprofiel4 2 23 5 7 4" xfId="37400"/>
    <cellStyle name="TotRow - Opmaakprofiel4 2 23 5 7 5" xfId="51408"/>
    <cellStyle name="TotRow - Opmaakprofiel4 2 23 5 8" xfId="7130"/>
    <cellStyle name="TotRow - Opmaakprofiel4 2 23 5 8 2" xfId="19428"/>
    <cellStyle name="TotRow - Opmaakprofiel4 2 23 5 8 3" xfId="41231"/>
    <cellStyle name="TotRow - Opmaakprofiel4 2 23 5 8 4" xfId="36958"/>
    <cellStyle name="TotRow - Opmaakprofiel4 2 23 5 8 5" xfId="52100"/>
    <cellStyle name="TotRow - Opmaakprofiel4 2 23 5 9" xfId="18621"/>
    <cellStyle name="TotRow - Opmaakprofiel4 2 23 6" xfId="1289"/>
    <cellStyle name="TotRow - Opmaakprofiel4 2 23 6 2" xfId="2187"/>
    <cellStyle name="TotRow - Opmaakprofiel4 2 23 6 2 2" xfId="12016"/>
    <cellStyle name="TotRow - Opmaakprofiel4 2 23 6 2 2 2" xfId="24315"/>
    <cellStyle name="TotRow - Opmaakprofiel4 2 23 6 2 2 3" xfId="36367"/>
    <cellStyle name="TotRow - Opmaakprofiel4 2 23 6 2 2 4" xfId="47090"/>
    <cellStyle name="TotRow - Opmaakprofiel4 2 23 6 2 2 5" xfId="56981"/>
    <cellStyle name="TotRow - Opmaakprofiel4 2 23 6 2 3" xfId="18629"/>
    <cellStyle name="TotRow - Opmaakprofiel4 2 23 6 2 4" xfId="30681"/>
    <cellStyle name="TotRow - Opmaakprofiel4 2 23 6 2 5" xfId="37398"/>
    <cellStyle name="TotRow - Opmaakprofiel4 2 23 6 2 6" xfId="51409"/>
    <cellStyle name="TotRow - Opmaakprofiel4 2 23 6 3" xfId="3300"/>
    <cellStyle name="TotRow - Opmaakprofiel4 2 23 6 3 2" xfId="12017"/>
    <cellStyle name="TotRow - Opmaakprofiel4 2 23 6 3 2 2" xfId="24316"/>
    <cellStyle name="TotRow - Opmaakprofiel4 2 23 6 3 2 3" xfId="36368"/>
    <cellStyle name="TotRow - Opmaakprofiel4 2 23 6 3 2 4" xfId="47091"/>
    <cellStyle name="TotRow - Opmaakprofiel4 2 23 6 3 2 5" xfId="56982"/>
    <cellStyle name="TotRow - Opmaakprofiel4 2 23 6 3 3" xfId="18630"/>
    <cellStyle name="TotRow - Opmaakprofiel4 2 23 6 3 4" xfId="30682"/>
    <cellStyle name="TotRow - Opmaakprofiel4 2 23 6 3 5" xfId="37397"/>
    <cellStyle name="TotRow - Opmaakprofiel4 2 23 6 3 6" xfId="51410"/>
    <cellStyle name="TotRow - Opmaakprofiel4 2 23 6 4" xfId="4094"/>
    <cellStyle name="TotRow - Opmaakprofiel4 2 23 6 4 2" xfId="12018"/>
    <cellStyle name="TotRow - Opmaakprofiel4 2 23 6 4 2 2" xfId="24317"/>
    <cellStyle name="TotRow - Opmaakprofiel4 2 23 6 4 2 3" xfId="36369"/>
    <cellStyle name="TotRow - Opmaakprofiel4 2 23 6 4 2 4" xfId="47092"/>
    <cellStyle name="TotRow - Opmaakprofiel4 2 23 6 4 2 5" xfId="56983"/>
    <cellStyle name="TotRow - Opmaakprofiel4 2 23 6 4 3" xfId="18631"/>
    <cellStyle name="TotRow - Opmaakprofiel4 2 23 6 4 4" xfId="30683"/>
    <cellStyle name="TotRow - Opmaakprofiel4 2 23 6 4 5" xfId="37396"/>
    <cellStyle name="TotRow - Opmaakprofiel4 2 23 6 4 6" xfId="51411"/>
    <cellStyle name="TotRow - Opmaakprofiel4 2 23 6 5" xfId="6713"/>
    <cellStyle name="TotRow - Opmaakprofiel4 2 23 6 5 2" xfId="12019"/>
    <cellStyle name="TotRow - Opmaakprofiel4 2 23 6 5 2 2" xfId="24318"/>
    <cellStyle name="TotRow - Opmaakprofiel4 2 23 6 5 2 3" xfId="36370"/>
    <cellStyle name="TotRow - Opmaakprofiel4 2 23 6 5 2 4" xfId="47093"/>
    <cellStyle name="TotRow - Opmaakprofiel4 2 23 6 5 2 5" xfId="56984"/>
    <cellStyle name="TotRow - Opmaakprofiel4 2 23 6 5 3" xfId="18632"/>
    <cellStyle name="TotRow - Opmaakprofiel4 2 23 6 5 4" xfId="30684"/>
    <cellStyle name="TotRow - Opmaakprofiel4 2 23 6 5 5" xfId="37395"/>
    <cellStyle name="TotRow - Opmaakprofiel4 2 23 6 5 6" xfId="51412"/>
    <cellStyle name="TotRow - Opmaakprofiel4 2 23 6 6" xfId="6714"/>
    <cellStyle name="TotRow - Opmaakprofiel4 2 23 6 6 2" xfId="12020"/>
    <cellStyle name="TotRow - Opmaakprofiel4 2 23 6 6 2 2" xfId="24319"/>
    <cellStyle name="TotRow - Opmaakprofiel4 2 23 6 6 2 3" xfId="36371"/>
    <cellStyle name="TotRow - Opmaakprofiel4 2 23 6 6 2 4" xfId="47094"/>
    <cellStyle name="TotRow - Opmaakprofiel4 2 23 6 6 2 5" xfId="56985"/>
    <cellStyle name="TotRow - Opmaakprofiel4 2 23 6 6 3" xfId="18633"/>
    <cellStyle name="TotRow - Opmaakprofiel4 2 23 6 6 4" xfId="30685"/>
    <cellStyle name="TotRow - Opmaakprofiel4 2 23 6 6 5" xfId="37394"/>
    <cellStyle name="TotRow - Opmaakprofiel4 2 23 6 6 6" xfId="51413"/>
    <cellStyle name="TotRow - Opmaakprofiel4 2 23 6 7" xfId="6715"/>
    <cellStyle name="TotRow - Opmaakprofiel4 2 23 6 7 2" xfId="18634"/>
    <cellStyle name="TotRow - Opmaakprofiel4 2 23 6 7 3" xfId="30686"/>
    <cellStyle name="TotRow - Opmaakprofiel4 2 23 6 7 4" xfId="37393"/>
    <cellStyle name="TotRow - Opmaakprofiel4 2 23 6 7 5" xfId="51414"/>
    <cellStyle name="TotRow - Opmaakprofiel4 2 23 6 8" xfId="7087"/>
    <cellStyle name="TotRow - Opmaakprofiel4 2 23 6 8 2" xfId="19385"/>
    <cellStyle name="TotRow - Opmaakprofiel4 2 23 6 8 3" xfId="41188"/>
    <cellStyle name="TotRow - Opmaakprofiel4 2 23 6 8 4" xfId="36983"/>
    <cellStyle name="TotRow - Opmaakprofiel4 2 23 6 8 5" xfId="52058"/>
    <cellStyle name="TotRow - Opmaakprofiel4 2 23 6 9" xfId="18628"/>
    <cellStyle name="TotRow - Opmaakprofiel4 2 23 7" xfId="1461"/>
    <cellStyle name="TotRow - Opmaakprofiel4 2 23 7 2" xfId="12021"/>
    <cellStyle name="TotRow - Opmaakprofiel4 2 23 7 2 2" xfId="24320"/>
    <cellStyle name="TotRow - Opmaakprofiel4 2 23 7 2 3" xfId="36372"/>
    <cellStyle name="TotRow - Opmaakprofiel4 2 23 7 2 4" xfId="47095"/>
    <cellStyle name="TotRow - Opmaakprofiel4 2 23 7 2 5" xfId="56986"/>
    <cellStyle name="TotRow - Opmaakprofiel4 2 23 7 3" xfId="18635"/>
    <cellStyle name="TotRow - Opmaakprofiel4 2 23 7 4" xfId="30687"/>
    <cellStyle name="TotRow - Opmaakprofiel4 2 23 7 5" xfId="37392"/>
    <cellStyle name="TotRow - Opmaakprofiel4 2 23 7 6" xfId="51415"/>
    <cellStyle name="TotRow - Opmaakprofiel4 2 23 8" xfId="2835"/>
    <cellStyle name="TotRow - Opmaakprofiel4 2 23 8 2" xfId="12022"/>
    <cellStyle name="TotRow - Opmaakprofiel4 2 23 8 2 2" xfId="24321"/>
    <cellStyle name="TotRow - Opmaakprofiel4 2 23 8 2 3" xfId="36373"/>
    <cellStyle name="TotRow - Opmaakprofiel4 2 23 8 2 4" xfId="47096"/>
    <cellStyle name="TotRow - Opmaakprofiel4 2 23 8 2 5" xfId="56987"/>
    <cellStyle name="TotRow - Opmaakprofiel4 2 23 8 3" xfId="18636"/>
    <cellStyle name="TotRow - Opmaakprofiel4 2 23 8 4" xfId="30688"/>
    <cellStyle name="TotRow - Opmaakprofiel4 2 23 8 5" xfId="37391"/>
    <cellStyle name="TotRow - Opmaakprofiel4 2 23 8 6" xfId="51416"/>
    <cellStyle name="TotRow - Opmaakprofiel4 2 23 9" xfId="3693"/>
    <cellStyle name="TotRow - Opmaakprofiel4 2 23 9 2" xfId="12023"/>
    <cellStyle name="TotRow - Opmaakprofiel4 2 23 9 2 2" xfId="24322"/>
    <cellStyle name="TotRow - Opmaakprofiel4 2 23 9 2 3" xfId="36374"/>
    <cellStyle name="TotRow - Opmaakprofiel4 2 23 9 2 4" xfId="47097"/>
    <cellStyle name="TotRow - Opmaakprofiel4 2 23 9 2 5" xfId="56988"/>
    <cellStyle name="TotRow - Opmaakprofiel4 2 23 9 3" xfId="18637"/>
    <cellStyle name="TotRow - Opmaakprofiel4 2 23 9 4" xfId="30689"/>
    <cellStyle name="TotRow - Opmaakprofiel4 2 23 9 5" xfId="37390"/>
    <cellStyle name="TotRow - Opmaakprofiel4 2 23 9 6" xfId="51417"/>
    <cellStyle name="TotRow - Opmaakprofiel4 2 24" xfId="797"/>
    <cellStyle name="TotRow - Opmaakprofiel4 2 24 10" xfId="6716"/>
    <cellStyle name="TotRow - Opmaakprofiel4 2 24 10 2" xfId="12024"/>
    <cellStyle name="TotRow - Opmaakprofiel4 2 24 10 2 2" xfId="24323"/>
    <cellStyle name="TotRow - Opmaakprofiel4 2 24 10 2 3" xfId="36375"/>
    <cellStyle name="TotRow - Opmaakprofiel4 2 24 10 2 4" xfId="47098"/>
    <cellStyle name="TotRow - Opmaakprofiel4 2 24 10 2 5" xfId="56989"/>
    <cellStyle name="TotRow - Opmaakprofiel4 2 24 10 3" xfId="18639"/>
    <cellStyle name="TotRow - Opmaakprofiel4 2 24 10 4" xfId="30691"/>
    <cellStyle name="TotRow - Opmaakprofiel4 2 24 10 5" xfId="37388"/>
    <cellStyle name="TotRow - Opmaakprofiel4 2 24 10 6" xfId="51418"/>
    <cellStyle name="TotRow - Opmaakprofiel4 2 24 11" xfId="6717"/>
    <cellStyle name="TotRow - Opmaakprofiel4 2 24 11 2" xfId="12025"/>
    <cellStyle name="TotRow - Opmaakprofiel4 2 24 11 2 2" xfId="24324"/>
    <cellStyle name="TotRow - Opmaakprofiel4 2 24 11 2 3" xfId="36376"/>
    <cellStyle name="TotRow - Opmaakprofiel4 2 24 11 2 4" xfId="47099"/>
    <cellStyle name="TotRow - Opmaakprofiel4 2 24 11 2 5" xfId="56990"/>
    <cellStyle name="TotRow - Opmaakprofiel4 2 24 11 3" xfId="18640"/>
    <cellStyle name="TotRow - Opmaakprofiel4 2 24 11 4" xfId="30692"/>
    <cellStyle name="TotRow - Opmaakprofiel4 2 24 11 5" xfId="37387"/>
    <cellStyle name="TotRow - Opmaakprofiel4 2 24 11 6" xfId="51419"/>
    <cellStyle name="TotRow - Opmaakprofiel4 2 24 12" xfId="6718"/>
    <cellStyle name="TotRow - Opmaakprofiel4 2 24 12 2" xfId="18641"/>
    <cellStyle name="TotRow - Opmaakprofiel4 2 24 12 3" xfId="30693"/>
    <cellStyle name="TotRow - Opmaakprofiel4 2 24 12 4" xfId="37386"/>
    <cellStyle name="TotRow - Opmaakprofiel4 2 24 12 5" xfId="51420"/>
    <cellStyle name="TotRow - Opmaakprofiel4 2 24 13" xfId="7449"/>
    <cellStyle name="TotRow - Opmaakprofiel4 2 24 13 2" xfId="19747"/>
    <cellStyle name="TotRow - Opmaakprofiel4 2 24 13 3" xfId="41550"/>
    <cellStyle name="TotRow - Opmaakprofiel4 2 24 13 4" xfId="43504"/>
    <cellStyle name="TotRow - Opmaakprofiel4 2 24 13 5" xfId="52419"/>
    <cellStyle name="TotRow - Opmaakprofiel4 2 24 14" xfId="18638"/>
    <cellStyle name="TotRow - Opmaakprofiel4 2 24 2" xfId="959"/>
    <cellStyle name="TotRow - Opmaakprofiel4 2 24 2 2" xfId="2167"/>
    <cellStyle name="TotRow - Opmaakprofiel4 2 24 2 2 2" xfId="12026"/>
    <cellStyle name="TotRow - Opmaakprofiel4 2 24 2 2 2 2" xfId="24325"/>
    <cellStyle name="TotRow - Opmaakprofiel4 2 24 2 2 2 3" xfId="36377"/>
    <cellStyle name="TotRow - Opmaakprofiel4 2 24 2 2 2 4" xfId="47100"/>
    <cellStyle name="TotRow - Opmaakprofiel4 2 24 2 2 2 5" xfId="56991"/>
    <cellStyle name="TotRow - Opmaakprofiel4 2 24 2 2 3" xfId="18643"/>
    <cellStyle name="TotRow - Opmaakprofiel4 2 24 2 2 4" xfId="30695"/>
    <cellStyle name="TotRow - Opmaakprofiel4 2 24 2 2 5" xfId="37384"/>
    <cellStyle name="TotRow - Opmaakprofiel4 2 24 2 2 6" xfId="51421"/>
    <cellStyle name="TotRow - Opmaakprofiel4 2 24 2 3" xfId="2970"/>
    <cellStyle name="TotRow - Opmaakprofiel4 2 24 2 3 2" xfId="12027"/>
    <cellStyle name="TotRow - Opmaakprofiel4 2 24 2 3 2 2" xfId="24326"/>
    <cellStyle name="TotRow - Opmaakprofiel4 2 24 2 3 2 3" xfId="36378"/>
    <cellStyle name="TotRow - Opmaakprofiel4 2 24 2 3 2 4" xfId="47101"/>
    <cellStyle name="TotRow - Opmaakprofiel4 2 24 2 3 2 5" xfId="56992"/>
    <cellStyle name="TotRow - Opmaakprofiel4 2 24 2 3 3" xfId="18644"/>
    <cellStyle name="TotRow - Opmaakprofiel4 2 24 2 3 4" xfId="30696"/>
    <cellStyle name="TotRow - Opmaakprofiel4 2 24 2 3 5" xfId="37383"/>
    <cellStyle name="TotRow - Opmaakprofiel4 2 24 2 3 6" xfId="51422"/>
    <cellStyle name="TotRow - Opmaakprofiel4 2 24 2 4" xfId="3816"/>
    <cellStyle name="TotRow - Opmaakprofiel4 2 24 2 4 2" xfId="12028"/>
    <cellStyle name="TotRow - Opmaakprofiel4 2 24 2 4 2 2" xfId="24327"/>
    <cellStyle name="TotRow - Opmaakprofiel4 2 24 2 4 2 3" xfId="36379"/>
    <cellStyle name="TotRow - Opmaakprofiel4 2 24 2 4 2 4" xfId="47102"/>
    <cellStyle name="TotRow - Opmaakprofiel4 2 24 2 4 2 5" xfId="56993"/>
    <cellStyle name="TotRow - Opmaakprofiel4 2 24 2 4 3" xfId="18645"/>
    <cellStyle name="TotRow - Opmaakprofiel4 2 24 2 4 4" xfId="30697"/>
    <cellStyle name="TotRow - Opmaakprofiel4 2 24 2 4 5" xfId="37382"/>
    <cellStyle name="TotRow - Opmaakprofiel4 2 24 2 4 6" xfId="51423"/>
    <cellStyle name="TotRow - Opmaakprofiel4 2 24 2 5" xfId="6719"/>
    <cellStyle name="TotRow - Opmaakprofiel4 2 24 2 5 2" xfId="12029"/>
    <cellStyle name="TotRow - Opmaakprofiel4 2 24 2 5 2 2" xfId="24328"/>
    <cellStyle name="TotRow - Opmaakprofiel4 2 24 2 5 2 3" xfId="36380"/>
    <cellStyle name="TotRow - Opmaakprofiel4 2 24 2 5 2 4" xfId="47103"/>
    <cellStyle name="TotRow - Opmaakprofiel4 2 24 2 5 2 5" xfId="56994"/>
    <cellStyle name="TotRow - Opmaakprofiel4 2 24 2 5 3" xfId="18646"/>
    <cellStyle name="TotRow - Opmaakprofiel4 2 24 2 5 4" xfId="30698"/>
    <cellStyle name="TotRow - Opmaakprofiel4 2 24 2 5 5" xfId="37381"/>
    <cellStyle name="TotRow - Opmaakprofiel4 2 24 2 5 6" xfId="51424"/>
    <cellStyle name="TotRow - Opmaakprofiel4 2 24 2 6" xfId="6720"/>
    <cellStyle name="TotRow - Opmaakprofiel4 2 24 2 6 2" xfId="12030"/>
    <cellStyle name="TotRow - Opmaakprofiel4 2 24 2 6 2 2" xfId="24329"/>
    <cellStyle name="TotRow - Opmaakprofiel4 2 24 2 6 2 3" xfId="36381"/>
    <cellStyle name="TotRow - Opmaakprofiel4 2 24 2 6 2 4" xfId="47104"/>
    <cellStyle name="TotRow - Opmaakprofiel4 2 24 2 6 2 5" xfId="56995"/>
    <cellStyle name="TotRow - Opmaakprofiel4 2 24 2 6 3" xfId="18647"/>
    <cellStyle name="TotRow - Opmaakprofiel4 2 24 2 6 4" xfId="30699"/>
    <cellStyle name="TotRow - Opmaakprofiel4 2 24 2 6 5" xfId="37380"/>
    <cellStyle name="TotRow - Opmaakprofiel4 2 24 2 6 6" xfId="51425"/>
    <cellStyle name="TotRow - Opmaakprofiel4 2 24 2 7" xfId="6721"/>
    <cellStyle name="TotRow - Opmaakprofiel4 2 24 2 7 2" xfId="18648"/>
    <cellStyle name="TotRow - Opmaakprofiel4 2 24 2 7 3" xfId="30700"/>
    <cellStyle name="TotRow - Opmaakprofiel4 2 24 2 7 4" xfId="37379"/>
    <cellStyle name="TotRow - Opmaakprofiel4 2 24 2 7 5" xfId="51426"/>
    <cellStyle name="TotRow - Opmaakprofiel4 2 24 2 8" xfId="7339"/>
    <cellStyle name="TotRow - Opmaakprofiel4 2 24 2 8 2" xfId="19637"/>
    <cellStyle name="TotRow - Opmaakprofiel4 2 24 2 8 3" xfId="41440"/>
    <cellStyle name="TotRow - Opmaakprofiel4 2 24 2 8 4" xfId="36836"/>
    <cellStyle name="TotRow - Opmaakprofiel4 2 24 2 8 5" xfId="52309"/>
    <cellStyle name="TotRow - Opmaakprofiel4 2 24 2 9" xfId="18642"/>
    <cellStyle name="TotRow - Opmaakprofiel4 2 24 3" xfId="1054"/>
    <cellStyle name="TotRow - Opmaakprofiel4 2 24 3 2" xfId="2362"/>
    <cellStyle name="TotRow - Opmaakprofiel4 2 24 3 2 2" xfId="12031"/>
    <cellStyle name="TotRow - Opmaakprofiel4 2 24 3 2 2 2" xfId="24330"/>
    <cellStyle name="TotRow - Opmaakprofiel4 2 24 3 2 2 3" xfId="36382"/>
    <cellStyle name="TotRow - Opmaakprofiel4 2 24 3 2 2 4" xfId="47105"/>
    <cellStyle name="TotRow - Opmaakprofiel4 2 24 3 2 2 5" xfId="56996"/>
    <cellStyle name="TotRow - Opmaakprofiel4 2 24 3 2 3" xfId="18650"/>
    <cellStyle name="TotRow - Opmaakprofiel4 2 24 3 2 4" xfId="30702"/>
    <cellStyle name="TotRow - Opmaakprofiel4 2 24 3 2 5" xfId="37377"/>
    <cellStyle name="TotRow - Opmaakprofiel4 2 24 3 2 6" xfId="51427"/>
    <cellStyle name="TotRow - Opmaakprofiel4 2 24 3 3" xfId="3065"/>
    <cellStyle name="TotRow - Opmaakprofiel4 2 24 3 3 2" xfId="12032"/>
    <cellStyle name="TotRow - Opmaakprofiel4 2 24 3 3 2 2" xfId="24331"/>
    <cellStyle name="TotRow - Opmaakprofiel4 2 24 3 3 2 3" xfId="36383"/>
    <cellStyle name="TotRow - Opmaakprofiel4 2 24 3 3 2 4" xfId="47106"/>
    <cellStyle name="TotRow - Opmaakprofiel4 2 24 3 3 2 5" xfId="56997"/>
    <cellStyle name="TotRow - Opmaakprofiel4 2 24 3 3 3" xfId="18651"/>
    <cellStyle name="TotRow - Opmaakprofiel4 2 24 3 3 4" xfId="30703"/>
    <cellStyle name="TotRow - Opmaakprofiel4 2 24 3 3 5" xfId="37376"/>
    <cellStyle name="TotRow - Opmaakprofiel4 2 24 3 3 6" xfId="51428"/>
    <cellStyle name="TotRow - Opmaakprofiel4 2 24 3 4" xfId="3906"/>
    <cellStyle name="TotRow - Opmaakprofiel4 2 24 3 4 2" xfId="12033"/>
    <cellStyle name="TotRow - Opmaakprofiel4 2 24 3 4 2 2" xfId="24332"/>
    <cellStyle name="TotRow - Opmaakprofiel4 2 24 3 4 2 3" xfId="36384"/>
    <cellStyle name="TotRow - Opmaakprofiel4 2 24 3 4 2 4" xfId="47107"/>
    <cellStyle name="TotRow - Opmaakprofiel4 2 24 3 4 2 5" xfId="56998"/>
    <cellStyle name="TotRow - Opmaakprofiel4 2 24 3 4 3" xfId="18652"/>
    <cellStyle name="TotRow - Opmaakprofiel4 2 24 3 4 4" xfId="30704"/>
    <cellStyle name="TotRow - Opmaakprofiel4 2 24 3 4 5" xfId="37375"/>
    <cellStyle name="TotRow - Opmaakprofiel4 2 24 3 4 6" xfId="51429"/>
    <cellStyle name="TotRow - Opmaakprofiel4 2 24 3 5" xfId="6722"/>
    <cellStyle name="TotRow - Opmaakprofiel4 2 24 3 5 2" xfId="12034"/>
    <cellStyle name="TotRow - Opmaakprofiel4 2 24 3 5 2 2" xfId="24333"/>
    <cellStyle name="TotRow - Opmaakprofiel4 2 24 3 5 2 3" xfId="36385"/>
    <cellStyle name="TotRow - Opmaakprofiel4 2 24 3 5 2 4" xfId="47108"/>
    <cellStyle name="TotRow - Opmaakprofiel4 2 24 3 5 2 5" xfId="56999"/>
    <cellStyle name="TotRow - Opmaakprofiel4 2 24 3 5 3" xfId="18653"/>
    <cellStyle name="TotRow - Opmaakprofiel4 2 24 3 5 4" xfId="30705"/>
    <cellStyle name="TotRow - Opmaakprofiel4 2 24 3 5 5" xfId="37374"/>
    <cellStyle name="TotRow - Opmaakprofiel4 2 24 3 5 6" xfId="51430"/>
    <cellStyle name="TotRow - Opmaakprofiel4 2 24 3 6" xfId="6723"/>
    <cellStyle name="TotRow - Opmaakprofiel4 2 24 3 6 2" xfId="12035"/>
    <cellStyle name="TotRow - Opmaakprofiel4 2 24 3 6 2 2" xfId="24334"/>
    <cellStyle name="TotRow - Opmaakprofiel4 2 24 3 6 2 3" xfId="36386"/>
    <cellStyle name="TotRow - Opmaakprofiel4 2 24 3 6 2 4" xfId="47109"/>
    <cellStyle name="TotRow - Opmaakprofiel4 2 24 3 6 2 5" xfId="57000"/>
    <cellStyle name="TotRow - Opmaakprofiel4 2 24 3 6 3" xfId="18654"/>
    <cellStyle name="TotRow - Opmaakprofiel4 2 24 3 6 4" xfId="30706"/>
    <cellStyle name="TotRow - Opmaakprofiel4 2 24 3 6 5" xfId="37373"/>
    <cellStyle name="TotRow - Opmaakprofiel4 2 24 3 6 6" xfId="51431"/>
    <cellStyle name="TotRow - Opmaakprofiel4 2 24 3 7" xfId="6724"/>
    <cellStyle name="TotRow - Opmaakprofiel4 2 24 3 7 2" xfId="18655"/>
    <cellStyle name="TotRow - Opmaakprofiel4 2 24 3 7 3" xfId="30707"/>
    <cellStyle name="TotRow - Opmaakprofiel4 2 24 3 7 4" xfId="37372"/>
    <cellStyle name="TotRow - Opmaakprofiel4 2 24 3 7 5" xfId="51432"/>
    <cellStyle name="TotRow - Opmaakprofiel4 2 24 3 8" xfId="7273"/>
    <cellStyle name="TotRow - Opmaakprofiel4 2 24 3 8 2" xfId="19571"/>
    <cellStyle name="TotRow - Opmaakprofiel4 2 24 3 8 3" xfId="41374"/>
    <cellStyle name="TotRow - Opmaakprofiel4 2 24 3 8 4" xfId="36875"/>
    <cellStyle name="TotRow - Opmaakprofiel4 2 24 3 8 5" xfId="52243"/>
    <cellStyle name="TotRow - Opmaakprofiel4 2 24 3 9" xfId="18649"/>
    <cellStyle name="TotRow - Opmaakprofiel4 2 24 4" xfId="1125"/>
    <cellStyle name="TotRow - Opmaakprofiel4 2 24 4 2" xfId="2043"/>
    <cellStyle name="TotRow - Opmaakprofiel4 2 24 4 2 2" xfId="12036"/>
    <cellStyle name="TotRow - Opmaakprofiel4 2 24 4 2 2 2" xfId="24335"/>
    <cellStyle name="TotRow - Opmaakprofiel4 2 24 4 2 2 3" xfId="36387"/>
    <cellStyle name="TotRow - Opmaakprofiel4 2 24 4 2 2 4" xfId="47110"/>
    <cellStyle name="TotRow - Opmaakprofiel4 2 24 4 2 2 5" xfId="57001"/>
    <cellStyle name="TotRow - Opmaakprofiel4 2 24 4 2 3" xfId="18657"/>
    <cellStyle name="TotRow - Opmaakprofiel4 2 24 4 2 4" xfId="30709"/>
    <cellStyle name="TotRow - Opmaakprofiel4 2 24 4 2 5" xfId="37370"/>
    <cellStyle name="TotRow - Opmaakprofiel4 2 24 4 2 6" xfId="51433"/>
    <cellStyle name="TotRow - Opmaakprofiel4 2 24 4 3" xfId="3136"/>
    <cellStyle name="TotRow - Opmaakprofiel4 2 24 4 3 2" xfId="12037"/>
    <cellStyle name="TotRow - Opmaakprofiel4 2 24 4 3 2 2" xfId="24336"/>
    <cellStyle name="TotRow - Opmaakprofiel4 2 24 4 3 2 3" xfId="36388"/>
    <cellStyle name="TotRow - Opmaakprofiel4 2 24 4 3 2 4" xfId="47111"/>
    <cellStyle name="TotRow - Opmaakprofiel4 2 24 4 3 2 5" xfId="57002"/>
    <cellStyle name="TotRow - Opmaakprofiel4 2 24 4 3 3" xfId="18658"/>
    <cellStyle name="TotRow - Opmaakprofiel4 2 24 4 3 4" xfId="30710"/>
    <cellStyle name="TotRow - Opmaakprofiel4 2 24 4 3 5" xfId="43933"/>
    <cellStyle name="TotRow - Opmaakprofiel4 2 24 4 3 6" xfId="51434"/>
    <cellStyle name="TotRow - Opmaakprofiel4 2 24 4 4" xfId="3968"/>
    <cellStyle name="TotRow - Opmaakprofiel4 2 24 4 4 2" xfId="12038"/>
    <cellStyle name="TotRow - Opmaakprofiel4 2 24 4 4 2 2" xfId="24337"/>
    <cellStyle name="TotRow - Opmaakprofiel4 2 24 4 4 2 3" xfId="36389"/>
    <cellStyle name="TotRow - Opmaakprofiel4 2 24 4 4 2 4" xfId="47112"/>
    <cellStyle name="TotRow - Opmaakprofiel4 2 24 4 4 2 5" xfId="57003"/>
    <cellStyle name="TotRow - Opmaakprofiel4 2 24 4 4 3" xfId="18659"/>
    <cellStyle name="TotRow - Opmaakprofiel4 2 24 4 4 4" xfId="30711"/>
    <cellStyle name="TotRow - Opmaakprofiel4 2 24 4 4 5" xfId="37369"/>
    <cellStyle name="TotRow - Opmaakprofiel4 2 24 4 4 6" xfId="51435"/>
    <cellStyle name="TotRow - Opmaakprofiel4 2 24 4 5" xfId="6725"/>
    <cellStyle name="TotRow - Opmaakprofiel4 2 24 4 5 2" xfId="12039"/>
    <cellStyle name="TotRow - Opmaakprofiel4 2 24 4 5 2 2" xfId="24338"/>
    <cellStyle name="TotRow - Opmaakprofiel4 2 24 4 5 2 3" xfId="36390"/>
    <cellStyle name="TotRow - Opmaakprofiel4 2 24 4 5 2 4" xfId="47113"/>
    <cellStyle name="TotRow - Opmaakprofiel4 2 24 4 5 2 5" xfId="57004"/>
    <cellStyle name="TotRow - Opmaakprofiel4 2 24 4 5 3" xfId="18660"/>
    <cellStyle name="TotRow - Opmaakprofiel4 2 24 4 5 4" xfId="30712"/>
    <cellStyle name="TotRow - Opmaakprofiel4 2 24 4 5 5" xfId="43932"/>
    <cellStyle name="TotRow - Opmaakprofiel4 2 24 4 5 6" xfId="51436"/>
    <cellStyle name="TotRow - Opmaakprofiel4 2 24 4 6" xfId="6726"/>
    <cellStyle name="TotRow - Opmaakprofiel4 2 24 4 6 2" xfId="12040"/>
    <cellStyle name="TotRow - Opmaakprofiel4 2 24 4 6 2 2" xfId="24339"/>
    <cellStyle name="TotRow - Opmaakprofiel4 2 24 4 6 2 3" xfId="36391"/>
    <cellStyle name="TotRow - Opmaakprofiel4 2 24 4 6 2 4" xfId="47114"/>
    <cellStyle name="TotRow - Opmaakprofiel4 2 24 4 6 2 5" xfId="57005"/>
    <cellStyle name="TotRow - Opmaakprofiel4 2 24 4 6 3" xfId="18661"/>
    <cellStyle name="TotRow - Opmaakprofiel4 2 24 4 6 4" xfId="30713"/>
    <cellStyle name="TotRow - Opmaakprofiel4 2 24 4 6 5" xfId="37368"/>
    <cellStyle name="TotRow - Opmaakprofiel4 2 24 4 6 6" xfId="51437"/>
    <cellStyle name="TotRow - Opmaakprofiel4 2 24 4 7" xfId="6727"/>
    <cellStyle name="TotRow - Opmaakprofiel4 2 24 4 7 2" xfId="18662"/>
    <cellStyle name="TotRow - Opmaakprofiel4 2 24 4 7 3" xfId="30714"/>
    <cellStyle name="TotRow - Opmaakprofiel4 2 24 4 7 4" xfId="37367"/>
    <cellStyle name="TotRow - Opmaakprofiel4 2 24 4 7 5" xfId="51438"/>
    <cellStyle name="TotRow - Opmaakprofiel4 2 24 4 8" xfId="7226"/>
    <cellStyle name="TotRow - Opmaakprofiel4 2 24 4 8 2" xfId="19524"/>
    <cellStyle name="TotRow - Opmaakprofiel4 2 24 4 8 3" xfId="41327"/>
    <cellStyle name="TotRow - Opmaakprofiel4 2 24 4 8 4" xfId="43597"/>
    <cellStyle name="TotRow - Opmaakprofiel4 2 24 4 8 5" xfId="52196"/>
    <cellStyle name="TotRow - Opmaakprofiel4 2 24 4 9" xfId="18656"/>
    <cellStyle name="TotRow - Opmaakprofiel4 2 24 5" xfId="1224"/>
    <cellStyle name="TotRow - Opmaakprofiel4 2 24 5 2" xfId="1755"/>
    <cellStyle name="TotRow - Opmaakprofiel4 2 24 5 2 2" xfId="12041"/>
    <cellStyle name="TotRow - Opmaakprofiel4 2 24 5 2 2 2" xfId="24340"/>
    <cellStyle name="TotRow - Opmaakprofiel4 2 24 5 2 2 3" xfId="36392"/>
    <cellStyle name="TotRow - Opmaakprofiel4 2 24 5 2 2 4" xfId="47115"/>
    <cellStyle name="TotRow - Opmaakprofiel4 2 24 5 2 2 5" xfId="57006"/>
    <cellStyle name="TotRow - Opmaakprofiel4 2 24 5 2 3" xfId="18664"/>
    <cellStyle name="TotRow - Opmaakprofiel4 2 24 5 2 4" xfId="30716"/>
    <cellStyle name="TotRow - Opmaakprofiel4 2 24 5 2 5" xfId="37366"/>
    <cellStyle name="TotRow - Opmaakprofiel4 2 24 5 2 6" xfId="51439"/>
    <cellStyle name="TotRow - Opmaakprofiel4 2 24 5 3" xfId="3235"/>
    <cellStyle name="TotRow - Opmaakprofiel4 2 24 5 3 2" xfId="12042"/>
    <cellStyle name="TotRow - Opmaakprofiel4 2 24 5 3 2 2" xfId="24341"/>
    <cellStyle name="TotRow - Opmaakprofiel4 2 24 5 3 2 3" xfId="36393"/>
    <cellStyle name="TotRow - Opmaakprofiel4 2 24 5 3 2 4" xfId="47116"/>
    <cellStyle name="TotRow - Opmaakprofiel4 2 24 5 3 2 5" xfId="57007"/>
    <cellStyle name="TotRow - Opmaakprofiel4 2 24 5 3 3" xfId="18665"/>
    <cellStyle name="TotRow - Opmaakprofiel4 2 24 5 3 4" xfId="30717"/>
    <cellStyle name="TotRow - Opmaakprofiel4 2 24 5 3 5" xfId="43930"/>
    <cellStyle name="TotRow - Opmaakprofiel4 2 24 5 3 6" xfId="51440"/>
    <cellStyle name="TotRow - Opmaakprofiel4 2 24 5 4" xfId="4050"/>
    <cellStyle name="TotRow - Opmaakprofiel4 2 24 5 4 2" xfId="12043"/>
    <cellStyle name="TotRow - Opmaakprofiel4 2 24 5 4 2 2" xfId="24342"/>
    <cellStyle name="TotRow - Opmaakprofiel4 2 24 5 4 2 3" xfId="36394"/>
    <cellStyle name="TotRow - Opmaakprofiel4 2 24 5 4 2 4" xfId="47117"/>
    <cellStyle name="TotRow - Opmaakprofiel4 2 24 5 4 2 5" xfId="57008"/>
    <cellStyle name="TotRow - Opmaakprofiel4 2 24 5 4 3" xfId="18666"/>
    <cellStyle name="TotRow - Opmaakprofiel4 2 24 5 4 4" xfId="30718"/>
    <cellStyle name="TotRow - Opmaakprofiel4 2 24 5 4 5" xfId="37365"/>
    <cellStyle name="TotRow - Opmaakprofiel4 2 24 5 4 6" xfId="51441"/>
    <cellStyle name="TotRow - Opmaakprofiel4 2 24 5 5" xfId="6728"/>
    <cellStyle name="TotRow - Opmaakprofiel4 2 24 5 5 2" xfId="12044"/>
    <cellStyle name="TotRow - Opmaakprofiel4 2 24 5 5 2 2" xfId="24343"/>
    <cellStyle name="TotRow - Opmaakprofiel4 2 24 5 5 2 3" xfId="36395"/>
    <cellStyle name="TotRow - Opmaakprofiel4 2 24 5 5 2 4" xfId="47118"/>
    <cellStyle name="TotRow - Opmaakprofiel4 2 24 5 5 2 5" xfId="57009"/>
    <cellStyle name="TotRow - Opmaakprofiel4 2 24 5 5 3" xfId="18667"/>
    <cellStyle name="TotRow - Opmaakprofiel4 2 24 5 5 4" xfId="30719"/>
    <cellStyle name="TotRow - Opmaakprofiel4 2 24 5 5 5" xfId="43929"/>
    <cellStyle name="TotRow - Opmaakprofiel4 2 24 5 5 6" xfId="51442"/>
    <cellStyle name="TotRow - Opmaakprofiel4 2 24 5 6" xfId="6729"/>
    <cellStyle name="TotRow - Opmaakprofiel4 2 24 5 6 2" xfId="12045"/>
    <cellStyle name="TotRow - Opmaakprofiel4 2 24 5 6 2 2" xfId="24344"/>
    <cellStyle name="TotRow - Opmaakprofiel4 2 24 5 6 2 3" xfId="36396"/>
    <cellStyle name="TotRow - Opmaakprofiel4 2 24 5 6 2 4" xfId="47119"/>
    <cellStyle name="TotRow - Opmaakprofiel4 2 24 5 6 2 5" xfId="57010"/>
    <cellStyle name="TotRow - Opmaakprofiel4 2 24 5 6 3" xfId="18668"/>
    <cellStyle name="TotRow - Opmaakprofiel4 2 24 5 6 4" xfId="30720"/>
    <cellStyle name="TotRow - Opmaakprofiel4 2 24 5 6 5" xfId="37364"/>
    <cellStyle name="TotRow - Opmaakprofiel4 2 24 5 6 6" xfId="51443"/>
    <cellStyle name="TotRow - Opmaakprofiel4 2 24 5 7" xfId="6730"/>
    <cellStyle name="TotRow - Opmaakprofiel4 2 24 5 7 2" xfId="18669"/>
    <cellStyle name="TotRow - Opmaakprofiel4 2 24 5 7 3" xfId="30721"/>
    <cellStyle name="TotRow - Opmaakprofiel4 2 24 5 7 4" xfId="43928"/>
    <cellStyle name="TotRow - Opmaakprofiel4 2 24 5 7 5" xfId="51444"/>
    <cellStyle name="TotRow - Opmaakprofiel4 2 24 5 8" xfId="7150"/>
    <cellStyle name="TotRow - Opmaakprofiel4 2 24 5 8 2" xfId="19448"/>
    <cellStyle name="TotRow - Opmaakprofiel4 2 24 5 8 3" xfId="41251"/>
    <cellStyle name="TotRow - Opmaakprofiel4 2 24 5 8 4" xfId="43629"/>
    <cellStyle name="TotRow - Opmaakprofiel4 2 24 5 8 5" xfId="52120"/>
    <cellStyle name="TotRow - Opmaakprofiel4 2 24 5 9" xfId="18663"/>
    <cellStyle name="TotRow - Opmaakprofiel4 2 24 6" xfId="477"/>
    <cellStyle name="TotRow - Opmaakprofiel4 2 24 6 2" xfId="2103"/>
    <cellStyle name="TotRow - Opmaakprofiel4 2 24 6 2 2" xfId="12046"/>
    <cellStyle name="TotRow - Opmaakprofiel4 2 24 6 2 2 2" xfId="24345"/>
    <cellStyle name="TotRow - Opmaakprofiel4 2 24 6 2 2 3" xfId="36397"/>
    <cellStyle name="TotRow - Opmaakprofiel4 2 24 6 2 2 4" xfId="47120"/>
    <cellStyle name="TotRow - Opmaakprofiel4 2 24 6 2 2 5" xfId="57011"/>
    <cellStyle name="TotRow - Opmaakprofiel4 2 24 6 2 3" xfId="18671"/>
    <cellStyle name="TotRow - Opmaakprofiel4 2 24 6 2 4" xfId="30723"/>
    <cellStyle name="TotRow - Opmaakprofiel4 2 24 6 2 5" xfId="43927"/>
    <cellStyle name="TotRow - Opmaakprofiel4 2 24 6 2 6" xfId="51445"/>
    <cellStyle name="TotRow - Opmaakprofiel4 2 24 6 3" xfId="2548"/>
    <cellStyle name="TotRow - Opmaakprofiel4 2 24 6 3 2" xfId="12047"/>
    <cellStyle name="TotRow - Opmaakprofiel4 2 24 6 3 2 2" xfId="24346"/>
    <cellStyle name="TotRow - Opmaakprofiel4 2 24 6 3 2 3" xfId="36398"/>
    <cellStyle name="TotRow - Opmaakprofiel4 2 24 6 3 2 4" xfId="47121"/>
    <cellStyle name="TotRow - Opmaakprofiel4 2 24 6 3 2 5" xfId="57012"/>
    <cellStyle name="TotRow - Opmaakprofiel4 2 24 6 3 3" xfId="18672"/>
    <cellStyle name="TotRow - Opmaakprofiel4 2 24 6 3 4" xfId="30724"/>
    <cellStyle name="TotRow - Opmaakprofiel4 2 24 6 3 5" xfId="37362"/>
    <cellStyle name="TotRow - Opmaakprofiel4 2 24 6 3 6" xfId="51446"/>
    <cellStyle name="TotRow - Opmaakprofiel4 2 24 6 4" xfId="3434"/>
    <cellStyle name="TotRow - Opmaakprofiel4 2 24 6 4 2" xfId="12048"/>
    <cellStyle name="TotRow - Opmaakprofiel4 2 24 6 4 2 2" xfId="24347"/>
    <cellStyle name="TotRow - Opmaakprofiel4 2 24 6 4 2 3" xfId="36399"/>
    <cellStyle name="TotRow - Opmaakprofiel4 2 24 6 4 2 4" xfId="47122"/>
    <cellStyle name="TotRow - Opmaakprofiel4 2 24 6 4 2 5" xfId="57013"/>
    <cellStyle name="TotRow - Opmaakprofiel4 2 24 6 4 3" xfId="18673"/>
    <cellStyle name="TotRow - Opmaakprofiel4 2 24 6 4 4" xfId="30725"/>
    <cellStyle name="TotRow - Opmaakprofiel4 2 24 6 4 5" xfId="37361"/>
    <cellStyle name="TotRow - Opmaakprofiel4 2 24 6 4 6" xfId="51447"/>
    <cellStyle name="TotRow - Opmaakprofiel4 2 24 6 5" xfId="6731"/>
    <cellStyle name="TotRow - Opmaakprofiel4 2 24 6 5 2" xfId="12049"/>
    <cellStyle name="TotRow - Opmaakprofiel4 2 24 6 5 2 2" xfId="24348"/>
    <cellStyle name="TotRow - Opmaakprofiel4 2 24 6 5 2 3" xfId="36400"/>
    <cellStyle name="TotRow - Opmaakprofiel4 2 24 6 5 2 4" xfId="47123"/>
    <cellStyle name="TotRow - Opmaakprofiel4 2 24 6 5 2 5" xfId="57014"/>
    <cellStyle name="TotRow - Opmaakprofiel4 2 24 6 5 3" xfId="18674"/>
    <cellStyle name="TotRow - Opmaakprofiel4 2 24 6 5 4" xfId="30726"/>
    <cellStyle name="TotRow - Opmaakprofiel4 2 24 6 5 5" xfId="37360"/>
    <cellStyle name="TotRow - Opmaakprofiel4 2 24 6 5 6" xfId="51448"/>
    <cellStyle name="TotRow - Opmaakprofiel4 2 24 6 6" xfId="6732"/>
    <cellStyle name="TotRow - Opmaakprofiel4 2 24 6 6 2" xfId="12050"/>
    <cellStyle name="TotRow - Opmaakprofiel4 2 24 6 6 2 2" xfId="24349"/>
    <cellStyle name="TotRow - Opmaakprofiel4 2 24 6 6 2 3" xfId="36401"/>
    <cellStyle name="TotRow - Opmaakprofiel4 2 24 6 6 2 4" xfId="47124"/>
    <cellStyle name="TotRow - Opmaakprofiel4 2 24 6 6 2 5" xfId="57015"/>
    <cellStyle name="TotRow - Opmaakprofiel4 2 24 6 6 3" xfId="18675"/>
    <cellStyle name="TotRow - Opmaakprofiel4 2 24 6 6 4" xfId="30727"/>
    <cellStyle name="TotRow - Opmaakprofiel4 2 24 6 6 5" xfId="43925"/>
    <cellStyle name="TotRow - Opmaakprofiel4 2 24 6 6 6" xfId="51449"/>
    <cellStyle name="TotRow - Opmaakprofiel4 2 24 6 7" xfId="6733"/>
    <cellStyle name="TotRow - Opmaakprofiel4 2 24 6 7 2" xfId="18676"/>
    <cellStyle name="TotRow - Opmaakprofiel4 2 24 6 7 3" xfId="30728"/>
    <cellStyle name="TotRow - Opmaakprofiel4 2 24 6 7 4" xfId="37359"/>
    <cellStyle name="TotRow - Opmaakprofiel4 2 24 6 7 5" xfId="51450"/>
    <cellStyle name="TotRow - Opmaakprofiel4 2 24 6 8" xfId="7664"/>
    <cellStyle name="TotRow - Opmaakprofiel4 2 24 6 8 2" xfId="19962"/>
    <cellStyle name="TotRow - Opmaakprofiel4 2 24 6 8 3" xfId="41765"/>
    <cellStyle name="TotRow - Opmaakprofiel4 2 24 6 8 4" xfId="34870"/>
    <cellStyle name="TotRow - Opmaakprofiel4 2 24 6 8 5" xfId="52634"/>
    <cellStyle name="TotRow - Opmaakprofiel4 2 24 6 9" xfId="18670"/>
    <cellStyle name="TotRow - Opmaakprofiel4 2 24 7" xfId="173"/>
    <cellStyle name="TotRow - Opmaakprofiel4 2 24 7 2" xfId="12051"/>
    <cellStyle name="TotRow - Opmaakprofiel4 2 24 7 2 2" xfId="24350"/>
    <cellStyle name="TotRow - Opmaakprofiel4 2 24 7 2 3" xfId="36402"/>
    <cellStyle name="TotRow - Opmaakprofiel4 2 24 7 2 4" xfId="47125"/>
    <cellStyle name="TotRow - Opmaakprofiel4 2 24 7 2 5" xfId="57016"/>
    <cellStyle name="TotRow - Opmaakprofiel4 2 24 7 3" xfId="18677"/>
    <cellStyle name="TotRow - Opmaakprofiel4 2 24 7 4" xfId="30729"/>
    <cellStyle name="TotRow - Opmaakprofiel4 2 24 7 5" xfId="43924"/>
    <cellStyle name="TotRow - Opmaakprofiel4 2 24 7 6" xfId="51451"/>
    <cellStyle name="TotRow - Opmaakprofiel4 2 24 8" xfId="2821"/>
    <cellStyle name="TotRow - Opmaakprofiel4 2 24 8 2" xfId="12052"/>
    <cellStyle name="TotRow - Opmaakprofiel4 2 24 8 2 2" xfId="24351"/>
    <cellStyle name="TotRow - Opmaakprofiel4 2 24 8 2 3" xfId="36403"/>
    <cellStyle name="TotRow - Opmaakprofiel4 2 24 8 2 4" xfId="47126"/>
    <cellStyle name="TotRow - Opmaakprofiel4 2 24 8 2 5" xfId="57017"/>
    <cellStyle name="TotRow - Opmaakprofiel4 2 24 8 3" xfId="18678"/>
    <cellStyle name="TotRow - Opmaakprofiel4 2 24 8 4" xfId="30730"/>
    <cellStyle name="TotRow - Opmaakprofiel4 2 24 8 5" xfId="37358"/>
    <cellStyle name="TotRow - Opmaakprofiel4 2 24 8 6" xfId="51452"/>
    <cellStyle name="TotRow - Opmaakprofiel4 2 24 9" xfId="3680"/>
    <cellStyle name="TotRow - Opmaakprofiel4 2 24 9 2" xfId="12053"/>
    <cellStyle name="TotRow - Opmaakprofiel4 2 24 9 2 2" xfId="24352"/>
    <cellStyle name="TotRow - Opmaakprofiel4 2 24 9 2 3" xfId="36404"/>
    <cellStyle name="TotRow - Opmaakprofiel4 2 24 9 2 4" xfId="47127"/>
    <cellStyle name="TotRow - Opmaakprofiel4 2 24 9 2 5" xfId="57018"/>
    <cellStyle name="TotRow - Opmaakprofiel4 2 24 9 3" xfId="18679"/>
    <cellStyle name="TotRow - Opmaakprofiel4 2 24 9 4" xfId="30731"/>
    <cellStyle name="TotRow - Opmaakprofiel4 2 24 9 5" xfId="43923"/>
    <cellStyle name="TotRow - Opmaakprofiel4 2 24 9 6" xfId="51453"/>
    <cellStyle name="TotRow - Opmaakprofiel4 2 25" xfId="518"/>
    <cellStyle name="TotRow - Opmaakprofiel4 2 25 2" xfId="1914"/>
    <cellStyle name="TotRow - Opmaakprofiel4 2 25 2 2" xfId="12054"/>
    <cellStyle name="TotRow - Opmaakprofiel4 2 25 2 2 2" xfId="24353"/>
    <cellStyle name="TotRow - Opmaakprofiel4 2 25 2 2 3" xfId="36405"/>
    <cellStyle name="TotRow - Opmaakprofiel4 2 25 2 2 4" xfId="47128"/>
    <cellStyle name="TotRow - Opmaakprofiel4 2 25 2 2 5" xfId="57019"/>
    <cellStyle name="TotRow - Opmaakprofiel4 2 25 2 3" xfId="18681"/>
    <cellStyle name="TotRow - Opmaakprofiel4 2 25 2 4" xfId="30733"/>
    <cellStyle name="TotRow - Opmaakprofiel4 2 25 2 5" xfId="43922"/>
    <cellStyle name="TotRow - Opmaakprofiel4 2 25 2 6" xfId="51454"/>
    <cellStyle name="TotRow - Opmaakprofiel4 2 25 3" xfId="2589"/>
    <cellStyle name="TotRow - Opmaakprofiel4 2 25 3 2" xfId="12055"/>
    <cellStyle name="TotRow - Opmaakprofiel4 2 25 3 2 2" xfId="24354"/>
    <cellStyle name="TotRow - Opmaakprofiel4 2 25 3 2 3" xfId="36406"/>
    <cellStyle name="TotRow - Opmaakprofiel4 2 25 3 2 4" xfId="47129"/>
    <cellStyle name="TotRow - Opmaakprofiel4 2 25 3 2 5" xfId="57020"/>
    <cellStyle name="TotRow - Opmaakprofiel4 2 25 3 3" xfId="18682"/>
    <cellStyle name="TotRow - Opmaakprofiel4 2 25 3 4" xfId="30734"/>
    <cellStyle name="TotRow - Opmaakprofiel4 2 25 3 5" xfId="37357"/>
    <cellStyle name="TotRow - Opmaakprofiel4 2 25 3 6" xfId="51455"/>
    <cellStyle name="TotRow - Opmaakprofiel4 2 25 4" xfId="3470"/>
    <cellStyle name="TotRow - Opmaakprofiel4 2 25 4 2" xfId="12056"/>
    <cellStyle name="TotRow - Opmaakprofiel4 2 25 4 2 2" xfId="24355"/>
    <cellStyle name="TotRow - Opmaakprofiel4 2 25 4 2 3" xfId="36407"/>
    <cellStyle name="TotRow - Opmaakprofiel4 2 25 4 2 4" xfId="47130"/>
    <cellStyle name="TotRow - Opmaakprofiel4 2 25 4 2 5" xfId="57021"/>
    <cellStyle name="TotRow - Opmaakprofiel4 2 25 4 3" xfId="18683"/>
    <cellStyle name="TotRow - Opmaakprofiel4 2 25 4 4" xfId="30735"/>
    <cellStyle name="TotRow - Opmaakprofiel4 2 25 4 5" xfId="43921"/>
    <cellStyle name="TotRow - Opmaakprofiel4 2 25 4 6" xfId="51456"/>
    <cellStyle name="TotRow - Opmaakprofiel4 2 25 5" xfId="6734"/>
    <cellStyle name="TotRow - Opmaakprofiel4 2 25 5 2" xfId="12057"/>
    <cellStyle name="TotRow - Opmaakprofiel4 2 25 5 2 2" xfId="24356"/>
    <cellStyle name="TotRow - Opmaakprofiel4 2 25 5 2 3" xfId="36408"/>
    <cellStyle name="TotRow - Opmaakprofiel4 2 25 5 2 4" xfId="47131"/>
    <cellStyle name="TotRow - Opmaakprofiel4 2 25 5 2 5" xfId="57022"/>
    <cellStyle name="TotRow - Opmaakprofiel4 2 25 5 3" xfId="18684"/>
    <cellStyle name="TotRow - Opmaakprofiel4 2 25 5 4" xfId="30736"/>
    <cellStyle name="TotRow - Opmaakprofiel4 2 25 5 5" xfId="37356"/>
    <cellStyle name="TotRow - Opmaakprofiel4 2 25 5 6" xfId="51457"/>
    <cellStyle name="TotRow - Opmaakprofiel4 2 25 6" xfId="6735"/>
    <cellStyle name="TotRow - Opmaakprofiel4 2 25 6 2" xfId="12058"/>
    <cellStyle name="TotRow - Opmaakprofiel4 2 25 6 2 2" xfId="24357"/>
    <cellStyle name="TotRow - Opmaakprofiel4 2 25 6 2 3" xfId="36409"/>
    <cellStyle name="TotRow - Opmaakprofiel4 2 25 6 2 4" xfId="47132"/>
    <cellStyle name="TotRow - Opmaakprofiel4 2 25 6 2 5" xfId="57023"/>
    <cellStyle name="TotRow - Opmaakprofiel4 2 25 6 3" xfId="18685"/>
    <cellStyle name="TotRow - Opmaakprofiel4 2 25 6 4" xfId="30737"/>
    <cellStyle name="TotRow - Opmaakprofiel4 2 25 6 5" xfId="37355"/>
    <cellStyle name="TotRow - Opmaakprofiel4 2 25 6 6" xfId="51458"/>
    <cellStyle name="TotRow - Opmaakprofiel4 2 25 7" xfId="6736"/>
    <cellStyle name="TotRow - Opmaakprofiel4 2 25 7 2" xfId="18686"/>
    <cellStyle name="TotRow - Opmaakprofiel4 2 25 7 3" xfId="30738"/>
    <cellStyle name="TotRow - Opmaakprofiel4 2 25 7 4" xfId="37354"/>
    <cellStyle name="TotRow - Opmaakprofiel4 2 25 7 5" xfId="51459"/>
    <cellStyle name="TotRow - Opmaakprofiel4 2 25 8" xfId="10328"/>
    <cellStyle name="TotRow - Opmaakprofiel4 2 25 8 2" xfId="22626"/>
    <cellStyle name="TotRow - Opmaakprofiel4 2 25 8 3" xfId="44387"/>
    <cellStyle name="TotRow - Opmaakprofiel4 2 25 8 4" xfId="42320"/>
    <cellStyle name="TotRow - Opmaakprofiel4 2 25 8 5" xfId="55293"/>
    <cellStyle name="TotRow - Opmaakprofiel4 2 25 9" xfId="18680"/>
    <cellStyle name="TotRow - Opmaakprofiel4 2 26" xfId="589"/>
    <cellStyle name="TotRow - Opmaakprofiel4 2 26 2" xfId="1856"/>
    <cellStyle name="TotRow - Opmaakprofiel4 2 26 2 2" xfId="12059"/>
    <cellStyle name="TotRow - Opmaakprofiel4 2 26 2 2 2" xfId="24358"/>
    <cellStyle name="TotRow - Opmaakprofiel4 2 26 2 2 3" xfId="36410"/>
    <cellStyle name="TotRow - Opmaakprofiel4 2 26 2 2 4" xfId="47133"/>
    <cellStyle name="TotRow - Opmaakprofiel4 2 26 2 2 5" xfId="57024"/>
    <cellStyle name="TotRow - Opmaakprofiel4 2 26 2 3" xfId="18688"/>
    <cellStyle name="TotRow - Opmaakprofiel4 2 26 2 4" xfId="30740"/>
    <cellStyle name="TotRow - Opmaakprofiel4 2 26 2 5" xfId="37353"/>
    <cellStyle name="TotRow - Opmaakprofiel4 2 26 2 6" xfId="51460"/>
    <cellStyle name="TotRow - Opmaakprofiel4 2 26 3" xfId="2660"/>
    <cellStyle name="TotRow - Opmaakprofiel4 2 26 3 2" xfId="12060"/>
    <cellStyle name="TotRow - Opmaakprofiel4 2 26 3 2 2" xfId="24359"/>
    <cellStyle name="TotRow - Opmaakprofiel4 2 26 3 2 3" xfId="36411"/>
    <cellStyle name="TotRow - Opmaakprofiel4 2 26 3 2 4" xfId="47134"/>
    <cellStyle name="TotRow - Opmaakprofiel4 2 26 3 2 5" xfId="57025"/>
    <cellStyle name="TotRow - Opmaakprofiel4 2 26 3 3" xfId="18689"/>
    <cellStyle name="TotRow - Opmaakprofiel4 2 26 3 4" xfId="30741"/>
    <cellStyle name="TotRow - Opmaakprofiel4 2 26 3 5" xfId="43918"/>
    <cellStyle name="TotRow - Opmaakprofiel4 2 26 3 6" xfId="51461"/>
    <cellStyle name="TotRow - Opmaakprofiel4 2 26 4" xfId="3535"/>
    <cellStyle name="TotRow - Opmaakprofiel4 2 26 4 2" xfId="12061"/>
    <cellStyle name="TotRow - Opmaakprofiel4 2 26 4 2 2" xfId="24360"/>
    <cellStyle name="TotRow - Opmaakprofiel4 2 26 4 2 3" xfId="36412"/>
    <cellStyle name="TotRow - Opmaakprofiel4 2 26 4 2 4" xfId="47135"/>
    <cellStyle name="TotRow - Opmaakprofiel4 2 26 4 2 5" xfId="57026"/>
    <cellStyle name="TotRow - Opmaakprofiel4 2 26 4 3" xfId="18690"/>
    <cellStyle name="TotRow - Opmaakprofiel4 2 26 4 4" xfId="30742"/>
    <cellStyle name="TotRow - Opmaakprofiel4 2 26 4 5" xfId="37352"/>
    <cellStyle name="TotRow - Opmaakprofiel4 2 26 4 6" xfId="51462"/>
    <cellStyle name="TotRow - Opmaakprofiel4 2 26 5" xfId="6737"/>
    <cellStyle name="TotRow - Opmaakprofiel4 2 26 5 2" xfId="12062"/>
    <cellStyle name="TotRow - Opmaakprofiel4 2 26 5 2 2" xfId="24361"/>
    <cellStyle name="TotRow - Opmaakprofiel4 2 26 5 2 3" xfId="36413"/>
    <cellStyle name="TotRow - Opmaakprofiel4 2 26 5 2 4" xfId="47136"/>
    <cellStyle name="TotRow - Opmaakprofiel4 2 26 5 2 5" xfId="57027"/>
    <cellStyle name="TotRow - Opmaakprofiel4 2 26 5 3" xfId="18691"/>
    <cellStyle name="TotRow - Opmaakprofiel4 2 26 5 4" xfId="30743"/>
    <cellStyle name="TotRow - Opmaakprofiel4 2 26 5 5" xfId="43917"/>
    <cellStyle name="TotRow - Opmaakprofiel4 2 26 5 6" xfId="51463"/>
    <cellStyle name="TotRow - Opmaakprofiel4 2 26 6" xfId="6738"/>
    <cellStyle name="TotRow - Opmaakprofiel4 2 26 6 2" xfId="12063"/>
    <cellStyle name="TotRow - Opmaakprofiel4 2 26 6 2 2" xfId="24362"/>
    <cellStyle name="TotRow - Opmaakprofiel4 2 26 6 2 3" xfId="36414"/>
    <cellStyle name="TotRow - Opmaakprofiel4 2 26 6 2 4" xfId="47137"/>
    <cellStyle name="TotRow - Opmaakprofiel4 2 26 6 2 5" xfId="57028"/>
    <cellStyle name="TotRow - Opmaakprofiel4 2 26 6 3" xfId="18692"/>
    <cellStyle name="TotRow - Opmaakprofiel4 2 26 6 4" xfId="30744"/>
    <cellStyle name="TotRow - Opmaakprofiel4 2 26 6 5" xfId="37351"/>
    <cellStyle name="TotRow - Opmaakprofiel4 2 26 6 6" xfId="51464"/>
    <cellStyle name="TotRow - Opmaakprofiel4 2 26 7" xfId="6739"/>
    <cellStyle name="TotRow - Opmaakprofiel4 2 26 7 2" xfId="18693"/>
    <cellStyle name="TotRow - Opmaakprofiel4 2 26 7 3" xfId="30745"/>
    <cellStyle name="TotRow - Opmaakprofiel4 2 26 7 4" xfId="43916"/>
    <cellStyle name="TotRow - Opmaakprofiel4 2 26 7 5" xfId="51465"/>
    <cellStyle name="TotRow - Opmaakprofiel4 2 26 8" xfId="7590"/>
    <cellStyle name="TotRow - Opmaakprofiel4 2 26 8 2" xfId="19888"/>
    <cellStyle name="TotRow - Opmaakprofiel4 2 26 8 3" xfId="41691"/>
    <cellStyle name="TotRow - Opmaakprofiel4 2 26 8 4" xfId="24870"/>
    <cellStyle name="TotRow - Opmaakprofiel4 2 26 8 5" xfId="52560"/>
    <cellStyle name="TotRow - Opmaakprofiel4 2 26 9" xfId="18687"/>
    <cellStyle name="TotRow - Opmaakprofiel4 2 27" xfId="851"/>
    <cellStyle name="TotRow - Opmaakprofiel4 2 27 2" xfId="1481"/>
    <cellStyle name="TotRow - Opmaakprofiel4 2 27 2 2" xfId="12064"/>
    <cellStyle name="TotRow - Opmaakprofiel4 2 27 2 2 2" xfId="24363"/>
    <cellStyle name="TotRow - Opmaakprofiel4 2 27 2 2 3" xfId="36415"/>
    <cellStyle name="TotRow - Opmaakprofiel4 2 27 2 2 4" xfId="47138"/>
    <cellStyle name="TotRow - Opmaakprofiel4 2 27 2 2 5" xfId="57029"/>
    <cellStyle name="TotRow - Opmaakprofiel4 2 27 2 3" xfId="18695"/>
    <cellStyle name="TotRow - Opmaakprofiel4 2 27 2 4" xfId="30747"/>
    <cellStyle name="TotRow - Opmaakprofiel4 2 27 2 5" xfId="43915"/>
    <cellStyle name="TotRow - Opmaakprofiel4 2 27 2 6" xfId="51466"/>
    <cellStyle name="TotRow - Opmaakprofiel4 2 27 3" xfId="2862"/>
    <cellStyle name="TotRow - Opmaakprofiel4 2 27 3 2" xfId="12065"/>
    <cellStyle name="TotRow - Opmaakprofiel4 2 27 3 2 2" xfId="24364"/>
    <cellStyle name="TotRow - Opmaakprofiel4 2 27 3 2 3" xfId="36416"/>
    <cellStyle name="TotRow - Opmaakprofiel4 2 27 3 2 4" xfId="47139"/>
    <cellStyle name="TotRow - Opmaakprofiel4 2 27 3 2 5" xfId="57030"/>
    <cellStyle name="TotRow - Opmaakprofiel4 2 27 3 3" xfId="18696"/>
    <cellStyle name="TotRow - Opmaakprofiel4 2 27 3 4" xfId="30748"/>
    <cellStyle name="TotRow - Opmaakprofiel4 2 27 3 5" xfId="37349"/>
    <cellStyle name="TotRow - Opmaakprofiel4 2 27 3 6" xfId="51467"/>
    <cellStyle name="TotRow - Opmaakprofiel4 2 27 4" xfId="3715"/>
    <cellStyle name="TotRow - Opmaakprofiel4 2 27 4 2" xfId="12066"/>
    <cellStyle name="TotRow - Opmaakprofiel4 2 27 4 2 2" xfId="24365"/>
    <cellStyle name="TotRow - Opmaakprofiel4 2 27 4 2 3" xfId="36417"/>
    <cellStyle name="TotRow - Opmaakprofiel4 2 27 4 2 4" xfId="47140"/>
    <cellStyle name="TotRow - Opmaakprofiel4 2 27 4 2 5" xfId="57031"/>
    <cellStyle name="TotRow - Opmaakprofiel4 2 27 4 3" xfId="18697"/>
    <cellStyle name="TotRow - Opmaakprofiel4 2 27 4 4" xfId="30749"/>
    <cellStyle name="TotRow - Opmaakprofiel4 2 27 4 5" xfId="37348"/>
    <cellStyle name="TotRow - Opmaakprofiel4 2 27 4 6" xfId="51468"/>
    <cellStyle name="TotRow - Opmaakprofiel4 2 27 5" xfId="6740"/>
    <cellStyle name="TotRow - Opmaakprofiel4 2 27 5 2" xfId="12067"/>
    <cellStyle name="TotRow - Opmaakprofiel4 2 27 5 2 2" xfId="24366"/>
    <cellStyle name="TotRow - Opmaakprofiel4 2 27 5 2 3" xfId="36418"/>
    <cellStyle name="TotRow - Opmaakprofiel4 2 27 5 2 4" xfId="47141"/>
    <cellStyle name="TotRow - Opmaakprofiel4 2 27 5 2 5" xfId="57032"/>
    <cellStyle name="TotRow - Opmaakprofiel4 2 27 5 3" xfId="18698"/>
    <cellStyle name="TotRow - Opmaakprofiel4 2 27 5 4" xfId="30750"/>
    <cellStyle name="TotRow - Opmaakprofiel4 2 27 5 5" xfId="37347"/>
    <cellStyle name="TotRow - Opmaakprofiel4 2 27 5 6" xfId="51469"/>
    <cellStyle name="TotRow - Opmaakprofiel4 2 27 6" xfId="6741"/>
    <cellStyle name="TotRow - Opmaakprofiel4 2 27 6 2" xfId="12068"/>
    <cellStyle name="TotRow - Opmaakprofiel4 2 27 6 2 2" xfId="24367"/>
    <cellStyle name="TotRow - Opmaakprofiel4 2 27 6 2 3" xfId="36419"/>
    <cellStyle name="TotRow - Opmaakprofiel4 2 27 6 2 4" xfId="47142"/>
    <cellStyle name="TotRow - Opmaakprofiel4 2 27 6 2 5" xfId="57033"/>
    <cellStyle name="TotRow - Opmaakprofiel4 2 27 6 3" xfId="18699"/>
    <cellStyle name="TotRow - Opmaakprofiel4 2 27 6 4" xfId="30751"/>
    <cellStyle name="TotRow - Opmaakprofiel4 2 27 6 5" xfId="43913"/>
    <cellStyle name="TotRow - Opmaakprofiel4 2 27 6 6" xfId="51470"/>
    <cellStyle name="TotRow - Opmaakprofiel4 2 27 7" xfId="6742"/>
    <cellStyle name="TotRow - Opmaakprofiel4 2 27 7 2" xfId="18700"/>
    <cellStyle name="TotRow - Opmaakprofiel4 2 27 7 3" xfId="30752"/>
    <cellStyle name="TotRow - Opmaakprofiel4 2 27 7 4" xfId="37346"/>
    <cellStyle name="TotRow - Opmaakprofiel4 2 27 7 5" xfId="51471"/>
    <cellStyle name="TotRow - Opmaakprofiel4 2 27 8" xfId="7412"/>
    <cellStyle name="TotRow - Opmaakprofiel4 2 27 8 2" xfId="19710"/>
    <cellStyle name="TotRow - Opmaakprofiel4 2 27 8 3" xfId="41513"/>
    <cellStyle name="TotRow - Opmaakprofiel4 2 27 8 4" xfId="43519"/>
    <cellStyle name="TotRow - Opmaakprofiel4 2 27 8 5" xfId="52382"/>
    <cellStyle name="TotRow - Opmaakprofiel4 2 27 9" xfId="18694"/>
    <cellStyle name="TotRow - Opmaakprofiel4 2 28" xfId="678"/>
    <cellStyle name="TotRow - Opmaakprofiel4 2 28 2" xfId="1663"/>
    <cellStyle name="TotRow - Opmaakprofiel4 2 28 2 2" xfId="12069"/>
    <cellStyle name="TotRow - Opmaakprofiel4 2 28 2 2 2" xfId="24368"/>
    <cellStyle name="TotRow - Opmaakprofiel4 2 28 2 2 3" xfId="36420"/>
    <cellStyle name="TotRow - Opmaakprofiel4 2 28 2 2 4" xfId="47143"/>
    <cellStyle name="TotRow - Opmaakprofiel4 2 28 2 2 5" xfId="57034"/>
    <cellStyle name="TotRow - Opmaakprofiel4 2 28 2 3" xfId="18702"/>
    <cellStyle name="TotRow - Opmaakprofiel4 2 28 2 4" xfId="30754"/>
    <cellStyle name="TotRow - Opmaakprofiel4 2 28 2 5" xfId="37345"/>
    <cellStyle name="TotRow - Opmaakprofiel4 2 28 2 6" xfId="51472"/>
    <cellStyle name="TotRow - Opmaakprofiel4 2 28 3" xfId="2744"/>
    <cellStyle name="TotRow - Opmaakprofiel4 2 28 3 2" xfId="12070"/>
    <cellStyle name="TotRow - Opmaakprofiel4 2 28 3 2 2" xfId="24369"/>
    <cellStyle name="TotRow - Opmaakprofiel4 2 28 3 2 3" xfId="36421"/>
    <cellStyle name="TotRow - Opmaakprofiel4 2 28 3 2 4" xfId="47144"/>
    <cellStyle name="TotRow - Opmaakprofiel4 2 28 3 2 5" xfId="57035"/>
    <cellStyle name="TotRow - Opmaakprofiel4 2 28 3 3" xfId="18703"/>
    <cellStyle name="TotRow - Opmaakprofiel4 2 28 3 4" xfId="30755"/>
    <cellStyle name="TotRow - Opmaakprofiel4 2 28 3 5" xfId="43911"/>
    <cellStyle name="TotRow - Opmaakprofiel4 2 28 3 6" xfId="51473"/>
    <cellStyle name="TotRow - Opmaakprofiel4 2 28 4" xfId="3609"/>
    <cellStyle name="TotRow - Opmaakprofiel4 2 28 4 2" xfId="12071"/>
    <cellStyle name="TotRow - Opmaakprofiel4 2 28 4 2 2" xfId="24370"/>
    <cellStyle name="TotRow - Opmaakprofiel4 2 28 4 2 3" xfId="36422"/>
    <cellStyle name="TotRow - Opmaakprofiel4 2 28 4 2 4" xfId="47145"/>
    <cellStyle name="TotRow - Opmaakprofiel4 2 28 4 2 5" xfId="57036"/>
    <cellStyle name="TotRow - Opmaakprofiel4 2 28 4 3" xfId="18704"/>
    <cellStyle name="TotRow - Opmaakprofiel4 2 28 4 4" xfId="30756"/>
    <cellStyle name="TotRow - Opmaakprofiel4 2 28 4 5" xfId="37344"/>
    <cellStyle name="TotRow - Opmaakprofiel4 2 28 4 6" xfId="51474"/>
    <cellStyle name="TotRow - Opmaakprofiel4 2 28 5" xfId="6743"/>
    <cellStyle name="TotRow - Opmaakprofiel4 2 28 5 2" xfId="12072"/>
    <cellStyle name="TotRow - Opmaakprofiel4 2 28 5 2 2" xfId="24371"/>
    <cellStyle name="TotRow - Opmaakprofiel4 2 28 5 2 3" xfId="36423"/>
    <cellStyle name="TotRow - Opmaakprofiel4 2 28 5 2 4" xfId="47146"/>
    <cellStyle name="TotRow - Opmaakprofiel4 2 28 5 2 5" xfId="57037"/>
    <cellStyle name="TotRow - Opmaakprofiel4 2 28 5 3" xfId="18705"/>
    <cellStyle name="TotRow - Opmaakprofiel4 2 28 5 4" xfId="30757"/>
    <cellStyle name="TotRow - Opmaakprofiel4 2 28 5 5" xfId="43910"/>
    <cellStyle name="TotRow - Opmaakprofiel4 2 28 5 6" xfId="51475"/>
    <cellStyle name="TotRow - Opmaakprofiel4 2 28 6" xfId="6744"/>
    <cellStyle name="TotRow - Opmaakprofiel4 2 28 6 2" xfId="12073"/>
    <cellStyle name="TotRow - Opmaakprofiel4 2 28 6 2 2" xfId="24372"/>
    <cellStyle name="TotRow - Opmaakprofiel4 2 28 6 2 3" xfId="36424"/>
    <cellStyle name="TotRow - Opmaakprofiel4 2 28 6 2 4" xfId="47147"/>
    <cellStyle name="TotRow - Opmaakprofiel4 2 28 6 2 5" xfId="57038"/>
    <cellStyle name="TotRow - Opmaakprofiel4 2 28 6 3" xfId="18706"/>
    <cellStyle name="TotRow - Opmaakprofiel4 2 28 6 4" xfId="30758"/>
    <cellStyle name="TotRow - Opmaakprofiel4 2 28 6 5" xfId="37343"/>
    <cellStyle name="TotRow - Opmaakprofiel4 2 28 6 6" xfId="51476"/>
    <cellStyle name="TotRow - Opmaakprofiel4 2 28 7" xfId="6745"/>
    <cellStyle name="TotRow - Opmaakprofiel4 2 28 7 2" xfId="18707"/>
    <cellStyle name="TotRow - Opmaakprofiel4 2 28 7 3" xfId="30759"/>
    <cellStyle name="TotRow - Opmaakprofiel4 2 28 7 4" xfId="43909"/>
    <cellStyle name="TotRow - Opmaakprofiel4 2 28 7 5" xfId="51477"/>
    <cellStyle name="TotRow - Opmaakprofiel4 2 28 8" xfId="7530"/>
    <cellStyle name="TotRow - Opmaakprofiel4 2 28 8 2" xfId="19828"/>
    <cellStyle name="TotRow - Opmaakprofiel4 2 28 8 3" xfId="41631"/>
    <cellStyle name="TotRow - Opmaakprofiel4 2 28 8 4" xfId="43470"/>
    <cellStyle name="TotRow - Opmaakprofiel4 2 28 8 5" xfId="52500"/>
    <cellStyle name="TotRow - Opmaakprofiel4 2 28 9" xfId="18701"/>
    <cellStyle name="TotRow - Opmaakprofiel4 2 29" xfId="495"/>
    <cellStyle name="TotRow - Opmaakprofiel4 2 29 2" xfId="2099"/>
    <cellStyle name="TotRow - Opmaakprofiel4 2 29 2 2" xfId="12074"/>
    <cellStyle name="TotRow - Opmaakprofiel4 2 29 2 2 2" xfId="24373"/>
    <cellStyle name="TotRow - Opmaakprofiel4 2 29 2 2 3" xfId="36425"/>
    <cellStyle name="TotRow - Opmaakprofiel4 2 29 2 2 4" xfId="47148"/>
    <cellStyle name="TotRow - Opmaakprofiel4 2 29 2 2 5" xfId="57039"/>
    <cellStyle name="TotRow - Opmaakprofiel4 2 29 2 3" xfId="18709"/>
    <cellStyle name="TotRow - Opmaakprofiel4 2 29 2 4" xfId="30761"/>
    <cellStyle name="TotRow - Opmaakprofiel4 2 29 2 5" xfId="37341"/>
    <cellStyle name="TotRow - Opmaakprofiel4 2 29 2 6" xfId="51478"/>
    <cellStyle name="TotRow - Opmaakprofiel4 2 29 3" xfId="2566"/>
    <cellStyle name="TotRow - Opmaakprofiel4 2 29 3 2" xfId="12075"/>
    <cellStyle name="TotRow - Opmaakprofiel4 2 29 3 2 2" xfId="24374"/>
    <cellStyle name="TotRow - Opmaakprofiel4 2 29 3 2 3" xfId="36426"/>
    <cellStyle name="TotRow - Opmaakprofiel4 2 29 3 2 4" xfId="47149"/>
    <cellStyle name="TotRow - Opmaakprofiel4 2 29 3 2 5" xfId="57040"/>
    <cellStyle name="TotRow - Opmaakprofiel4 2 29 3 3" xfId="18710"/>
    <cellStyle name="TotRow - Opmaakprofiel4 2 29 3 4" xfId="30762"/>
    <cellStyle name="TotRow - Opmaakprofiel4 2 29 3 5" xfId="37340"/>
    <cellStyle name="TotRow - Opmaakprofiel4 2 29 3 6" xfId="51479"/>
    <cellStyle name="TotRow - Opmaakprofiel4 2 29 4" xfId="3450"/>
    <cellStyle name="TotRow - Opmaakprofiel4 2 29 4 2" xfId="12076"/>
    <cellStyle name="TotRow - Opmaakprofiel4 2 29 4 2 2" xfId="24375"/>
    <cellStyle name="TotRow - Opmaakprofiel4 2 29 4 2 3" xfId="36427"/>
    <cellStyle name="TotRow - Opmaakprofiel4 2 29 4 2 4" xfId="47150"/>
    <cellStyle name="TotRow - Opmaakprofiel4 2 29 4 2 5" xfId="57041"/>
    <cellStyle name="TotRow - Opmaakprofiel4 2 29 4 3" xfId="18711"/>
    <cellStyle name="TotRow - Opmaakprofiel4 2 29 4 4" xfId="30763"/>
    <cellStyle name="TotRow - Opmaakprofiel4 2 29 4 5" xfId="43907"/>
    <cellStyle name="TotRow - Opmaakprofiel4 2 29 4 6" xfId="51480"/>
    <cellStyle name="TotRow - Opmaakprofiel4 2 29 5" xfId="6746"/>
    <cellStyle name="TotRow - Opmaakprofiel4 2 29 5 2" xfId="12077"/>
    <cellStyle name="TotRow - Opmaakprofiel4 2 29 5 2 2" xfId="24376"/>
    <cellStyle name="TotRow - Opmaakprofiel4 2 29 5 2 3" xfId="36428"/>
    <cellStyle name="TotRow - Opmaakprofiel4 2 29 5 2 4" xfId="47151"/>
    <cellStyle name="TotRow - Opmaakprofiel4 2 29 5 2 5" xfId="57042"/>
    <cellStyle name="TotRow - Opmaakprofiel4 2 29 5 3" xfId="18712"/>
    <cellStyle name="TotRow - Opmaakprofiel4 2 29 5 4" xfId="30764"/>
    <cellStyle name="TotRow - Opmaakprofiel4 2 29 5 5" xfId="37339"/>
    <cellStyle name="TotRow - Opmaakprofiel4 2 29 5 6" xfId="51481"/>
    <cellStyle name="TotRow - Opmaakprofiel4 2 29 6" xfId="6747"/>
    <cellStyle name="TotRow - Opmaakprofiel4 2 29 6 2" xfId="12078"/>
    <cellStyle name="TotRow - Opmaakprofiel4 2 29 6 2 2" xfId="24377"/>
    <cellStyle name="TotRow - Opmaakprofiel4 2 29 6 2 3" xfId="36429"/>
    <cellStyle name="TotRow - Opmaakprofiel4 2 29 6 2 4" xfId="47152"/>
    <cellStyle name="TotRow - Opmaakprofiel4 2 29 6 2 5" xfId="57043"/>
    <cellStyle name="TotRow - Opmaakprofiel4 2 29 6 3" xfId="18713"/>
    <cellStyle name="TotRow - Opmaakprofiel4 2 29 6 4" xfId="30765"/>
    <cellStyle name="TotRow - Opmaakprofiel4 2 29 6 5" xfId="43906"/>
    <cellStyle name="TotRow - Opmaakprofiel4 2 29 6 6" xfId="51482"/>
    <cellStyle name="TotRow - Opmaakprofiel4 2 29 7" xfId="6748"/>
    <cellStyle name="TotRow - Opmaakprofiel4 2 29 7 2" xfId="18714"/>
    <cellStyle name="TotRow - Opmaakprofiel4 2 29 7 3" xfId="30766"/>
    <cellStyle name="TotRow - Opmaakprofiel4 2 29 7 4" xfId="37338"/>
    <cellStyle name="TotRow - Opmaakprofiel4 2 29 7 5" xfId="51483"/>
    <cellStyle name="TotRow - Opmaakprofiel4 2 29 8" xfId="7653"/>
    <cellStyle name="TotRow - Opmaakprofiel4 2 29 8 2" xfId="19951"/>
    <cellStyle name="TotRow - Opmaakprofiel4 2 29 8 3" xfId="41754"/>
    <cellStyle name="TotRow - Opmaakprofiel4 2 29 8 4" xfId="24996"/>
    <cellStyle name="TotRow - Opmaakprofiel4 2 29 8 5" xfId="52623"/>
    <cellStyle name="TotRow - Opmaakprofiel4 2 29 9" xfId="18708"/>
    <cellStyle name="TotRow - Opmaakprofiel4 2 3" xfId="343"/>
    <cellStyle name="TotRow - Opmaakprofiel4 2 3 10" xfId="2190"/>
    <cellStyle name="TotRow - Opmaakprofiel4 2 3 10 2" xfId="12079"/>
    <cellStyle name="TotRow - Opmaakprofiel4 2 3 10 2 2" xfId="24378"/>
    <cellStyle name="TotRow - Opmaakprofiel4 2 3 10 2 3" xfId="36430"/>
    <cellStyle name="TotRow - Opmaakprofiel4 2 3 10 2 4" xfId="47153"/>
    <cellStyle name="TotRow - Opmaakprofiel4 2 3 10 2 5" xfId="57044"/>
    <cellStyle name="TotRow - Opmaakprofiel4 2 3 10 3" xfId="18716"/>
    <cellStyle name="TotRow - Opmaakprofiel4 2 3 10 4" xfId="30768"/>
    <cellStyle name="TotRow - Opmaakprofiel4 2 3 10 5" xfId="37337"/>
    <cellStyle name="TotRow - Opmaakprofiel4 2 3 10 6" xfId="51484"/>
    <cellStyle name="TotRow - Opmaakprofiel4 2 3 11" xfId="1778"/>
    <cellStyle name="TotRow - Opmaakprofiel4 2 3 11 2" xfId="12080"/>
    <cellStyle name="TotRow - Opmaakprofiel4 2 3 11 2 2" xfId="24379"/>
    <cellStyle name="TotRow - Opmaakprofiel4 2 3 11 2 3" xfId="36431"/>
    <cellStyle name="TotRow - Opmaakprofiel4 2 3 11 2 4" xfId="47154"/>
    <cellStyle name="TotRow - Opmaakprofiel4 2 3 11 2 5" xfId="57045"/>
    <cellStyle name="TotRow - Opmaakprofiel4 2 3 11 3" xfId="18717"/>
    <cellStyle name="TotRow - Opmaakprofiel4 2 3 11 4" xfId="30769"/>
    <cellStyle name="TotRow - Opmaakprofiel4 2 3 11 5" xfId="43904"/>
    <cellStyle name="TotRow - Opmaakprofiel4 2 3 11 6" xfId="51485"/>
    <cellStyle name="TotRow - Opmaakprofiel4 2 3 12" xfId="2147"/>
    <cellStyle name="TotRow - Opmaakprofiel4 2 3 12 2" xfId="12081"/>
    <cellStyle name="TotRow - Opmaakprofiel4 2 3 12 2 2" xfId="24380"/>
    <cellStyle name="TotRow - Opmaakprofiel4 2 3 12 2 3" xfId="36432"/>
    <cellStyle name="TotRow - Opmaakprofiel4 2 3 12 2 4" xfId="47155"/>
    <cellStyle name="TotRow - Opmaakprofiel4 2 3 12 2 5" xfId="57046"/>
    <cellStyle name="TotRow - Opmaakprofiel4 2 3 12 3" xfId="18718"/>
    <cellStyle name="TotRow - Opmaakprofiel4 2 3 12 4" xfId="30770"/>
    <cellStyle name="TotRow - Opmaakprofiel4 2 3 12 5" xfId="37336"/>
    <cellStyle name="TotRow - Opmaakprofiel4 2 3 12 6" xfId="51486"/>
    <cellStyle name="TotRow - Opmaakprofiel4 2 3 13" xfId="6749"/>
    <cellStyle name="TotRow - Opmaakprofiel4 2 3 13 2" xfId="12082"/>
    <cellStyle name="TotRow - Opmaakprofiel4 2 3 13 2 2" xfId="24381"/>
    <cellStyle name="TotRow - Opmaakprofiel4 2 3 13 2 3" xfId="36433"/>
    <cellStyle name="TotRow - Opmaakprofiel4 2 3 13 2 4" xfId="47156"/>
    <cellStyle name="TotRow - Opmaakprofiel4 2 3 13 2 5" xfId="57047"/>
    <cellStyle name="TotRow - Opmaakprofiel4 2 3 13 3" xfId="18719"/>
    <cellStyle name="TotRow - Opmaakprofiel4 2 3 13 4" xfId="30771"/>
    <cellStyle name="TotRow - Opmaakprofiel4 2 3 13 5" xfId="43903"/>
    <cellStyle name="TotRow - Opmaakprofiel4 2 3 13 6" xfId="51487"/>
    <cellStyle name="TotRow - Opmaakprofiel4 2 3 14" xfId="6750"/>
    <cellStyle name="TotRow - Opmaakprofiel4 2 3 14 2" xfId="12083"/>
    <cellStyle name="TotRow - Opmaakprofiel4 2 3 14 2 2" xfId="24382"/>
    <cellStyle name="TotRow - Opmaakprofiel4 2 3 14 2 3" xfId="36434"/>
    <cellStyle name="TotRow - Opmaakprofiel4 2 3 14 2 4" xfId="47157"/>
    <cellStyle name="TotRow - Opmaakprofiel4 2 3 14 2 5" xfId="57048"/>
    <cellStyle name="TotRow - Opmaakprofiel4 2 3 14 3" xfId="18720"/>
    <cellStyle name="TotRow - Opmaakprofiel4 2 3 14 4" xfId="30772"/>
    <cellStyle name="TotRow - Opmaakprofiel4 2 3 14 5" xfId="37335"/>
    <cellStyle name="TotRow - Opmaakprofiel4 2 3 14 6" xfId="51488"/>
    <cellStyle name="TotRow - Opmaakprofiel4 2 3 15" xfId="6751"/>
    <cellStyle name="TotRow - Opmaakprofiel4 2 3 15 2" xfId="18721"/>
    <cellStyle name="TotRow - Opmaakprofiel4 2 3 15 3" xfId="30773"/>
    <cellStyle name="TotRow - Opmaakprofiel4 2 3 15 4" xfId="37334"/>
    <cellStyle name="TotRow - Opmaakprofiel4 2 3 15 5" xfId="51489"/>
    <cellStyle name="TotRow - Opmaakprofiel4 2 3 16" xfId="7756"/>
    <cellStyle name="TotRow - Opmaakprofiel4 2 3 16 2" xfId="20054"/>
    <cellStyle name="TotRow - Opmaakprofiel4 2 3 16 3" xfId="41857"/>
    <cellStyle name="TotRow - Opmaakprofiel4 2 3 16 4" xfId="31488"/>
    <cellStyle name="TotRow - Opmaakprofiel4 2 3 16 5" xfId="52726"/>
    <cellStyle name="TotRow - Opmaakprofiel4 2 3 17" xfId="18715"/>
    <cellStyle name="TotRow - Opmaakprofiel4 2 3 2" xfId="621"/>
    <cellStyle name="TotRow - Opmaakprofiel4 2 3 2 2" xfId="2445"/>
    <cellStyle name="TotRow - Opmaakprofiel4 2 3 2 2 2" xfId="12084"/>
    <cellStyle name="TotRow - Opmaakprofiel4 2 3 2 2 2 2" xfId="24383"/>
    <cellStyle name="TotRow - Opmaakprofiel4 2 3 2 2 2 3" xfId="36435"/>
    <cellStyle name="TotRow - Opmaakprofiel4 2 3 2 2 2 4" xfId="47158"/>
    <cellStyle name="TotRow - Opmaakprofiel4 2 3 2 2 2 5" xfId="57049"/>
    <cellStyle name="TotRow - Opmaakprofiel4 2 3 2 2 3" xfId="18723"/>
    <cellStyle name="TotRow - Opmaakprofiel4 2 3 2 2 4" xfId="30775"/>
    <cellStyle name="TotRow - Opmaakprofiel4 2 3 2 2 5" xfId="43901"/>
    <cellStyle name="TotRow - Opmaakprofiel4 2 3 2 2 6" xfId="51490"/>
    <cellStyle name="TotRow - Opmaakprofiel4 2 3 2 3" xfId="2692"/>
    <cellStyle name="TotRow - Opmaakprofiel4 2 3 2 3 2" xfId="12085"/>
    <cellStyle name="TotRow - Opmaakprofiel4 2 3 2 3 2 2" xfId="24384"/>
    <cellStyle name="TotRow - Opmaakprofiel4 2 3 2 3 2 3" xfId="36436"/>
    <cellStyle name="TotRow - Opmaakprofiel4 2 3 2 3 2 4" xfId="47159"/>
    <cellStyle name="TotRow - Opmaakprofiel4 2 3 2 3 2 5" xfId="57050"/>
    <cellStyle name="TotRow - Opmaakprofiel4 2 3 2 3 3" xfId="18724"/>
    <cellStyle name="TotRow - Opmaakprofiel4 2 3 2 3 4" xfId="30776"/>
    <cellStyle name="TotRow - Opmaakprofiel4 2 3 2 3 5" xfId="37332"/>
    <cellStyle name="TotRow - Opmaakprofiel4 2 3 2 3 6" xfId="51491"/>
    <cellStyle name="TotRow - Opmaakprofiel4 2 3 2 4" xfId="3564"/>
    <cellStyle name="TotRow - Opmaakprofiel4 2 3 2 4 2" xfId="12086"/>
    <cellStyle name="TotRow - Opmaakprofiel4 2 3 2 4 2 2" xfId="24385"/>
    <cellStyle name="TotRow - Opmaakprofiel4 2 3 2 4 2 3" xfId="36437"/>
    <cellStyle name="TotRow - Opmaakprofiel4 2 3 2 4 2 4" xfId="47160"/>
    <cellStyle name="TotRow - Opmaakprofiel4 2 3 2 4 2 5" xfId="57051"/>
    <cellStyle name="TotRow - Opmaakprofiel4 2 3 2 4 3" xfId="18725"/>
    <cellStyle name="TotRow - Opmaakprofiel4 2 3 2 4 4" xfId="30777"/>
    <cellStyle name="TotRow - Opmaakprofiel4 2 3 2 4 5" xfId="43900"/>
    <cellStyle name="TotRow - Opmaakprofiel4 2 3 2 4 6" xfId="51492"/>
    <cellStyle name="TotRow - Opmaakprofiel4 2 3 2 5" xfId="6752"/>
    <cellStyle name="TotRow - Opmaakprofiel4 2 3 2 5 2" xfId="12087"/>
    <cellStyle name="TotRow - Opmaakprofiel4 2 3 2 5 2 2" xfId="24386"/>
    <cellStyle name="TotRow - Opmaakprofiel4 2 3 2 5 2 3" xfId="36438"/>
    <cellStyle name="TotRow - Opmaakprofiel4 2 3 2 5 2 4" xfId="47161"/>
    <cellStyle name="TotRow - Opmaakprofiel4 2 3 2 5 2 5" xfId="57052"/>
    <cellStyle name="TotRow - Opmaakprofiel4 2 3 2 5 3" xfId="18726"/>
    <cellStyle name="TotRow - Opmaakprofiel4 2 3 2 5 4" xfId="30778"/>
    <cellStyle name="TotRow - Opmaakprofiel4 2 3 2 5 5" xfId="37331"/>
    <cellStyle name="TotRow - Opmaakprofiel4 2 3 2 5 6" xfId="51493"/>
    <cellStyle name="TotRow - Opmaakprofiel4 2 3 2 6" xfId="6753"/>
    <cellStyle name="TotRow - Opmaakprofiel4 2 3 2 6 2" xfId="12088"/>
    <cellStyle name="TotRow - Opmaakprofiel4 2 3 2 6 2 2" xfId="24387"/>
    <cellStyle name="TotRow - Opmaakprofiel4 2 3 2 6 2 3" xfId="36439"/>
    <cellStyle name="TotRow - Opmaakprofiel4 2 3 2 6 2 4" xfId="47162"/>
    <cellStyle name="TotRow - Opmaakprofiel4 2 3 2 6 2 5" xfId="57053"/>
    <cellStyle name="TotRow - Opmaakprofiel4 2 3 2 6 3" xfId="18727"/>
    <cellStyle name="TotRow - Opmaakprofiel4 2 3 2 6 4" xfId="30779"/>
    <cellStyle name="TotRow - Opmaakprofiel4 2 3 2 6 5" xfId="43899"/>
    <cellStyle name="TotRow - Opmaakprofiel4 2 3 2 6 6" xfId="51494"/>
    <cellStyle name="TotRow - Opmaakprofiel4 2 3 2 7" xfId="6754"/>
    <cellStyle name="TotRow - Opmaakprofiel4 2 3 2 7 2" xfId="18728"/>
    <cellStyle name="TotRow - Opmaakprofiel4 2 3 2 7 3" xfId="30780"/>
    <cellStyle name="TotRow - Opmaakprofiel4 2 3 2 7 4" xfId="37330"/>
    <cellStyle name="TotRow - Opmaakprofiel4 2 3 2 7 5" xfId="51495"/>
    <cellStyle name="TotRow - Opmaakprofiel4 2 3 2 8" xfId="7568"/>
    <cellStyle name="TotRow - Opmaakprofiel4 2 3 2 8 2" xfId="19866"/>
    <cellStyle name="TotRow - Opmaakprofiel4 2 3 2 8 3" xfId="41669"/>
    <cellStyle name="TotRow - Opmaakprofiel4 2 3 2 8 4" xfId="43454"/>
    <cellStyle name="TotRow - Opmaakprofiel4 2 3 2 8 5" xfId="52538"/>
    <cellStyle name="TotRow - Opmaakprofiel4 2 3 2 9" xfId="18722"/>
    <cellStyle name="TotRow - Opmaakprofiel4 2 3 3" xfId="442"/>
    <cellStyle name="TotRow - Opmaakprofiel4 2 3 3 2" xfId="2033"/>
    <cellStyle name="TotRow - Opmaakprofiel4 2 3 3 2 2" xfId="12089"/>
    <cellStyle name="TotRow - Opmaakprofiel4 2 3 3 2 2 2" xfId="24388"/>
    <cellStyle name="TotRow - Opmaakprofiel4 2 3 3 2 2 3" xfId="36440"/>
    <cellStyle name="TotRow - Opmaakprofiel4 2 3 3 2 2 4" xfId="47163"/>
    <cellStyle name="TotRow - Opmaakprofiel4 2 3 3 2 2 5" xfId="57054"/>
    <cellStyle name="TotRow - Opmaakprofiel4 2 3 3 2 3" xfId="18730"/>
    <cellStyle name="TotRow - Opmaakprofiel4 2 3 3 2 4" xfId="30782"/>
    <cellStyle name="TotRow - Opmaakprofiel4 2 3 3 2 5" xfId="37329"/>
    <cellStyle name="TotRow - Opmaakprofiel4 2 3 3 2 6" xfId="51496"/>
    <cellStyle name="TotRow - Opmaakprofiel4 2 3 3 3" xfId="2513"/>
    <cellStyle name="TotRow - Opmaakprofiel4 2 3 3 3 2" xfId="12090"/>
    <cellStyle name="TotRow - Opmaakprofiel4 2 3 3 3 2 2" xfId="24389"/>
    <cellStyle name="TotRow - Opmaakprofiel4 2 3 3 3 2 3" xfId="36441"/>
    <cellStyle name="TotRow - Opmaakprofiel4 2 3 3 3 2 4" xfId="47164"/>
    <cellStyle name="TotRow - Opmaakprofiel4 2 3 3 3 2 5" xfId="57055"/>
    <cellStyle name="TotRow - Opmaakprofiel4 2 3 3 3 3" xfId="18731"/>
    <cellStyle name="TotRow - Opmaakprofiel4 2 3 3 3 4" xfId="30783"/>
    <cellStyle name="TotRow - Opmaakprofiel4 2 3 3 3 5" xfId="43898"/>
    <cellStyle name="TotRow - Opmaakprofiel4 2 3 3 3 6" xfId="51497"/>
    <cellStyle name="TotRow - Opmaakprofiel4 2 3 3 4" xfId="2148"/>
    <cellStyle name="TotRow - Opmaakprofiel4 2 3 3 4 2" xfId="12091"/>
    <cellStyle name="TotRow - Opmaakprofiel4 2 3 3 4 2 2" xfId="24390"/>
    <cellStyle name="TotRow - Opmaakprofiel4 2 3 3 4 2 3" xfId="36442"/>
    <cellStyle name="TotRow - Opmaakprofiel4 2 3 3 4 2 4" xfId="47165"/>
    <cellStyle name="TotRow - Opmaakprofiel4 2 3 3 4 2 5" xfId="57056"/>
    <cellStyle name="TotRow - Opmaakprofiel4 2 3 3 4 3" xfId="18732"/>
    <cellStyle name="TotRow - Opmaakprofiel4 2 3 3 4 4" xfId="30784"/>
    <cellStyle name="TotRow - Opmaakprofiel4 2 3 3 4 5" xfId="37328"/>
    <cellStyle name="TotRow - Opmaakprofiel4 2 3 3 4 6" xfId="51498"/>
    <cellStyle name="TotRow - Opmaakprofiel4 2 3 3 5" xfId="6755"/>
    <cellStyle name="TotRow - Opmaakprofiel4 2 3 3 5 2" xfId="12092"/>
    <cellStyle name="TotRow - Opmaakprofiel4 2 3 3 5 2 2" xfId="24391"/>
    <cellStyle name="TotRow - Opmaakprofiel4 2 3 3 5 2 3" xfId="36443"/>
    <cellStyle name="TotRow - Opmaakprofiel4 2 3 3 5 2 4" xfId="47166"/>
    <cellStyle name="TotRow - Opmaakprofiel4 2 3 3 5 2 5" xfId="57057"/>
    <cellStyle name="TotRow - Opmaakprofiel4 2 3 3 5 3" xfId="18733"/>
    <cellStyle name="TotRow - Opmaakprofiel4 2 3 3 5 4" xfId="30785"/>
    <cellStyle name="TotRow - Opmaakprofiel4 2 3 3 5 5" xfId="37327"/>
    <cellStyle name="TotRow - Opmaakprofiel4 2 3 3 5 6" xfId="51499"/>
    <cellStyle name="TotRow - Opmaakprofiel4 2 3 3 6" xfId="6756"/>
    <cellStyle name="TotRow - Opmaakprofiel4 2 3 3 6 2" xfId="12093"/>
    <cellStyle name="TotRow - Opmaakprofiel4 2 3 3 6 2 2" xfId="24392"/>
    <cellStyle name="TotRow - Opmaakprofiel4 2 3 3 6 2 3" xfId="36444"/>
    <cellStyle name="TotRow - Opmaakprofiel4 2 3 3 6 2 4" xfId="47167"/>
    <cellStyle name="TotRow - Opmaakprofiel4 2 3 3 6 2 5" xfId="57058"/>
    <cellStyle name="TotRow - Opmaakprofiel4 2 3 3 6 3" xfId="18734"/>
    <cellStyle name="TotRow - Opmaakprofiel4 2 3 3 6 4" xfId="30786"/>
    <cellStyle name="TotRow - Opmaakprofiel4 2 3 3 6 5" xfId="37326"/>
    <cellStyle name="TotRow - Opmaakprofiel4 2 3 3 6 6" xfId="51500"/>
    <cellStyle name="TotRow - Opmaakprofiel4 2 3 3 7" xfId="6757"/>
    <cellStyle name="TotRow - Opmaakprofiel4 2 3 3 7 2" xfId="18735"/>
    <cellStyle name="TotRow - Opmaakprofiel4 2 3 3 7 3" xfId="30787"/>
    <cellStyle name="TotRow - Opmaakprofiel4 2 3 3 7 4" xfId="43896"/>
    <cellStyle name="TotRow - Opmaakprofiel4 2 3 3 7 5" xfId="51501"/>
    <cellStyle name="TotRow - Opmaakprofiel4 2 3 3 8" xfId="7688"/>
    <cellStyle name="TotRow - Opmaakprofiel4 2 3 3 8 2" xfId="19986"/>
    <cellStyle name="TotRow - Opmaakprofiel4 2 3 3 8 3" xfId="41789"/>
    <cellStyle name="TotRow - Opmaakprofiel4 2 3 3 8 4" xfId="43404"/>
    <cellStyle name="TotRow - Opmaakprofiel4 2 3 3 8 5" xfId="52658"/>
    <cellStyle name="TotRow - Opmaakprofiel4 2 3 3 9" xfId="18729"/>
    <cellStyle name="TotRow - Opmaakprofiel4 2 3 4" xfId="641"/>
    <cellStyle name="TotRow - Opmaakprofiel4 2 3 4 2" xfId="1945"/>
    <cellStyle name="TotRow - Opmaakprofiel4 2 3 4 2 2" xfId="12094"/>
    <cellStyle name="TotRow - Opmaakprofiel4 2 3 4 2 2 2" xfId="24393"/>
    <cellStyle name="TotRow - Opmaakprofiel4 2 3 4 2 2 3" xfId="36445"/>
    <cellStyle name="TotRow - Opmaakprofiel4 2 3 4 2 2 4" xfId="47168"/>
    <cellStyle name="TotRow - Opmaakprofiel4 2 3 4 2 2 5" xfId="57059"/>
    <cellStyle name="TotRow - Opmaakprofiel4 2 3 4 2 3" xfId="18737"/>
    <cellStyle name="TotRow - Opmaakprofiel4 2 3 4 2 4" xfId="30789"/>
    <cellStyle name="TotRow - Opmaakprofiel4 2 3 4 2 5" xfId="43895"/>
    <cellStyle name="TotRow - Opmaakprofiel4 2 3 4 2 6" xfId="51502"/>
    <cellStyle name="TotRow - Opmaakprofiel4 2 3 4 3" xfId="2707"/>
    <cellStyle name="TotRow - Opmaakprofiel4 2 3 4 3 2" xfId="12095"/>
    <cellStyle name="TotRow - Opmaakprofiel4 2 3 4 3 2 2" xfId="24394"/>
    <cellStyle name="TotRow - Opmaakprofiel4 2 3 4 3 2 3" xfId="36446"/>
    <cellStyle name="TotRow - Opmaakprofiel4 2 3 4 3 2 4" xfId="47169"/>
    <cellStyle name="TotRow - Opmaakprofiel4 2 3 4 3 2 5" xfId="57060"/>
    <cellStyle name="TotRow - Opmaakprofiel4 2 3 4 3 3" xfId="18738"/>
    <cellStyle name="TotRow - Opmaakprofiel4 2 3 4 3 4" xfId="30790"/>
    <cellStyle name="TotRow - Opmaakprofiel4 2 3 4 3 5" xfId="37324"/>
    <cellStyle name="TotRow - Opmaakprofiel4 2 3 4 3 6" xfId="51503"/>
    <cellStyle name="TotRow - Opmaakprofiel4 2 3 4 4" xfId="3578"/>
    <cellStyle name="TotRow - Opmaakprofiel4 2 3 4 4 2" xfId="12096"/>
    <cellStyle name="TotRow - Opmaakprofiel4 2 3 4 4 2 2" xfId="24395"/>
    <cellStyle name="TotRow - Opmaakprofiel4 2 3 4 4 2 3" xfId="36447"/>
    <cellStyle name="TotRow - Opmaakprofiel4 2 3 4 4 2 4" xfId="47170"/>
    <cellStyle name="TotRow - Opmaakprofiel4 2 3 4 4 2 5" xfId="57061"/>
    <cellStyle name="TotRow - Opmaakprofiel4 2 3 4 4 3" xfId="18739"/>
    <cellStyle name="TotRow - Opmaakprofiel4 2 3 4 4 4" xfId="30791"/>
    <cellStyle name="TotRow - Opmaakprofiel4 2 3 4 4 5" xfId="43894"/>
    <cellStyle name="TotRow - Opmaakprofiel4 2 3 4 4 6" xfId="51504"/>
    <cellStyle name="TotRow - Opmaakprofiel4 2 3 4 5" xfId="6758"/>
    <cellStyle name="TotRow - Opmaakprofiel4 2 3 4 5 2" xfId="12097"/>
    <cellStyle name="TotRow - Opmaakprofiel4 2 3 4 5 2 2" xfId="24396"/>
    <cellStyle name="TotRow - Opmaakprofiel4 2 3 4 5 2 3" xfId="36448"/>
    <cellStyle name="TotRow - Opmaakprofiel4 2 3 4 5 2 4" xfId="47171"/>
    <cellStyle name="TotRow - Opmaakprofiel4 2 3 4 5 2 5" xfId="57062"/>
    <cellStyle name="TotRow - Opmaakprofiel4 2 3 4 5 3" xfId="18740"/>
    <cellStyle name="TotRow - Opmaakprofiel4 2 3 4 5 4" xfId="30792"/>
    <cellStyle name="TotRow - Opmaakprofiel4 2 3 4 5 5" xfId="37323"/>
    <cellStyle name="TotRow - Opmaakprofiel4 2 3 4 5 6" xfId="51505"/>
    <cellStyle name="TotRow - Opmaakprofiel4 2 3 4 6" xfId="6759"/>
    <cellStyle name="TotRow - Opmaakprofiel4 2 3 4 6 2" xfId="12098"/>
    <cellStyle name="TotRow - Opmaakprofiel4 2 3 4 6 2 2" xfId="24397"/>
    <cellStyle name="TotRow - Opmaakprofiel4 2 3 4 6 2 3" xfId="36449"/>
    <cellStyle name="TotRow - Opmaakprofiel4 2 3 4 6 2 4" xfId="47172"/>
    <cellStyle name="TotRow - Opmaakprofiel4 2 3 4 6 2 5" xfId="57063"/>
    <cellStyle name="TotRow - Opmaakprofiel4 2 3 4 6 3" xfId="18741"/>
    <cellStyle name="TotRow - Opmaakprofiel4 2 3 4 6 4" xfId="30793"/>
    <cellStyle name="TotRow - Opmaakprofiel4 2 3 4 6 5" xfId="43893"/>
    <cellStyle name="TotRow - Opmaakprofiel4 2 3 4 6 6" xfId="51506"/>
    <cellStyle name="TotRow - Opmaakprofiel4 2 3 4 7" xfId="6760"/>
    <cellStyle name="TotRow - Opmaakprofiel4 2 3 4 7 2" xfId="18742"/>
    <cellStyle name="TotRow - Opmaakprofiel4 2 3 4 7 3" xfId="30794"/>
    <cellStyle name="TotRow - Opmaakprofiel4 2 3 4 7 4" xfId="37322"/>
    <cellStyle name="TotRow - Opmaakprofiel4 2 3 4 7 5" xfId="51507"/>
    <cellStyle name="TotRow - Opmaakprofiel4 2 3 4 8" xfId="7554"/>
    <cellStyle name="TotRow - Opmaakprofiel4 2 3 4 8 2" xfId="19852"/>
    <cellStyle name="TotRow - Opmaakprofiel4 2 3 4 8 3" xfId="41655"/>
    <cellStyle name="TotRow - Opmaakprofiel4 2 3 4 8 4" xfId="43460"/>
    <cellStyle name="TotRow - Opmaakprofiel4 2 3 4 8 5" xfId="52524"/>
    <cellStyle name="TotRow - Opmaakprofiel4 2 3 4 9" xfId="18736"/>
    <cellStyle name="TotRow - Opmaakprofiel4 2 3 5" xfId="888"/>
    <cellStyle name="TotRow - Opmaakprofiel4 2 3 5 2" xfId="2420"/>
    <cellStyle name="TotRow - Opmaakprofiel4 2 3 5 2 2" xfId="12099"/>
    <cellStyle name="TotRow - Opmaakprofiel4 2 3 5 2 2 2" xfId="24398"/>
    <cellStyle name="TotRow - Opmaakprofiel4 2 3 5 2 2 3" xfId="36450"/>
    <cellStyle name="TotRow - Opmaakprofiel4 2 3 5 2 2 4" xfId="47173"/>
    <cellStyle name="TotRow - Opmaakprofiel4 2 3 5 2 2 5" xfId="57064"/>
    <cellStyle name="TotRow - Opmaakprofiel4 2 3 5 2 3" xfId="18744"/>
    <cellStyle name="TotRow - Opmaakprofiel4 2 3 5 2 4" xfId="30796"/>
    <cellStyle name="TotRow - Opmaakprofiel4 2 3 5 2 5" xfId="37321"/>
    <cellStyle name="TotRow - Opmaakprofiel4 2 3 5 2 6" xfId="51508"/>
    <cellStyle name="TotRow - Opmaakprofiel4 2 3 5 3" xfId="2899"/>
    <cellStyle name="TotRow - Opmaakprofiel4 2 3 5 3 2" xfId="12100"/>
    <cellStyle name="TotRow - Opmaakprofiel4 2 3 5 3 2 2" xfId="24399"/>
    <cellStyle name="TotRow - Opmaakprofiel4 2 3 5 3 2 3" xfId="36451"/>
    <cellStyle name="TotRow - Opmaakprofiel4 2 3 5 3 2 4" xfId="47174"/>
    <cellStyle name="TotRow - Opmaakprofiel4 2 3 5 3 2 5" xfId="57065"/>
    <cellStyle name="TotRow - Opmaakprofiel4 2 3 5 3 3" xfId="18745"/>
    <cellStyle name="TotRow - Opmaakprofiel4 2 3 5 3 4" xfId="30797"/>
    <cellStyle name="TotRow - Opmaakprofiel4 2 3 5 3 5" xfId="37320"/>
    <cellStyle name="TotRow - Opmaakprofiel4 2 3 5 3 6" xfId="51509"/>
    <cellStyle name="TotRow - Opmaakprofiel4 2 3 5 4" xfId="3752"/>
    <cellStyle name="TotRow - Opmaakprofiel4 2 3 5 4 2" xfId="12101"/>
    <cellStyle name="TotRow - Opmaakprofiel4 2 3 5 4 2 2" xfId="24400"/>
    <cellStyle name="TotRow - Opmaakprofiel4 2 3 5 4 2 3" xfId="36452"/>
    <cellStyle name="TotRow - Opmaakprofiel4 2 3 5 4 2 4" xfId="47175"/>
    <cellStyle name="TotRow - Opmaakprofiel4 2 3 5 4 2 5" xfId="57066"/>
    <cellStyle name="TotRow - Opmaakprofiel4 2 3 5 4 3" xfId="18746"/>
    <cellStyle name="TotRow - Opmaakprofiel4 2 3 5 4 4" xfId="30798"/>
    <cellStyle name="TotRow - Opmaakprofiel4 2 3 5 4 5" xfId="37319"/>
    <cellStyle name="TotRow - Opmaakprofiel4 2 3 5 4 6" xfId="51510"/>
    <cellStyle name="TotRow - Opmaakprofiel4 2 3 5 5" xfId="6761"/>
    <cellStyle name="TotRow - Opmaakprofiel4 2 3 5 5 2" xfId="12102"/>
    <cellStyle name="TotRow - Opmaakprofiel4 2 3 5 5 2 2" xfId="24401"/>
    <cellStyle name="TotRow - Opmaakprofiel4 2 3 5 5 2 3" xfId="36453"/>
    <cellStyle name="TotRow - Opmaakprofiel4 2 3 5 5 2 4" xfId="47176"/>
    <cellStyle name="TotRow - Opmaakprofiel4 2 3 5 5 2 5" xfId="57067"/>
    <cellStyle name="TotRow - Opmaakprofiel4 2 3 5 5 3" xfId="18747"/>
    <cellStyle name="TotRow - Opmaakprofiel4 2 3 5 5 4" xfId="30799"/>
    <cellStyle name="TotRow - Opmaakprofiel4 2 3 5 5 5" xfId="43890"/>
    <cellStyle name="TotRow - Opmaakprofiel4 2 3 5 5 6" xfId="51511"/>
    <cellStyle name="TotRow - Opmaakprofiel4 2 3 5 6" xfId="6762"/>
    <cellStyle name="TotRow - Opmaakprofiel4 2 3 5 6 2" xfId="12103"/>
    <cellStyle name="TotRow - Opmaakprofiel4 2 3 5 6 2 2" xfId="24402"/>
    <cellStyle name="TotRow - Opmaakprofiel4 2 3 5 6 2 3" xfId="36454"/>
    <cellStyle name="TotRow - Opmaakprofiel4 2 3 5 6 2 4" xfId="47177"/>
    <cellStyle name="TotRow - Opmaakprofiel4 2 3 5 6 2 5" xfId="57068"/>
    <cellStyle name="TotRow - Opmaakprofiel4 2 3 5 6 3" xfId="18748"/>
    <cellStyle name="TotRow - Opmaakprofiel4 2 3 5 6 4" xfId="30800"/>
    <cellStyle name="TotRow - Opmaakprofiel4 2 3 5 6 5" xfId="37318"/>
    <cellStyle name="TotRow - Opmaakprofiel4 2 3 5 6 6" xfId="51512"/>
    <cellStyle name="TotRow - Opmaakprofiel4 2 3 5 7" xfId="6763"/>
    <cellStyle name="TotRow - Opmaakprofiel4 2 3 5 7 2" xfId="18749"/>
    <cellStyle name="TotRow - Opmaakprofiel4 2 3 5 7 3" xfId="30801"/>
    <cellStyle name="TotRow - Opmaakprofiel4 2 3 5 7 4" xfId="43889"/>
    <cellStyle name="TotRow - Opmaakprofiel4 2 3 5 7 5" xfId="51513"/>
    <cellStyle name="TotRow - Opmaakprofiel4 2 3 5 8" xfId="10077"/>
    <cellStyle name="TotRow - Opmaakprofiel4 2 3 5 8 2" xfId="22375"/>
    <cellStyle name="TotRow - Opmaakprofiel4 2 3 5 8 3" xfId="44139"/>
    <cellStyle name="TotRow - Opmaakprofiel4 2 3 5 8 4" xfId="28560"/>
    <cellStyle name="TotRow - Opmaakprofiel4 2 3 5 8 5" xfId="55042"/>
    <cellStyle name="TotRow - Opmaakprofiel4 2 3 5 9" xfId="18743"/>
    <cellStyle name="TotRow - Opmaakprofiel4 2 3 6" xfId="1035"/>
    <cellStyle name="TotRow - Opmaakprofiel4 2 3 6 2" xfId="1975"/>
    <cellStyle name="TotRow - Opmaakprofiel4 2 3 6 2 2" xfId="12104"/>
    <cellStyle name="TotRow - Opmaakprofiel4 2 3 6 2 2 2" xfId="24403"/>
    <cellStyle name="TotRow - Opmaakprofiel4 2 3 6 2 2 3" xfId="36455"/>
    <cellStyle name="TotRow - Opmaakprofiel4 2 3 6 2 2 4" xfId="47178"/>
    <cellStyle name="TotRow - Opmaakprofiel4 2 3 6 2 2 5" xfId="57069"/>
    <cellStyle name="TotRow - Opmaakprofiel4 2 3 6 2 3" xfId="18751"/>
    <cellStyle name="TotRow - Opmaakprofiel4 2 3 6 2 4" xfId="30803"/>
    <cellStyle name="TotRow - Opmaakprofiel4 2 3 6 2 5" xfId="43888"/>
    <cellStyle name="TotRow - Opmaakprofiel4 2 3 6 2 6" xfId="51514"/>
    <cellStyle name="TotRow - Opmaakprofiel4 2 3 6 3" xfId="3046"/>
    <cellStyle name="TotRow - Opmaakprofiel4 2 3 6 3 2" xfId="12105"/>
    <cellStyle name="TotRow - Opmaakprofiel4 2 3 6 3 2 2" xfId="24404"/>
    <cellStyle name="TotRow - Opmaakprofiel4 2 3 6 3 2 3" xfId="36456"/>
    <cellStyle name="TotRow - Opmaakprofiel4 2 3 6 3 2 4" xfId="47179"/>
    <cellStyle name="TotRow - Opmaakprofiel4 2 3 6 3 2 5" xfId="57070"/>
    <cellStyle name="TotRow - Opmaakprofiel4 2 3 6 3 3" xfId="18752"/>
    <cellStyle name="TotRow - Opmaakprofiel4 2 3 6 3 4" xfId="30804"/>
    <cellStyle name="TotRow - Opmaakprofiel4 2 3 6 3 5" xfId="37316"/>
    <cellStyle name="TotRow - Opmaakprofiel4 2 3 6 3 6" xfId="51515"/>
    <cellStyle name="TotRow - Opmaakprofiel4 2 3 6 4" xfId="3887"/>
    <cellStyle name="TotRow - Opmaakprofiel4 2 3 6 4 2" xfId="12106"/>
    <cellStyle name="TotRow - Opmaakprofiel4 2 3 6 4 2 2" xfId="24405"/>
    <cellStyle name="TotRow - Opmaakprofiel4 2 3 6 4 2 3" xfId="36457"/>
    <cellStyle name="TotRow - Opmaakprofiel4 2 3 6 4 2 4" xfId="47180"/>
    <cellStyle name="TotRow - Opmaakprofiel4 2 3 6 4 2 5" xfId="57071"/>
    <cellStyle name="TotRow - Opmaakprofiel4 2 3 6 4 3" xfId="18753"/>
    <cellStyle name="TotRow - Opmaakprofiel4 2 3 6 4 4" xfId="30805"/>
    <cellStyle name="TotRow - Opmaakprofiel4 2 3 6 4 5" xfId="43887"/>
    <cellStyle name="TotRow - Opmaakprofiel4 2 3 6 4 6" xfId="51516"/>
    <cellStyle name="TotRow - Opmaakprofiel4 2 3 6 5" xfId="6764"/>
    <cellStyle name="TotRow - Opmaakprofiel4 2 3 6 5 2" xfId="12107"/>
    <cellStyle name="TotRow - Opmaakprofiel4 2 3 6 5 2 2" xfId="24406"/>
    <cellStyle name="TotRow - Opmaakprofiel4 2 3 6 5 2 3" xfId="36458"/>
    <cellStyle name="TotRow - Opmaakprofiel4 2 3 6 5 2 4" xfId="47181"/>
    <cellStyle name="TotRow - Opmaakprofiel4 2 3 6 5 2 5" xfId="57072"/>
    <cellStyle name="TotRow - Opmaakprofiel4 2 3 6 5 3" xfId="18754"/>
    <cellStyle name="TotRow - Opmaakprofiel4 2 3 6 5 4" xfId="30806"/>
    <cellStyle name="TotRow - Opmaakprofiel4 2 3 6 5 5" xfId="37315"/>
    <cellStyle name="TotRow - Opmaakprofiel4 2 3 6 5 6" xfId="51517"/>
    <cellStyle name="TotRow - Opmaakprofiel4 2 3 6 6" xfId="6765"/>
    <cellStyle name="TotRow - Opmaakprofiel4 2 3 6 6 2" xfId="12108"/>
    <cellStyle name="TotRow - Opmaakprofiel4 2 3 6 6 2 2" xfId="24407"/>
    <cellStyle name="TotRow - Opmaakprofiel4 2 3 6 6 2 3" xfId="36459"/>
    <cellStyle name="TotRow - Opmaakprofiel4 2 3 6 6 2 4" xfId="47182"/>
    <cellStyle name="TotRow - Opmaakprofiel4 2 3 6 6 2 5" xfId="57073"/>
    <cellStyle name="TotRow - Opmaakprofiel4 2 3 6 6 3" xfId="18755"/>
    <cellStyle name="TotRow - Opmaakprofiel4 2 3 6 6 4" xfId="30807"/>
    <cellStyle name="TotRow - Opmaakprofiel4 2 3 6 6 5" xfId="43886"/>
    <cellStyle name="TotRow - Opmaakprofiel4 2 3 6 6 6" xfId="51518"/>
    <cellStyle name="TotRow - Opmaakprofiel4 2 3 6 7" xfId="6766"/>
    <cellStyle name="TotRow - Opmaakprofiel4 2 3 6 7 2" xfId="18756"/>
    <cellStyle name="TotRow - Opmaakprofiel4 2 3 6 7 3" xfId="30808"/>
    <cellStyle name="TotRow - Opmaakprofiel4 2 3 6 7 4" xfId="37314"/>
    <cellStyle name="TotRow - Opmaakprofiel4 2 3 6 7 5" xfId="51519"/>
    <cellStyle name="TotRow - Opmaakprofiel4 2 3 6 8" xfId="7286"/>
    <cellStyle name="TotRow - Opmaakprofiel4 2 3 6 8 2" xfId="19584"/>
    <cellStyle name="TotRow - Opmaakprofiel4 2 3 6 8 3" xfId="41387"/>
    <cellStyle name="TotRow - Opmaakprofiel4 2 3 6 8 4" xfId="43572"/>
    <cellStyle name="TotRow - Opmaakprofiel4 2 3 6 8 5" xfId="52256"/>
    <cellStyle name="TotRow - Opmaakprofiel4 2 3 6 9" xfId="18750"/>
    <cellStyle name="TotRow - Opmaakprofiel4 2 3 7" xfId="575"/>
    <cellStyle name="TotRow - Opmaakprofiel4 2 3 7 2" xfId="1810"/>
    <cellStyle name="TotRow - Opmaakprofiel4 2 3 7 2 2" xfId="12109"/>
    <cellStyle name="TotRow - Opmaakprofiel4 2 3 7 2 2 2" xfId="24408"/>
    <cellStyle name="TotRow - Opmaakprofiel4 2 3 7 2 2 3" xfId="36460"/>
    <cellStyle name="TotRow - Opmaakprofiel4 2 3 7 2 2 4" xfId="47183"/>
    <cellStyle name="TotRow - Opmaakprofiel4 2 3 7 2 2 5" xfId="57074"/>
    <cellStyle name="TotRow - Opmaakprofiel4 2 3 7 2 3" xfId="18758"/>
    <cellStyle name="TotRow - Opmaakprofiel4 2 3 7 2 4" xfId="30810"/>
    <cellStyle name="TotRow - Opmaakprofiel4 2 3 7 2 5" xfId="37312"/>
    <cellStyle name="TotRow - Opmaakprofiel4 2 3 7 2 6" xfId="51520"/>
    <cellStyle name="TotRow - Opmaakprofiel4 2 3 7 3" xfId="2646"/>
    <cellStyle name="TotRow - Opmaakprofiel4 2 3 7 3 2" xfId="12110"/>
    <cellStyle name="TotRow - Opmaakprofiel4 2 3 7 3 2 2" xfId="24409"/>
    <cellStyle name="TotRow - Opmaakprofiel4 2 3 7 3 2 3" xfId="36461"/>
    <cellStyle name="TotRow - Opmaakprofiel4 2 3 7 3 2 4" xfId="47184"/>
    <cellStyle name="TotRow - Opmaakprofiel4 2 3 7 3 2 5" xfId="57075"/>
    <cellStyle name="TotRow - Opmaakprofiel4 2 3 7 3 3" xfId="18759"/>
    <cellStyle name="TotRow - Opmaakprofiel4 2 3 7 3 4" xfId="30811"/>
    <cellStyle name="TotRow - Opmaakprofiel4 2 3 7 3 5" xfId="43884"/>
    <cellStyle name="TotRow - Opmaakprofiel4 2 3 7 3 6" xfId="51521"/>
    <cellStyle name="TotRow - Opmaakprofiel4 2 3 7 4" xfId="3523"/>
    <cellStyle name="TotRow - Opmaakprofiel4 2 3 7 4 2" xfId="12111"/>
    <cellStyle name="TotRow - Opmaakprofiel4 2 3 7 4 2 2" xfId="24410"/>
    <cellStyle name="TotRow - Opmaakprofiel4 2 3 7 4 2 3" xfId="36462"/>
    <cellStyle name="TotRow - Opmaakprofiel4 2 3 7 4 2 4" xfId="47185"/>
    <cellStyle name="TotRow - Opmaakprofiel4 2 3 7 4 2 5" xfId="57076"/>
    <cellStyle name="TotRow - Opmaakprofiel4 2 3 7 4 3" xfId="18760"/>
    <cellStyle name="TotRow - Opmaakprofiel4 2 3 7 4 4" xfId="30812"/>
    <cellStyle name="TotRow - Opmaakprofiel4 2 3 7 4 5" xfId="37311"/>
    <cellStyle name="TotRow - Opmaakprofiel4 2 3 7 4 6" xfId="51522"/>
    <cellStyle name="TotRow - Opmaakprofiel4 2 3 7 5" xfId="6767"/>
    <cellStyle name="TotRow - Opmaakprofiel4 2 3 7 5 2" xfId="12112"/>
    <cellStyle name="TotRow - Opmaakprofiel4 2 3 7 5 2 2" xfId="24411"/>
    <cellStyle name="TotRow - Opmaakprofiel4 2 3 7 5 2 3" xfId="36463"/>
    <cellStyle name="TotRow - Opmaakprofiel4 2 3 7 5 2 4" xfId="47186"/>
    <cellStyle name="TotRow - Opmaakprofiel4 2 3 7 5 2 5" xfId="57077"/>
    <cellStyle name="TotRow - Opmaakprofiel4 2 3 7 5 3" xfId="18761"/>
    <cellStyle name="TotRow - Opmaakprofiel4 2 3 7 5 4" xfId="30813"/>
    <cellStyle name="TotRow - Opmaakprofiel4 2 3 7 5 5" xfId="43883"/>
    <cellStyle name="TotRow - Opmaakprofiel4 2 3 7 5 6" xfId="51523"/>
    <cellStyle name="TotRow - Opmaakprofiel4 2 3 7 6" xfId="6768"/>
    <cellStyle name="TotRow - Opmaakprofiel4 2 3 7 6 2" xfId="12113"/>
    <cellStyle name="TotRow - Opmaakprofiel4 2 3 7 6 2 2" xfId="24412"/>
    <cellStyle name="TotRow - Opmaakprofiel4 2 3 7 6 2 3" xfId="36464"/>
    <cellStyle name="TotRow - Opmaakprofiel4 2 3 7 6 2 4" xfId="47187"/>
    <cellStyle name="TotRow - Opmaakprofiel4 2 3 7 6 2 5" xfId="57078"/>
    <cellStyle name="TotRow - Opmaakprofiel4 2 3 7 6 3" xfId="18762"/>
    <cellStyle name="TotRow - Opmaakprofiel4 2 3 7 6 4" xfId="30814"/>
    <cellStyle name="TotRow - Opmaakprofiel4 2 3 7 6 5" xfId="37310"/>
    <cellStyle name="TotRow - Opmaakprofiel4 2 3 7 6 6" xfId="51524"/>
    <cellStyle name="TotRow - Opmaakprofiel4 2 3 7 7" xfId="6769"/>
    <cellStyle name="TotRow - Opmaakprofiel4 2 3 7 7 2" xfId="18763"/>
    <cellStyle name="TotRow - Opmaakprofiel4 2 3 7 7 3" xfId="30815"/>
    <cellStyle name="TotRow - Opmaakprofiel4 2 3 7 7 4" xfId="43882"/>
    <cellStyle name="TotRow - Opmaakprofiel4 2 3 7 7 5" xfId="51525"/>
    <cellStyle name="TotRow - Opmaakprofiel4 2 3 7 8" xfId="7598"/>
    <cellStyle name="TotRow - Opmaakprofiel4 2 3 7 8 2" xfId="19896"/>
    <cellStyle name="TotRow - Opmaakprofiel4 2 3 7 8 3" xfId="41699"/>
    <cellStyle name="TotRow - Opmaakprofiel4 2 3 7 8 4" xfId="43442"/>
    <cellStyle name="TotRow - Opmaakprofiel4 2 3 7 8 5" xfId="52568"/>
    <cellStyle name="TotRow - Opmaakprofiel4 2 3 7 9" xfId="18757"/>
    <cellStyle name="TotRow - Opmaakprofiel4 2 3 8" xfId="1319"/>
    <cellStyle name="TotRow - Opmaakprofiel4 2 3 8 2" xfId="2174"/>
    <cellStyle name="TotRow - Opmaakprofiel4 2 3 8 2 2" xfId="12114"/>
    <cellStyle name="TotRow - Opmaakprofiel4 2 3 8 2 2 2" xfId="24413"/>
    <cellStyle name="TotRow - Opmaakprofiel4 2 3 8 2 2 3" xfId="36465"/>
    <cellStyle name="TotRow - Opmaakprofiel4 2 3 8 2 2 4" xfId="47188"/>
    <cellStyle name="TotRow - Opmaakprofiel4 2 3 8 2 2 5" xfId="57079"/>
    <cellStyle name="TotRow - Opmaakprofiel4 2 3 8 2 3" xfId="18765"/>
    <cellStyle name="TotRow - Opmaakprofiel4 2 3 8 2 4" xfId="30817"/>
    <cellStyle name="TotRow - Opmaakprofiel4 2 3 8 2 5" xfId="43881"/>
    <cellStyle name="TotRow - Opmaakprofiel4 2 3 8 2 6" xfId="51526"/>
    <cellStyle name="TotRow - Opmaakprofiel4 2 3 8 3" xfId="3330"/>
    <cellStyle name="TotRow - Opmaakprofiel4 2 3 8 3 2" xfId="12115"/>
    <cellStyle name="TotRow - Opmaakprofiel4 2 3 8 3 2 2" xfId="24414"/>
    <cellStyle name="TotRow - Opmaakprofiel4 2 3 8 3 2 3" xfId="36466"/>
    <cellStyle name="TotRow - Opmaakprofiel4 2 3 8 3 2 4" xfId="47189"/>
    <cellStyle name="TotRow - Opmaakprofiel4 2 3 8 3 2 5" xfId="57080"/>
    <cellStyle name="TotRow - Opmaakprofiel4 2 3 8 3 3" xfId="18766"/>
    <cellStyle name="TotRow - Opmaakprofiel4 2 3 8 3 4" xfId="30818"/>
    <cellStyle name="TotRow - Opmaakprofiel4 2 3 8 3 5" xfId="37308"/>
    <cellStyle name="TotRow - Opmaakprofiel4 2 3 8 3 6" xfId="51527"/>
    <cellStyle name="TotRow - Opmaakprofiel4 2 3 8 4" xfId="4111"/>
    <cellStyle name="TotRow - Opmaakprofiel4 2 3 8 4 2" xfId="12116"/>
    <cellStyle name="TotRow - Opmaakprofiel4 2 3 8 4 2 2" xfId="24415"/>
    <cellStyle name="TotRow - Opmaakprofiel4 2 3 8 4 2 3" xfId="36467"/>
    <cellStyle name="TotRow - Opmaakprofiel4 2 3 8 4 2 4" xfId="47190"/>
    <cellStyle name="TotRow - Opmaakprofiel4 2 3 8 4 2 5" xfId="57081"/>
    <cellStyle name="TotRow - Opmaakprofiel4 2 3 8 4 3" xfId="18767"/>
    <cellStyle name="TotRow - Opmaakprofiel4 2 3 8 4 4" xfId="30819"/>
    <cellStyle name="TotRow - Opmaakprofiel4 2 3 8 4 5" xfId="43880"/>
    <cellStyle name="TotRow - Opmaakprofiel4 2 3 8 4 6" xfId="51528"/>
    <cellStyle name="TotRow - Opmaakprofiel4 2 3 8 5" xfId="6770"/>
    <cellStyle name="TotRow - Opmaakprofiel4 2 3 8 5 2" xfId="12117"/>
    <cellStyle name="TotRow - Opmaakprofiel4 2 3 8 5 2 2" xfId="24416"/>
    <cellStyle name="TotRow - Opmaakprofiel4 2 3 8 5 2 3" xfId="36468"/>
    <cellStyle name="TotRow - Opmaakprofiel4 2 3 8 5 2 4" xfId="47191"/>
    <cellStyle name="TotRow - Opmaakprofiel4 2 3 8 5 2 5" xfId="57082"/>
    <cellStyle name="TotRow - Opmaakprofiel4 2 3 8 5 3" xfId="18768"/>
    <cellStyle name="TotRow - Opmaakprofiel4 2 3 8 5 4" xfId="30820"/>
    <cellStyle name="TotRow - Opmaakprofiel4 2 3 8 5 5" xfId="37307"/>
    <cellStyle name="TotRow - Opmaakprofiel4 2 3 8 5 6" xfId="51529"/>
    <cellStyle name="TotRow - Opmaakprofiel4 2 3 8 6" xfId="6771"/>
    <cellStyle name="TotRow - Opmaakprofiel4 2 3 8 6 2" xfId="12118"/>
    <cellStyle name="TotRow - Opmaakprofiel4 2 3 8 6 2 2" xfId="24417"/>
    <cellStyle name="TotRow - Opmaakprofiel4 2 3 8 6 2 3" xfId="36469"/>
    <cellStyle name="TotRow - Opmaakprofiel4 2 3 8 6 2 4" xfId="47192"/>
    <cellStyle name="TotRow - Opmaakprofiel4 2 3 8 6 2 5" xfId="57083"/>
    <cellStyle name="TotRow - Opmaakprofiel4 2 3 8 6 3" xfId="18769"/>
    <cellStyle name="TotRow - Opmaakprofiel4 2 3 8 6 4" xfId="30821"/>
    <cellStyle name="TotRow - Opmaakprofiel4 2 3 8 6 5" xfId="37306"/>
    <cellStyle name="TotRow - Opmaakprofiel4 2 3 8 6 6" xfId="51530"/>
    <cellStyle name="TotRow - Opmaakprofiel4 2 3 8 7" xfId="6772"/>
    <cellStyle name="TotRow - Opmaakprofiel4 2 3 8 7 2" xfId="18770"/>
    <cellStyle name="TotRow - Opmaakprofiel4 2 3 8 7 3" xfId="30822"/>
    <cellStyle name="TotRow - Opmaakprofiel4 2 3 8 7 4" xfId="37305"/>
    <cellStyle name="TotRow - Opmaakprofiel4 2 3 8 7 5" xfId="51531"/>
    <cellStyle name="TotRow - Opmaakprofiel4 2 3 8 8" xfId="8895"/>
    <cellStyle name="TotRow - Opmaakprofiel4 2 3 8 8 2" xfId="21193"/>
    <cellStyle name="TotRow - Opmaakprofiel4 2 3 8 8 3" xfId="42996"/>
    <cellStyle name="TotRow - Opmaakprofiel4 2 3 8 8 4" xfId="42918"/>
    <cellStyle name="TotRow - Opmaakprofiel4 2 3 8 8 5" xfId="53860"/>
    <cellStyle name="TotRow - Opmaakprofiel4 2 3 8 9" xfId="18764"/>
    <cellStyle name="TotRow - Opmaakprofiel4 2 3 9" xfId="1375"/>
    <cellStyle name="TotRow - Opmaakprofiel4 2 3 9 2" xfId="1394"/>
    <cellStyle name="TotRow - Opmaakprofiel4 2 3 9 2 2" xfId="12119"/>
    <cellStyle name="TotRow - Opmaakprofiel4 2 3 9 2 2 2" xfId="24418"/>
    <cellStyle name="TotRow - Opmaakprofiel4 2 3 9 2 2 3" xfId="36470"/>
    <cellStyle name="TotRow - Opmaakprofiel4 2 3 9 2 2 4" xfId="47193"/>
    <cellStyle name="TotRow - Opmaakprofiel4 2 3 9 2 2 5" xfId="57084"/>
    <cellStyle name="TotRow - Opmaakprofiel4 2 3 9 2 3" xfId="18772"/>
    <cellStyle name="TotRow - Opmaakprofiel4 2 3 9 2 4" xfId="30824"/>
    <cellStyle name="TotRow - Opmaakprofiel4 2 3 9 2 5" xfId="37304"/>
    <cellStyle name="TotRow - Opmaakprofiel4 2 3 9 2 6" xfId="51532"/>
    <cellStyle name="TotRow - Opmaakprofiel4 2 3 9 3" xfId="3386"/>
    <cellStyle name="TotRow - Opmaakprofiel4 2 3 9 3 2" xfId="12120"/>
    <cellStyle name="TotRow - Opmaakprofiel4 2 3 9 3 2 2" xfId="24419"/>
    <cellStyle name="TotRow - Opmaakprofiel4 2 3 9 3 2 3" xfId="36471"/>
    <cellStyle name="TotRow - Opmaakprofiel4 2 3 9 3 2 4" xfId="47194"/>
    <cellStyle name="TotRow - Opmaakprofiel4 2 3 9 3 2 5" xfId="57085"/>
    <cellStyle name="TotRow - Opmaakprofiel4 2 3 9 3 3" xfId="18773"/>
    <cellStyle name="TotRow - Opmaakprofiel4 2 3 9 3 4" xfId="30825"/>
    <cellStyle name="TotRow - Opmaakprofiel4 2 3 9 3 5" xfId="43877"/>
    <cellStyle name="TotRow - Opmaakprofiel4 2 3 9 3 6" xfId="51533"/>
    <cellStyle name="TotRow - Opmaakprofiel4 2 3 9 4" xfId="4147"/>
    <cellStyle name="TotRow - Opmaakprofiel4 2 3 9 4 2" xfId="12121"/>
    <cellStyle name="TotRow - Opmaakprofiel4 2 3 9 4 2 2" xfId="24420"/>
    <cellStyle name="TotRow - Opmaakprofiel4 2 3 9 4 2 3" xfId="36472"/>
    <cellStyle name="TotRow - Opmaakprofiel4 2 3 9 4 2 4" xfId="47195"/>
    <cellStyle name="TotRow - Opmaakprofiel4 2 3 9 4 2 5" xfId="57086"/>
    <cellStyle name="TotRow - Opmaakprofiel4 2 3 9 4 3" xfId="18774"/>
    <cellStyle name="TotRow - Opmaakprofiel4 2 3 9 4 4" xfId="30826"/>
    <cellStyle name="TotRow - Opmaakprofiel4 2 3 9 4 5" xfId="37303"/>
    <cellStyle name="TotRow - Opmaakprofiel4 2 3 9 4 6" xfId="51534"/>
    <cellStyle name="TotRow - Opmaakprofiel4 2 3 9 5" xfId="6773"/>
    <cellStyle name="TotRow - Opmaakprofiel4 2 3 9 5 2" xfId="12122"/>
    <cellStyle name="TotRow - Opmaakprofiel4 2 3 9 5 2 2" xfId="24421"/>
    <cellStyle name="TotRow - Opmaakprofiel4 2 3 9 5 2 3" xfId="36473"/>
    <cellStyle name="TotRow - Opmaakprofiel4 2 3 9 5 2 4" xfId="47196"/>
    <cellStyle name="TotRow - Opmaakprofiel4 2 3 9 5 2 5" xfId="57087"/>
    <cellStyle name="TotRow - Opmaakprofiel4 2 3 9 5 3" xfId="18775"/>
    <cellStyle name="TotRow - Opmaakprofiel4 2 3 9 5 4" xfId="30827"/>
    <cellStyle name="TotRow - Opmaakprofiel4 2 3 9 5 5" xfId="43876"/>
    <cellStyle name="TotRow - Opmaakprofiel4 2 3 9 5 6" xfId="51535"/>
    <cellStyle name="TotRow - Opmaakprofiel4 2 3 9 6" xfId="6774"/>
    <cellStyle name="TotRow - Opmaakprofiel4 2 3 9 6 2" xfId="12123"/>
    <cellStyle name="TotRow - Opmaakprofiel4 2 3 9 6 2 2" xfId="24422"/>
    <cellStyle name="TotRow - Opmaakprofiel4 2 3 9 6 2 3" xfId="36474"/>
    <cellStyle name="TotRow - Opmaakprofiel4 2 3 9 6 2 4" xfId="47197"/>
    <cellStyle name="TotRow - Opmaakprofiel4 2 3 9 6 2 5" xfId="57088"/>
    <cellStyle name="TotRow - Opmaakprofiel4 2 3 9 6 3" xfId="18776"/>
    <cellStyle name="TotRow - Opmaakprofiel4 2 3 9 6 4" xfId="30828"/>
    <cellStyle name="TotRow - Opmaakprofiel4 2 3 9 6 5" xfId="37302"/>
    <cellStyle name="TotRow - Opmaakprofiel4 2 3 9 6 6" xfId="51536"/>
    <cellStyle name="TotRow - Opmaakprofiel4 2 3 9 7" xfId="6775"/>
    <cellStyle name="TotRow - Opmaakprofiel4 2 3 9 7 2" xfId="18777"/>
    <cellStyle name="TotRow - Opmaakprofiel4 2 3 9 7 3" xfId="30829"/>
    <cellStyle name="TotRow - Opmaakprofiel4 2 3 9 7 4" xfId="43875"/>
    <cellStyle name="TotRow - Opmaakprofiel4 2 3 9 7 5" xfId="51537"/>
    <cellStyle name="TotRow - Opmaakprofiel4 2 3 9 8" xfId="7011"/>
    <cellStyle name="TotRow - Opmaakprofiel4 2 3 9 8 2" xfId="19309"/>
    <cellStyle name="TotRow - Opmaakprofiel4 2 3 9 8 3" xfId="41112"/>
    <cellStyle name="TotRow - Opmaakprofiel4 2 3 9 8 4" xfId="43687"/>
    <cellStyle name="TotRow - Opmaakprofiel4 2 3 9 8 5" xfId="51982"/>
    <cellStyle name="TotRow - Opmaakprofiel4 2 3 9 9" xfId="18771"/>
    <cellStyle name="TotRow - Opmaakprofiel4 2 30" xfId="572"/>
    <cellStyle name="TotRow - Opmaakprofiel4 2 30 2" xfId="1670"/>
    <cellStyle name="TotRow - Opmaakprofiel4 2 30 2 2" xfId="12124"/>
    <cellStyle name="TotRow - Opmaakprofiel4 2 30 2 2 2" xfId="24423"/>
    <cellStyle name="TotRow - Opmaakprofiel4 2 30 2 2 3" xfId="36475"/>
    <cellStyle name="TotRow - Opmaakprofiel4 2 30 2 2 4" xfId="47198"/>
    <cellStyle name="TotRow - Opmaakprofiel4 2 30 2 2 5" xfId="57089"/>
    <cellStyle name="TotRow - Opmaakprofiel4 2 30 2 3" xfId="18779"/>
    <cellStyle name="TotRow - Opmaakprofiel4 2 30 2 4" xfId="30831"/>
    <cellStyle name="TotRow - Opmaakprofiel4 2 30 2 5" xfId="43874"/>
    <cellStyle name="TotRow - Opmaakprofiel4 2 30 2 6" xfId="51538"/>
    <cellStyle name="TotRow - Opmaakprofiel4 2 30 3" xfId="2643"/>
    <cellStyle name="TotRow - Opmaakprofiel4 2 30 3 2" xfId="12125"/>
    <cellStyle name="TotRow - Opmaakprofiel4 2 30 3 2 2" xfId="24424"/>
    <cellStyle name="TotRow - Opmaakprofiel4 2 30 3 2 3" xfId="36476"/>
    <cellStyle name="TotRow - Opmaakprofiel4 2 30 3 2 4" xfId="47199"/>
    <cellStyle name="TotRow - Opmaakprofiel4 2 30 3 2 5" xfId="57090"/>
    <cellStyle name="TotRow - Opmaakprofiel4 2 30 3 3" xfId="18780"/>
    <cellStyle name="TotRow - Opmaakprofiel4 2 30 3 4" xfId="30832"/>
    <cellStyle name="TotRow - Opmaakprofiel4 2 30 3 5" xfId="37301"/>
    <cellStyle name="TotRow - Opmaakprofiel4 2 30 3 6" xfId="51539"/>
    <cellStyle name="TotRow - Opmaakprofiel4 2 30 4" xfId="3520"/>
    <cellStyle name="TotRow - Opmaakprofiel4 2 30 4 2" xfId="12126"/>
    <cellStyle name="TotRow - Opmaakprofiel4 2 30 4 2 2" xfId="24425"/>
    <cellStyle name="TotRow - Opmaakprofiel4 2 30 4 2 3" xfId="36477"/>
    <cellStyle name="TotRow - Opmaakprofiel4 2 30 4 2 4" xfId="47200"/>
    <cellStyle name="TotRow - Opmaakprofiel4 2 30 4 2 5" xfId="57091"/>
    <cellStyle name="TotRow - Opmaakprofiel4 2 30 4 3" xfId="18781"/>
    <cellStyle name="TotRow - Opmaakprofiel4 2 30 4 4" xfId="30833"/>
    <cellStyle name="TotRow - Opmaakprofiel4 2 30 4 5" xfId="37300"/>
    <cellStyle name="TotRow - Opmaakprofiel4 2 30 4 6" xfId="51540"/>
    <cellStyle name="TotRow - Opmaakprofiel4 2 30 5" xfId="6776"/>
    <cellStyle name="TotRow - Opmaakprofiel4 2 30 5 2" xfId="12127"/>
    <cellStyle name="TotRow - Opmaakprofiel4 2 30 5 2 2" xfId="24426"/>
    <cellStyle name="TotRow - Opmaakprofiel4 2 30 5 2 3" xfId="36478"/>
    <cellStyle name="TotRow - Opmaakprofiel4 2 30 5 2 4" xfId="47201"/>
    <cellStyle name="TotRow - Opmaakprofiel4 2 30 5 2 5" xfId="57092"/>
    <cellStyle name="TotRow - Opmaakprofiel4 2 30 5 3" xfId="18782"/>
    <cellStyle name="TotRow - Opmaakprofiel4 2 30 5 4" xfId="30834"/>
    <cellStyle name="TotRow - Opmaakprofiel4 2 30 5 5" xfId="37299"/>
    <cellStyle name="TotRow - Opmaakprofiel4 2 30 5 6" xfId="51541"/>
    <cellStyle name="TotRow - Opmaakprofiel4 2 30 6" xfId="6777"/>
    <cellStyle name="TotRow - Opmaakprofiel4 2 30 6 2" xfId="12128"/>
    <cellStyle name="TotRow - Opmaakprofiel4 2 30 6 2 2" xfId="24427"/>
    <cellStyle name="TotRow - Opmaakprofiel4 2 30 6 2 3" xfId="36479"/>
    <cellStyle name="TotRow - Opmaakprofiel4 2 30 6 2 4" xfId="47202"/>
    <cellStyle name="TotRow - Opmaakprofiel4 2 30 6 2 5" xfId="57093"/>
    <cellStyle name="TotRow - Opmaakprofiel4 2 30 6 3" xfId="18783"/>
    <cellStyle name="TotRow - Opmaakprofiel4 2 30 6 4" xfId="30835"/>
    <cellStyle name="TotRow - Opmaakprofiel4 2 30 6 5" xfId="43872"/>
    <cellStyle name="TotRow - Opmaakprofiel4 2 30 6 6" xfId="51542"/>
    <cellStyle name="TotRow - Opmaakprofiel4 2 30 7" xfId="6778"/>
    <cellStyle name="TotRow - Opmaakprofiel4 2 30 7 2" xfId="18784"/>
    <cellStyle name="TotRow - Opmaakprofiel4 2 30 7 3" xfId="30836"/>
    <cellStyle name="TotRow - Opmaakprofiel4 2 30 7 4" xfId="37298"/>
    <cellStyle name="TotRow - Opmaakprofiel4 2 30 7 5" xfId="51543"/>
    <cellStyle name="TotRow - Opmaakprofiel4 2 30 8" xfId="10291"/>
    <cellStyle name="TotRow - Opmaakprofiel4 2 30 8 2" xfId="22589"/>
    <cellStyle name="TotRow - Opmaakprofiel4 2 30 8 3" xfId="44350"/>
    <cellStyle name="TotRow - Opmaakprofiel4 2 30 8 4" xfId="31585"/>
    <cellStyle name="TotRow - Opmaakprofiel4 2 30 8 5" xfId="55256"/>
    <cellStyle name="TotRow - Opmaakprofiel4 2 30 9" xfId="18778"/>
    <cellStyle name="TotRow - Opmaakprofiel4 2 31" xfId="1270"/>
    <cellStyle name="TotRow - Opmaakprofiel4 2 31 2" xfId="1830"/>
    <cellStyle name="TotRow - Opmaakprofiel4 2 31 2 2" xfId="12129"/>
    <cellStyle name="TotRow - Opmaakprofiel4 2 31 2 2 2" xfId="24428"/>
    <cellStyle name="TotRow - Opmaakprofiel4 2 31 2 2 3" xfId="36480"/>
    <cellStyle name="TotRow - Opmaakprofiel4 2 31 2 2 4" xfId="47203"/>
    <cellStyle name="TotRow - Opmaakprofiel4 2 31 2 2 5" xfId="57094"/>
    <cellStyle name="TotRow - Opmaakprofiel4 2 31 2 3" xfId="18786"/>
    <cellStyle name="TotRow - Opmaakprofiel4 2 31 2 4" xfId="30838"/>
    <cellStyle name="TotRow - Opmaakprofiel4 2 31 2 5" xfId="37297"/>
    <cellStyle name="TotRow - Opmaakprofiel4 2 31 2 6" xfId="51544"/>
    <cellStyle name="TotRow - Opmaakprofiel4 2 31 3" xfId="3281"/>
    <cellStyle name="TotRow - Opmaakprofiel4 2 31 3 2" xfId="12130"/>
    <cellStyle name="TotRow - Opmaakprofiel4 2 31 3 2 2" xfId="24429"/>
    <cellStyle name="TotRow - Opmaakprofiel4 2 31 3 2 3" xfId="36481"/>
    <cellStyle name="TotRow - Opmaakprofiel4 2 31 3 2 4" xfId="47204"/>
    <cellStyle name="TotRow - Opmaakprofiel4 2 31 3 2 5" xfId="57095"/>
    <cellStyle name="TotRow - Opmaakprofiel4 2 31 3 3" xfId="18787"/>
    <cellStyle name="TotRow - Opmaakprofiel4 2 31 3 4" xfId="30839"/>
    <cellStyle name="TotRow - Opmaakprofiel4 2 31 3 5" xfId="43870"/>
    <cellStyle name="TotRow - Opmaakprofiel4 2 31 3 6" xfId="51545"/>
    <cellStyle name="TotRow - Opmaakprofiel4 2 31 4" xfId="4082"/>
    <cellStyle name="TotRow - Opmaakprofiel4 2 31 4 2" xfId="12131"/>
    <cellStyle name="TotRow - Opmaakprofiel4 2 31 4 2 2" xfId="24430"/>
    <cellStyle name="TotRow - Opmaakprofiel4 2 31 4 2 3" xfId="36482"/>
    <cellStyle name="TotRow - Opmaakprofiel4 2 31 4 2 4" xfId="47205"/>
    <cellStyle name="TotRow - Opmaakprofiel4 2 31 4 2 5" xfId="57096"/>
    <cellStyle name="TotRow - Opmaakprofiel4 2 31 4 3" xfId="18788"/>
    <cellStyle name="TotRow - Opmaakprofiel4 2 31 4 4" xfId="30840"/>
    <cellStyle name="TotRow - Opmaakprofiel4 2 31 4 5" xfId="37296"/>
    <cellStyle name="TotRow - Opmaakprofiel4 2 31 4 6" xfId="51546"/>
    <cellStyle name="TotRow - Opmaakprofiel4 2 31 5" xfId="6779"/>
    <cellStyle name="TotRow - Opmaakprofiel4 2 31 5 2" xfId="12132"/>
    <cellStyle name="TotRow - Opmaakprofiel4 2 31 5 2 2" xfId="24431"/>
    <cellStyle name="TotRow - Opmaakprofiel4 2 31 5 2 3" xfId="36483"/>
    <cellStyle name="TotRow - Opmaakprofiel4 2 31 5 2 4" xfId="47206"/>
    <cellStyle name="TotRow - Opmaakprofiel4 2 31 5 2 5" xfId="57097"/>
    <cellStyle name="TotRow - Opmaakprofiel4 2 31 5 3" xfId="18789"/>
    <cellStyle name="TotRow - Opmaakprofiel4 2 31 5 4" xfId="30841"/>
    <cellStyle name="TotRow - Opmaakprofiel4 2 31 5 5" xfId="43869"/>
    <cellStyle name="TotRow - Opmaakprofiel4 2 31 5 6" xfId="51547"/>
    <cellStyle name="TotRow - Opmaakprofiel4 2 31 6" xfId="6780"/>
    <cellStyle name="TotRow - Opmaakprofiel4 2 31 6 2" xfId="12133"/>
    <cellStyle name="TotRow - Opmaakprofiel4 2 31 6 2 2" xfId="24432"/>
    <cellStyle name="TotRow - Opmaakprofiel4 2 31 6 2 3" xfId="36484"/>
    <cellStyle name="TotRow - Opmaakprofiel4 2 31 6 2 4" xfId="47207"/>
    <cellStyle name="TotRow - Opmaakprofiel4 2 31 6 2 5" xfId="57098"/>
    <cellStyle name="TotRow - Opmaakprofiel4 2 31 6 3" xfId="18790"/>
    <cellStyle name="TotRow - Opmaakprofiel4 2 31 6 4" xfId="30842"/>
    <cellStyle name="TotRow - Opmaakprofiel4 2 31 6 5" xfId="37295"/>
    <cellStyle name="TotRow - Opmaakprofiel4 2 31 6 6" xfId="51548"/>
    <cellStyle name="TotRow - Opmaakprofiel4 2 31 7" xfId="6781"/>
    <cellStyle name="TotRow - Opmaakprofiel4 2 31 7 2" xfId="18791"/>
    <cellStyle name="TotRow - Opmaakprofiel4 2 31 7 3" xfId="30843"/>
    <cellStyle name="TotRow - Opmaakprofiel4 2 31 7 4" xfId="43868"/>
    <cellStyle name="TotRow - Opmaakprofiel4 2 31 7 5" xfId="51549"/>
    <cellStyle name="TotRow - Opmaakprofiel4 2 31 8" xfId="7106"/>
    <cellStyle name="TotRow - Opmaakprofiel4 2 31 8 2" xfId="19404"/>
    <cellStyle name="TotRow - Opmaakprofiel4 2 31 8 3" xfId="41207"/>
    <cellStyle name="TotRow - Opmaakprofiel4 2 31 8 4" xfId="36972"/>
    <cellStyle name="TotRow - Opmaakprofiel4 2 31 8 5" xfId="52077"/>
    <cellStyle name="TotRow - Opmaakprofiel4 2 31 9" xfId="18785"/>
    <cellStyle name="TotRow - Opmaakprofiel4 2 32" xfId="1251"/>
    <cellStyle name="TotRow - Opmaakprofiel4 2 32 2" xfId="2280"/>
    <cellStyle name="TotRow - Opmaakprofiel4 2 32 2 2" xfId="12134"/>
    <cellStyle name="TotRow - Opmaakprofiel4 2 32 2 2 2" xfId="24433"/>
    <cellStyle name="TotRow - Opmaakprofiel4 2 32 2 2 3" xfId="36485"/>
    <cellStyle name="TotRow - Opmaakprofiel4 2 32 2 2 4" xfId="47208"/>
    <cellStyle name="TotRow - Opmaakprofiel4 2 32 2 2 5" xfId="57099"/>
    <cellStyle name="TotRow - Opmaakprofiel4 2 32 2 3" xfId="18793"/>
    <cellStyle name="TotRow - Opmaakprofiel4 2 32 2 4" xfId="30845"/>
    <cellStyle name="TotRow - Opmaakprofiel4 2 32 2 5" xfId="37293"/>
    <cellStyle name="TotRow - Opmaakprofiel4 2 32 2 6" xfId="51550"/>
    <cellStyle name="TotRow - Opmaakprofiel4 2 32 3" xfId="3262"/>
    <cellStyle name="TotRow - Opmaakprofiel4 2 32 3 2" xfId="12135"/>
    <cellStyle name="TotRow - Opmaakprofiel4 2 32 3 2 2" xfId="24434"/>
    <cellStyle name="TotRow - Opmaakprofiel4 2 32 3 2 3" xfId="36486"/>
    <cellStyle name="TotRow - Opmaakprofiel4 2 32 3 2 4" xfId="47209"/>
    <cellStyle name="TotRow - Opmaakprofiel4 2 32 3 2 5" xfId="57100"/>
    <cellStyle name="TotRow - Opmaakprofiel4 2 32 3 3" xfId="18794"/>
    <cellStyle name="TotRow - Opmaakprofiel4 2 32 3 4" xfId="30846"/>
    <cellStyle name="TotRow - Opmaakprofiel4 2 32 3 5" xfId="37292"/>
    <cellStyle name="TotRow - Opmaakprofiel4 2 32 3 6" xfId="51551"/>
    <cellStyle name="TotRow - Opmaakprofiel4 2 32 4" xfId="4074"/>
    <cellStyle name="TotRow - Opmaakprofiel4 2 32 4 2" xfId="12136"/>
    <cellStyle name="TotRow - Opmaakprofiel4 2 32 4 2 2" xfId="24435"/>
    <cellStyle name="TotRow - Opmaakprofiel4 2 32 4 2 3" xfId="36487"/>
    <cellStyle name="TotRow - Opmaakprofiel4 2 32 4 2 4" xfId="47210"/>
    <cellStyle name="TotRow - Opmaakprofiel4 2 32 4 2 5" xfId="57101"/>
    <cellStyle name="TotRow - Opmaakprofiel4 2 32 4 3" xfId="18795"/>
    <cellStyle name="TotRow - Opmaakprofiel4 2 32 4 4" xfId="30847"/>
    <cellStyle name="TotRow - Opmaakprofiel4 2 32 4 5" xfId="43867"/>
    <cellStyle name="TotRow - Opmaakprofiel4 2 32 4 6" xfId="51552"/>
    <cellStyle name="TotRow - Opmaakprofiel4 2 32 5" xfId="6782"/>
    <cellStyle name="TotRow - Opmaakprofiel4 2 32 5 2" xfId="12137"/>
    <cellStyle name="TotRow - Opmaakprofiel4 2 32 5 2 2" xfId="24436"/>
    <cellStyle name="TotRow - Opmaakprofiel4 2 32 5 2 3" xfId="36488"/>
    <cellStyle name="TotRow - Opmaakprofiel4 2 32 5 2 4" xfId="47211"/>
    <cellStyle name="TotRow - Opmaakprofiel4 2 32 5 2 5" xfId="57102"/>
    <cellStyle name="TotRow - Opmaakprofiel4 2 32 5 3" xfId="18796"/>
    <cellStyle name="TotRow - Opmaakprofiel4 2 32 5 4" xfId="30848"/>
    <cellStyle name="TotRow - Opmaakprofiel4 2 32 5 5" xfId="37291"/>
    <cellStyle name="TotRow - Opmaakprofiel4 2 32 5 6" xfId="51553"/>
    <cellStyle name="TotRow - Opmaakprofiel4 2 32 6" xfId="6783"/>
    <cellStyle name="TotRow - Opmaakprofiel4 2 32 6 2" xfId="12138"/>
    <cellStyle name="TotRow - Opmaakprofiel4 2 32 6 2 2" xfId="24437"/>
    <cellStyle name="TotRow - Opmaakprofiel4 2 32 6 2 3" xfId="36489"/>
    <cellStyle name="TotRow - Opmaakprofiel4 2 32 6 2 4" xfId="47212"/>
    <cellStyle name="TotRow - Opmaakprofiel4 2 32 6 2 5" xfId="57103"/>
    <cellStyle name="TotRow - Opmaakprofiel4 2 32 6 3" xfId="18797"/>
    <cellStyle name="TotRow - Opmaakprofiel4 2 32 6 4" xfId="30849"/>
    <cellStyle name="TotRow - Opmaakprofiel4 2 32 6 5" xfId="43866"/>
    <cellStyle name="TotRow - Opmaakprofiel4 2 32 6 6" xfId="51554"/>
    <cellStyle name="TotRow - Opmaakprofiel4 2 32 7" xfId="6784"/>
    <cellStyle name="TotRow - Opmaakprofiel4 2 32 7 2" xfId="18798"/>
    <cellStyle name="TotRow - Opmaakprofiel4 2 32 7 3" xfId="30850"/>
    <cellStyle name="TotRow - Opmaakprofiel4 2 32 7 4" xfId="37290"/>
    <cellStyle name="TotRow - Opmaakprofiel4 2 32 7 5" xfId="51555"/>
    <cellStyle name="TotRow - Opmaakprofiel4 2 32 8" xfId="6993"/>
    <cellStyle name="TotRow - Opmaakprofiel4 2 32 8 2" xfId="19291"/>
    <cellStyle name="TotRow - Opmaakprofiel4 2 32 8 3" xfId="41094"/>
    <cellStyle name="TotRow - Opmaakprofiel4 2 32 8 4" xfId="37037"/>
    <cellStyle name="TotRow - Opmaakprofiel4 2 32 8 5" xfId="51965"/>
    <cellStyle name="TotRow - Opmaakprofiel4 2 32 9" xfId="18792"/>
    <cellStyle name="TotRow - Opmaakprofiel4 2 33" xfId="1356"/>
    <cellStyle name="TotRow - Opmaakprofiel4 2 33 2" xfId="1413"/>
    <cellStyle name="TotRow - Opmaakprofiel4 2 33 2 2" xfId="12139"/>
    <cellStyle name="TotRow - Opmaakprofiel4 2 33 2 2 2" xfId="24438"/>
    <cellStyle name="TotRow - Opmaakprofiel4 2 33 2 2 3" xfId="36490"/>
    <cellStyle name="TotRow - Opmaakprofiel4 2 33 2 2 4" xfId="47213"/>
    <cellStyle name="TotRow - Opmaakprofiel4 2 33 2 2 5" xfId="57104"/>
    <cellStyle name="TotRow - Opmaakprofiel4 2 33 2 3" xfId="18800"/>
    <cellStyle name="TotRow - Opmaakprofiel4 2 33 2 4" xfId="30852"/>
    <cellStyle name="TotRow - Opmaakprofiel4 2 33 2 5" xfId="37289"/>
    <cellStyle name="TotRow - Opmaakprofiel4 2 33 2 6" xfId="51556"/>
    <cellStyle name="TotRow - Opmaakprofiel4 2 33 3" xfId="3367"/>
    <cellStyle name="TotRow - Opmaakprofiel4 2 33 3 2" xfId="12140"/>
    <cellStyle name="TotRow - Opmaakprofiel4 2 33 3 2 2" xfId="24439"/>
    <cellStyle name="TotRow - Opmaakprofiel4 2 33 3 2 3" xfId="36491"/>
    <cellStyle name="TotRow - Opmaakprofiel4 2 33 3 2 4" xfId="47214"/>
    <cellStyle name="TotRow - Opmaakprofiel4 2 33 3 2 5" xfId="57105"/>
    <cellStyle name="TotRow - Opmaakprofiel4 2 33 3 3" xfId="18801"/>
    <cellStyle name="TotRow - Opmaakprofiel4 2 33 3 4" xfId="30853"/>
    <cellStyle name="TotRow - Opmaakprofiel4 2 33 3 5" xfId="43864"/>
    <cellStyle name="TotRow - Opmaakprofiel4 2 33 3 6" xfId="51557"/>
    <cellStyle name="TotRow - Opmaakprofiel4 2 33 4" xfId="4128"/>
    <cellStyle name="TotRow - Opmaakprofiel4 2 33 4 2" xfId="12141"/>
    <cellStyle name="TotRow - Opmaakprofiel4 2 33 4 2 2" xfId="24440"/>
    <cellStyle name="TotRow - Opmaakprofiel4 2 33 4 2 3" xfId="36492"/>
    <cellStyle name="TotRow - Opmaakprofiel4 2 33 4 2 4" xfId="47215"/>
    <cellStyle name="TotRow - Opmaakprofiel4 2 33 4 2 5" xfId="57106"/>
    <cellStyle name="TotRow - Opmaakprofiel4 2 33 4 3" xfId="18802"/>
    <cellStyle name="TotRow - Opmaakprofiel4 2 33 4 4" xfId="30854"/>
    <cellStyle name="TotRow - Opmaakprofiel4 2 33 4 5" xfId="37288"/>
    <cellStyle name="TotRow - Opmaakprofiel4 2 33 4 6" xfId="51558"/>
    <cellStyle name="TotRow - Opmaakprofiel4 2 33 5" xfId="6785"/>
    <cellStyle name="TotRow - Opmaakprofiel4 2 33 5 2" xfId="12142"/>
    <cellStyle name="TotRow - Opmaakprofiel4 2 33 5 2 2" xfId="24441"/>
    <cellStyle name="TotRow - Opmaakprofiel4 2 33 5 2 3" xfId="36493"/>
    <cellStyle name="TotRow - Opmaakprofiel4 2 33 5 2 4" xfId="47216"/>
    <cellStyle name="TotRow - Opmaakprofiel4 2 33 5 2 5" xfId="57107"/>
    <cellStyle name="TotRow - Opmaakprofiel4 2 33 5 3" xfId="18803"/>
    <cellStyle name="TotRow - Opmaakprofiel4 2 33 5 4" xfId="30855"/>
    <cellStyle name="TotRow - Opmaakprofiel4 2 33 5 5" xfId="43863"/>
    <cellStyle name="TotRow - Opmaakprofiel4 2 33 5 6" xfId="51559"/>
    <cellStyle name="TotRow - Opmaakprofiel4 2 33 6" xfId="6786"/>
    <cellStyle name="TotRow - Opmaakprofiel4 2 33 6 2" xfId="12143"/>
    <cellStyle name="TotRow - Opmaakprofiel4 2 33 6 2 2" xfId="24442"/>
    <cellStyle name="TotRow - Opmaakprofiel4 2 33 6 2 3" xfId="36494"/>
    <cellStyle name="TotRow - Opmaakprofiel4 2 33 6 2 4" xfId="47217"/>
    <cellStyle name="TotRow - Opmaakprofiel4 2 33 6 2 5" xfId="57108"/>
    <cellStyle name="TotRow - Opmaakprofiel4 2 33 6 3" xfId="18804"/>
    <cellStyle name="TotRow - Opmaakprofiel4 2 33 6 4" xfId="30856"/>
    <cellStyle name="TotRow - Opmaakprofiel4 2 33 6 5" xfId="37287"/>
    <cellStyle name="TotRow - Opmaakprofiel4 2 33 6 6" xfId="51560"/>
    <cellStyle name="TotRow - Opmaakprofiel4 2 33 7" xfId="6787"/>
    <cellStyle name="TotRow - Opmaakprofiel4 2 33 7 2" xfId="18805"/>
    <cellStyle name="TotRow - Opmaakprofiel4 2 33 7 3" xfId="30857"/>
    <cellStyle name="TotRow - Opmaakprofiel4 2 33 7 4" xfId="37286"/>
    <cellStyle name="TotRow - Opmaakprofiel4 2 33 7 5" xfId="51561"/>
    <cellStyle name="TotRow - Opmaakprofiel4 2 33 8" xfId="7027"/>
    <cellStyle name="TotRow - Opmaakprofiel4 2 33 8 2" xfId="19325"/>
    <cellStyle name="TotRow - Opmaakprofiel4 2 33 8 3" xfId="41128"/>
    <cellStyle name="TotRow - Opmaakprofiel4 2 33 8 4" xfId="43680"/>
    <cellStyle name="TotRow - Opmaakprofiel4 2 33 8 5" xfId="51998"/>
    <cellStyle name="TotRow - Opmaakprofiel4 2 33 9" xfId="18799"/>
    <cellStyle name="TotRow - Opmaakprofiel4 2 34" xfId="1358"/>
    <cellStyle name="TotRow - Opmaakprofiel4 2 34 2" xfId="1411"/>
    <cellStyle name="TotRow - Opmaakprofiel4 2 34 2 2" xfId="12144"/>
    <cellStyle name="TotRow - Opmaakprofiel4 2 34 2 2 2" xfId="24443"/>
    <cellStyle name="TotRow - Opmaakprofiel4 2 34 2 2 3" xfId="36495"/>
    <cellStyle name="TotRow - Opmaakprofiel4 2 34 2 2 4" xfId="47218"/>
    <cellStyle name="TotRow - Opmaakprofiel4 2 34 2 2 5" xfId="57109"/>
    <cellStyle name="TotRow - Opmaakprofiel4 2 34 2 3" xfId="18807"/>
    <cellStyle name="TotRow - Opmaakprofiel4 2 34 2 4" xfId="30859"/>
    <cellStyle name="TotRow - Opmaakprofiel4 2 34 2 5" xfId="43862"/>
    <cellStyle name="TotRow - Opmaakprofiel4 2 34 2 6" xfId="51562"/>
    <cellStyle name="TotRow - Opmaakprofiel4 2 34 3" xfId="3369"/>
    <cellStyle name="TotRow - Opmaakprofiel4 2 34 3 2" xfId="12145"/>
    <cellStyle name="TotRow - Opmaakprofiel4 2 34 3 2 2" xfId="24444"/>
    <cellStyle name="TotRow - Opmaakprofiel4 2 34 3 2 3" xfId="36496"/>
    <cellStyle name="TotRow - Opmaakprofiel4 2 34 3 2 4" xfId="47219"/>
    <cellStyle name="TotRow - Opmaakprofiel4 2 34 3 2 5" xfId="57110"/>
    <cellStyle name="TotRow - Opmaakprofiel4 2 34 3 3" xfId="18808"/>
    <cellStyle name="TotRow - Opmaakprofiel4 2 34 3 4" xfId="30860"/>
    <cellStyle name="TotRow - Opmaakprofiel4 2 34 3 5" xfId="37284"/>
    <cellStyle name="TotRow - Opmaakprofiel4 2 34 3 6" xfId="51563"/>
    <cellStyle name="TotRow - Opmaakprofiel4 2 34 4" xfId="4130"/>
    <cellStyle name="TotRow - Opmaakprofiel4 2 34 4 2" xfId="12146"/>
    <cellStyle name="TotRow - Opmaakprofiel4 2 34 4 2 2" xfId="24445"/>
    <cellStyle name="TotRow - Opmaakprofiel4 2 34 4 2 3" xfId="36497"/>
    <cellStyle name="TotRow - Opmaakprofiel4 2 34 4 2 4" xfId="47220"/>
    <cellStyle name="TotRow - Opmaakprofiel4 2 34 4 2 5" xfId="57111"/>
    <cellStyle name="TotRow - Opmaakprofiel4 2 34 4 3" xfId="18809"/>
    <cellStyle name="TotRow - Opmaakprofiel4 2 34 4 4" xfId="30861"/>
    <cellStyle name="TotRow - Opmaakprofiel4 2 34 4 5" xfId="43861"/>
    <cellStyle name="TotRow - Opmaakprofiel4 2 34 4 6" xfId="51564"/>
    <cellStyle name="TotRow - Opmaakprofiel4 2 34 5" xfId="6788"/>
    <cellStyle name="TotRow - Opmaakprofiel4 2 34 5 2" xfId="12147"/>
    <cellStyle name="TotRow - Opmaakprofiel4 2 34 5 2 2" xfId="24446"/>
    <cellStyle name="TotRow - Opmaakprofiel4 2 34 5 2 3" xfId="36498"/>
    <cellStyle name="TotRow - Opmaakprofiel4 2 34 5 2 4" xfId="47221"/>
    <cellStyle name="TotRow - Opmaakprofiel4 2 34 5 2 5" xfId="57112"/>
    <cellStyle name="TotRow - Opmaakprofiel4 2 34 5 3" xfId="18810"/>
    <cellStyle name="TotRow - Opmaakprofiel4 2 34 5 4" xfId="30862"/>
    <cellStyle name="TotRow - Opmaakprofiel4 2 34 5 5" xfId="37283"/>
    <cellStyle name="TotRow - Opmaakprofiel4 2 34 5 6" xfId="51565"/>
    <cellStyle name="TotRow - Opmaakprofiel4 2 34 6" xfId="6789"/>
    <cellStyle name="TotRow - Opmaakprofiel4 2 34 6 2" xfId="12148"/>
    <cellStyle name="TotRow - Opmaakprofiel4 2 34 6 2 2" xfId="24447"/>
    <cellStyle name="TotRow - Opmaakprofiel4 2 34 6 2 3" xfId="36499"/>
    <cellStyle name="TotRow - Opmaakprofiel4 2 34 6 2 4" xfId="47222"/>
    <cellStyle name="TotRow - Opmaakprofiel4 2 34 6 2 5" xfId="57113"/>
    <cellStyle name="TotRow - Opmaakprofiel4 2 34 6 3" xfId="18811"/>
    <cellStyle name="TotRow - Opmaakprofiel4 2 34 6 4" xfId="30863"/>
    <cellStyle name="TotRow - Opmaakprofiel4 2 34 6 5" xfId="43860"/>
    <cellStyle name="TotRow - Opmaakprofiel4 2 34 6 6" xfId="51566"/>
    <cellStyle name="TotRow - Opmaakprofiel4 2 34 7" xfId="6790"/>
    <cellStyle name="TotRow - Opmaakprofiel4 2 34 7 2" xfId="18812"/>
    <cellStyle name="TotRow - Opmaakprofiel4 2 34 7 3" xfId="30864"/>
    <cellStyle name="TotRow - Opmaakprofiel4 2 34 7 4" xfId="37282"/>
    <cellStyle name="TotRow - Opmaakprofiel4 2 34 7 5" xfId="51567"/>
    <cellStyle name="TotRow - Opmaakprofiel4 2 34 8" xfId="7026"/>
    <cellStyle name="TotRow - Opmaakprofiel4 2 34 8 2" xfId="19324"/>
    <cellStyle name="TotRow - Opmaakprofiel4 2 34 8 3" xfId="41127"/>
    <cellStyle name="TotRow - Opmaakprofiel4 2 34 8 4" xfId="37019"/>
    <cellStyle name="TotRow - Opmaakprofiel4 2 34 8 5" xfId="51997"/>
    <cellStyle name="TotRow - Opmaakprofiel4 2 34 9" xfId="18806"/>
    <cellStyle name="TotRow - Opmaakprofiel4 2 35" xfId="1390"/>
    <cellStyle name="TotRow - Opmaakprofiel4 2 35 2" xfId="2476"/>
    <cellStyle name="TotRow - Opmaakprofiel4 2 35 2 2" xfId="12149"/>
    <cellStyle name="TotRow - Opmaakprofiel4 2 35 2 2 2" xfId="24448"/>
    <cellStyle name="TotRow - Opmaakprofiel4 2 35 2 2 3" xfId="36500"/>
    <cellStyle name="TotRow - Opmaakprofiel4 2 35 2 2 4" xfId="47223"/>
    <cellStyle name="TotRow - Opmaakprofiel4 2 35 2 2 5" xfId="57114"/>
    <cellStyle name="TotRow - Opmaakprofiel4 2 35 2 3" xfId="18814"/>
    <cellStyle name="TotRow - Opmaakprofiel4 2 35 2 4" xfId="30866"/>
    <cellStyle name="TotRow - Opmaakprofiel4 2 35 2 5" xfId="37281"/>
    <cellStyle name="TotRow - Opmaakprofiel4 2 35 2 6" xfId="51568"/>
    <cellStyle name="TotRow - Opmaakprofiel4 2 35 3" xfId="3401"/>
    <cellStyle name="TotRow - Opmaakprofiel4 2 35 3 2" xfId="12150"/>
    <cellStyle name="TotRow - Opmaakprofiel4 2 35 3 2 2" xfId="24449"/>
    <cellStyle name="TotRow - Opmaakprofiel4 2 35 3 2 3" xfId="36501"/>
    <cellStyle name="TotRow - Opmaakprofiel4 2 35 3 2 4" xfId="47224"/>
    <cellStyle name="TotRow - Opmaakprofiel4 2 35 3 2 5" xfId="57115"/>
    <cellStyle name="TotRow - Opmaakprofiel4 2 35 3 3" xfId="18815"/>
    <cellStyle name="TotRow - Opmaakprofiel4 2 35 3 4" xfId="30867"/>
    <cellStyle name="TotRow - Opmaakprofiel4 2 35 3 5" xfId="43858"/>
    <cellStyle name="TotRow - Opmaakprofiel4 2 35 3 6" xfId="51569"/>
    <cellStyle name="TotRow - Opmaakprofiel4 2 35 4" xfId="4162"/>
    <cellStyle name="TotRow - Opmaakprofiel4 2 35 4 2" xfId="12151"/>
    <cellStyle name="TotRow - Opmaakprofiel4 2 35 4 2 2" xfId="24450"/>
    <cellStyle name="TotRow - Opmaakprofiel4 2 35 4 2 3" xfId="36502"/>
    <cellStyle name="TotRow - Opmaakprofiel4 2 35 4 2 4" xfId="47225"/>
    <cellStyle name="TotRow - Opmaakprofiel4 2 35 4 2 5" xfId="57116"/>
    <cellStyle name="TotRow - Opmaakprofiel4 2 35 4 3" xfId="18816"/>
    <cellStyle name="TotRow - Opmaakprofiel4 2 35 4 4" xfId="30868"/>
    <cellStyle name="TotRow - Opmaakprofiel4 2 35 4 5" xfId="37280"/>
    <cellStyle name="TotRow - Opmaakprofiel4 2 35 4 6" xfId="51570"/>
    <cellStyle name="TotRow - Opmaakprofiel4 2 35 5" xfId="6791"/>
    <cellStyle name="TotRow - Opmaakprofiel4 2 35 5 2" xfId="12152"/>
    <cellStyle name="TotRow - Opmaakprofiel4 2 35 5 2 2" xfId="24451"/>
    <cellStyle name="TotRow - Opmaakprofiel4 2 35 5 2 3" xfId="36503"/>
    <cellStyle name="TotRow - Opmaakprofiel4 2 35 5 2 4" xfId="47226"/>
    <cellStyle name="TotRow - Opmaakprofiel4 2 35 5 2 5" xfId="57117"/>
    <cellStyle name="TotRow - Opmaakprofiel4 2 35 5 3" xfId="18817"/>
    <cellStyle name="TotRow - Opmaakprofiel4 2 35 5 4" xfId="30869"/>
    <cellStyle name="TotRow - Opmaakprofiel4 2 35 5 5" xfId="37279"/>
    <cellStyle name="TotRow - Opmaakprofiel4 2 35 5 6" xfId="51571"/>
    <cellStyle name="TotRow - Opmaakprofiel4 2 35 6" xfId="6792"/>
    <cellStyle name="TotRow - Opmaakprofiel4 2 35 6 2" xfId="12153"/>
    <cellStyle name="TotRow - Opmaakprofiel4 2 35 6 2 2" xfId="24452"/>
    <cellStyle name="TotRow - Opmaakprofiel4 2 35 6 2 3" xfId="36504"/>
    <cellStyle name="TotRow - Opmaakprofiel4 2 35 6 2 4" xfId="47227"/>
    <cellStyle name="TotRow - Opmaakprofiel4 2 35 6 2 5" xfId="57118"/>
    <cellStyle name="TotRow - Opmaakprofiel4 2 35 6 3" xfId="18818"/>
    <cellStyle name="TotRow - Opmaakprofiel4 2 35 6 4" xfId="30870"/>
    <cellStyle name="TotRow - Opmaakprofiel4 2 35 6 5" xfId="37278"/>
    <cellStyle name="TotRow - Opmaakprofiel4 2 35 6 6" xfId="51572"/>
    <cellStyle name="TotRow - Opmaakprofiel4 2 35 7" xfId="6793"/>
    <cellStyle name="TotRow - Opmaakprofiel4 2 35 7 2" xfId="18819"/>
    <cellStyle name="TotRow - Opmaakprofiel4 2 35 7 3" xfId="30871"/>
    <cellStyle name="TotRow - Opmaakprofiel4 2 35 7 4" xfId="43857"/>
    <cellStyle name="TotRow - Opmaakprofiel4 2 35 7 5" xfId="51573"/>
    <cellStyle name="TotRow - Opmaakprofiel4 2 35 8" xfId="6998"/>
    <cellStyle name="TotRow - Opmaakprofiel4 2 35 8 2" xfId="19296"/>
    <cellStyle name="TotRow - Opmaakprofiel4 2 35 8 3" xfId="41099"/>
    <cellStyle name="TotRow - Opmaakprofiel4 2 35 8 4" xfId="37035"/>
    <cellStyle name="TotRow - Opmaakprofiel4 2 35 8 5" xfId="51969"/>
    <cellStyle name="TotRow - Opmaakprofiel4 2 35 9" xfId="18813"/>
    <cellStyle name="TotRow - Opmaakprofiel4 2 36" xfId="1727"/>
    <cellStyle name="TotRow - Opmaakprofiel4 2 36 2" xfId="12154"/>
    <cellStyle name="TotRow - Opmaakprofiel4 2 36 2 2" xfId="24453"/>
    <cellStyle name="TotRow - Opmaakprofiel4 2 36 2 3" xfId="36505"/>
    <cellStyle name="TotRow - Opmaakprofiel4 2 36 2 4" xfId="47228"/>
    <cellStyle name="TotRow - Opmaakprofiel4 2 36 2 5" xfId="57119"/>
    <cellStyle name="TotRow - Opmaakprofiel4 2 36 3" xfId="18820"/>
    <cellStyle name="TotRow - Opmaakprofiel4 2 36 4" xfId="30872"/>
    <cellStyle name="TotRow - Opmaakprofiel4 2 36 5" xfId="37277"/>
    <cellStyle name="TotRow - Opmaakprofiel4 2 36 6" xfId="51574"/>
    <cellStyle name="TotRow - Opmaakprofiel4 2 37" xfId="1833"/>
    <cellStyle name="TotRow - Opmaakprofiel4 2 37 2" xfId="12155"/>
    <cellStyle name="TotRow - Opmaakprofiel4 2 37 2 2" xfId="24454"/>
    <cellStyle name="TotRow - Opmaakprofiel4 2 37 2 3" xfId="36506"/>
    <cellStyle name="TotRow - Opmaakprofiel4 2 37 2 4" xfId="47229"/>
    <cellStyle name="TotRow - Opmaakprofiel4 2 37 2 5" xfId="57120"/>
    <cellStyle name="TotRow - Opmaakprofiel4 2 37 3" xfId="18821"/>
    <cellStyle name="TotRow - Opmaakprofiel4 2 37 4" xfId="30873"/>
    <cellStyle name="TotRow - Opmaakprofiel4 2 37 5" xfId="43856"/>
    <cellStyle name="TotRow - Opmaakprofiel4 2 37 6" xfId="51575"/>
    <cellStyle name="TotRow - Opmaakprofiel4 2 38" xfId="2748"/>
    <cellStyle name="TotRow - Opmaakprofiel4 2 38 2" xfId="12156"/>
    <cellStyle name="TotRow - Opmaakprofiel4 2 38 2 2" xfId="24455"/>
    <cellStyle name="TotRow - Opmaakprofiel4 2 38 2 3" xfId="36507"/>
    <cellStyle name="TotRow - Opmaakprofiel4 2 38 2 4" xfId="47230"/>
    <cellStyle name="TotRow - Opmaakprofiel4 2 38 2 5" xfId="57121"/>
    <cellStyle name="TotRow - Opmaakprofiel4 2 38 3" xfId="18822"/>
    <cellStyle name="TotRow - Opmaakprofiel4 2 38 4" xfId="30874"/>
    <cellStyle name="TotRow - Opmaakprofiel4 2 38 5" xfId="37276"/>
    <cellStyle name="TotRow - Opmaakprofiel4 2 38 6" xfId="51576"/>
    <cellStyle name="TotRow - Opmaakprofiel4 2 39" xfId="6794"/>
    <cellStyle name="TotRow - Opmaakprofiel4 2 39 2" xfId="12157"/>
    <cellStyle name="TotRow - Opmaakprofiel4 2 39 2 2" xfId="24456"/>
    <cellStyle name="TotRow - Opmaakprofiel4 2 39 2 3" xfId="36508"/>
    <cellStyle name="TotRow - Opmaakprofiel4 2 39 2 4" xfId="47231"/>
    <cellStyle name="TotRow - Opmaakprofiel4 2 39 2 5" xfId="57122"/>
    <cellStyle name="TotRow - Opmaakprofiel4 2 39 3" xfId="18823"/>
    <cellStyle name="TotRow - Opmaakprofiel4 2 39 4" xfId="30875"/>
    <cellStyle name="TotRow - Opmaakprofiel4 2 39 5" xfId="43855"/>
    <cellStyle name="TotRow - Opmaakprofiel4 2 39 6" xfId="51577"/>
    <cellStyle name="TotRow - Opmaakprofiel4 2 4" xfId="748"/>
    <cellStyle name="TotRow - Opmaakprofiel4 2 4 10" xfId="6795"/>
    <cellStyle name="TotRow - Opmaakprofiel4 2 4 10 2" xfId="12158"/>
    <cellStyle name="TotRow - Opmaakprofiel4 2 4 10 2 2" xfId="24457"/>
    <cellStyle name="TotRow - Opmaakprofiel4 2 4 10 2 3" xfId="36509"/>
    <cellStyle name="TotRow - Opmaakprofiel4 2 4 10 2 4" xfId="47232"/>
    <cellStyle name="TotRow - Opmaakprofiel4 2 4 10 2 5" xfId="57123"/>
    <cellStyle name="TotRow - Opmaakprofiel4 2 4 10 3" xfId="18825"/>
    <cellStyle name="TotRow - Opmaakprofiel4 2 4 10 4" xfId="30877"/>
    <cellStyle name="TotRow - Opmaakprofiel4 2 4 10 5" xfId="43854"/>
    <cellStyle name="TotRow - Opmaakprofiel4 2 4 10 6" xfId="51578"/>
    <cellStyle name="TotRow - Opmaakprofiel4 2 4 11" xfId="6796"/>
    <cellStyle name="TotRow - Opmaakprofiel4 2 4 11 2" xfId="12159"/>
    <cellStyle name="TotRow - Opmaakprofiel4 2 4 11 2 2" xfId="24458"/>
    <cellStyle name="TotRow - Opmaakprofiel4 2 4 11 2 3" xfId="36510"/>
    <cellStyle name="TotRow - Opmaakprofiel4 2 4 11 2 4" xfId="47233"/>
    <cellStyle name="TotRow - Opmaakprofiel4 2 4 11 2 5" xfId="57124"/>
    <cellStyle name="TotRow - Opmaakprofiel4 2 4 11 3" xfId="18826"/>
    <cellStyle name="TotRow - Opmaakprofiel4 2 4 11 4" xfId="30878"/>
    <cellStyle name="TotRow - Opmaakprofiel4 2 4 11 5" xfId="37274"/>
    <cellStyle name="TotRow - Opmaakprofiel4 2 4 11 6" xfId="51579"/>
    <cellStyle name="TotRow - Opmaakprofiel4 2 4 12" xfId="6797"/>
    <cellStyle name="TotRow - Opmaakprofiel4 2 4 12 2" xfId="18827"/>
    <cellStyle name="TotRow - Opmaakprofiel4 2 4 12 3" xfId="30879"/>
    <cellStyle name="TotRow - Opmaakprofiel4 2 4 12 4" xfId="43853"/>
    <cellStyle name="TotRow - Opmaakprofiel4 2 4 12 5" xfId="51580"/>
    <cellStyle name="TotRow - Opmaakprofiel4 2 4 13" xfId="7482"/>
    <cellStyle name="TotRow - Opmaakprofiel4 2 4 13 2" xfId="19780"/>
    <cellStyle name="TotRow - Opmaakprofiel4 2 4 13 3" xfId="41583"/>
    <cellStyle name="TotRow - Opmaakprofiel4 2 4 13 4" xfId="43490"/>
    <cellStyle name="TotRow - Opmaakprofiel4 2 4 13 5" xfId="52452"/>
    <cellStyle name="TotRow - Opmaakprofiel4 2 4 14" xfId="18824"/>
    <cellStyle name="TotRow - Opmaakprofiel4 2 4 2" xfId="918"/>
    <cellStyle name="TotRow - Opmaakprofiel4 2 4 2 2" xfId="2034"/>
    <cellStyle name="TotRow - Opmaakprofiel4 2 4 2 2 2" xfId="12160"/>
    <cellStyle name="TotRow - Opmaakprofiel4 2 4 2 2 2 2" xfId="24459"/>
    <cellStyle name="TotRow - Opmaakprofiel4 2 4 2 2 2 3" xfId="36511"/>
    <cellStyle name="TotRow - Opmaakprofiel4 2 4 2 2 2 4" xfId="47234"/>
    <cellStyle name="TotRow - Opmaakprofiel4 2 4 2 2 2 5" xfId="57125"/>
    <cellStyle name="TotRow - Opmaakprofiel4 2 4 2 2 3" xfId="18829"/>
    <cellStyle name="TotRow - Opmaakprofiel4 2 4 2 2 4" xfId="30881"/>
    <cellStyle name="TotRow - Opmaakprofiel4 2 4 2 2 5" xfId="37273"/>
    <cellStyle name="TotRow - Opmaakprofiel4 2 4 2 2 6" xfId="51581"/>
    <cellStyle name="TotRow - Opmaakprofiel4 2 4 2 3" xfId="2929"/>
    <cellStyle name="TotRow - Opmaakprofiel4 2 4 2 3 2" xfId="12161"/>
    <cellStyle name="TotRow - Opmaakprofiel4 2 4 2 3 2 2" xfId="24460"/>
    <cellStyle name="TotRow - Opmaakprofiel4 2 4 2 3 2 3" xfId="36512"/>
    <cellStyle name="TotRow - Opmaakprofiel4 2 4 2 3 2 4" xfId="47235"/>
    <cellStyle name="TotRow - Opmaakprofiel4 2 4 2 3 2 5" xfId="57126"/>
    <cellStyle name="TotRow - Opmaakprofiel4 2 4 2 3 3" xfId="18830"/>
    <cellStyle name="TotRow - Opmaakprofiel4 2 4 2 3 4" xfId="30882"/>
    <cellStyle name="TotRow - Opmaakprofiel4 2 4 2 3 5" xfId="37272"/>
    <cellStyle name="TotRow - Opmaakprofiel4 2 4 2 3 6" xfId="51582"/>
    <cellStyle name="TotRow - Opmaakprofiel4 2 4 2 4" xfId="3781"/>
    <cellStyle name="TotRow - Opmaakprofiel4 2 4 2 4 2" xfId="12162"/>
    <cellStyle name="TotRow - Opmaakprofiel4 2 4 2 4 2 2" xfId="24461"/>
    <cellStyle name="TotRow - Opmaakprofiel4 2 4 2 4 2 3" xfId="36513"/>
    <cellStyle name="TotRow - Opmaakprofiel4 2 4 2 4 2 4" xfId="47236"/>
    <cellStyle name="TotRow - Opmaakprofiel4 2 4 2 4 2 5" xfId="57127"/>
    <cellStyle name="TotRow - Opmaakprofiel4 2 4 2 4 3" xfId="18831"/>
    <cellStyle name="TotRow - Opmaakprofiel4 2 4 2 4 4" xfId="30883"/>
    <cellStyle name="TotRow - Opmaakprofiel4 2 4 2 4 5" xfId="43852"/>
    <cellStyle name="TotRow - Opmaakprofiel4 2 4 2 4 6" xfId="51583"/>
    <cellStyle name="TotRow - Opmaakprofiel4 2 4 2 5" xfId="6798"/>
    <cellStyle name="TotRow - Opmaakprofiel4 2 4 2 5 2" xfId="12163"/>
    <cellStyle name="TotRow - Opmaakprofiel4 2 4 2 5 2 2" xfId="24462"/>
    <cellStyle name="TotRow - Opmaakprofiel4 2 4 2 5 2 3" xfId="36514"/>
    <cellStyle name="TotRow - Opmaakprofiel4 2 4 2 5 2 4" xfId="47237"/>
    <cellStyle name="TotRow - Opmaakprofiel4 2 4 2 5 2 5" xfId="57128"/>
    <cellStyle name="TotRow - Opmaakprofiel4 2 4 2 5 3" xfId="18832"/>
    <cellStyle name="TotRow - Opmaakprofiel4 2 4 2 5 4" xfId="30884"/>
    <cellStyle name="TotRow - Opmaakprofiel4 2 4 2 5 5" xfId="37271"/>
    <cellStyle name="TotRow - Opmaakprofiel4 2 4 2 5 6" xfId="51584"/>
    <cellStyle name="TotRow - Opmaakprofiel4 2 4 2 6" xfId="6799"/>
    <cellStyle name="TotRow - Opmaakprofiel4 2 4 2 6 2" xfId="12164"/>
    <cellStyle name="TotRow - Opmaakprofiel4 2 4 2 6 2 2" xfId="24463"/>
    <cellStyle name="TotRow - Opmaakprofiel4 2 4 2 6 2 3" xfId="36515"/>
    <cellStyle name="TotRow - Opmaakprofiel4 2 4 2 6 2 4" xfId="47238"/>
    <cellStyle name="TotRow - Opmaakprofiel4 2 4 2 6 2 5" xfId="57129"/>
    <cellStyle name="TotRow - Opmaakprofiel4 2 4 2 6 3" xfId="18833"/>
    <cellStyle name="TotRow - Opmaakprofiel4 2 4 2 6 4" xfId="30885"/>
    <cellStyle name="TotRow - Opmaakprofiel4 2 4 2 6 5" xfId="43851"/>
    <cellStyle name="TotRow - Opmaakprofiel4 2 4 2 6 6" xfId="51585"/>
    <cellStyle name="TotRow - Opmaakprofiel4 2 4 2 7" xfId="6800"/>
    <cellStyle name="TotRow - Opmaakprofiel4 2 4 2 7 2" xfId="18834"/>
    <cellStyle name="TotRow - Opmaakprofiel4 2 4 2 7 3" xfId="30886"/>
    <cellStyle name="TotRow - Opmaakprofiel4 2 4 2 7 4" xfId="37270"/>
    <cellStyle name="TotRow - Opmaakprofiel4 2 4 2 7 5" xfId="51586"/>
    <cellStyle name="TotRow - Opmaakprofiel4 2 4 2 8" xfId="7367"/>
    <cellStyle name="TotRow - Opmaakprofiel4 2 4 2 8 2" xfId="19665"/>
    <cellStyle name="TotRow - Opmaakprofiel4 2 4 2 8 3" xfId="41468"/>
    <cellStyle name="TotRow - Opmaakprofiel4 2 4 2 8 4" xfId="17921"/>
    <cellStyle name="TotRow - Opmaakprofiel4 2 4 2 8 5" xfId="52337"/>
    <cellStyle name="TotRow - Opmaakprofiel4 2 4 2 9" xfId="18828"/>
    <cellStyle name="TotRow - Opmaakprofiel4 2 4 3" xfId="1015"/>
    <cellStyle name="TotRow - Opmaakprofiel4 2 4 3 2" xfId="1603"/>
    <cellStyle name="TotRow - Opmaakprofiel4 2 4 3 2 2" xfId="12165"/>
    <cellStyle name="TotRow - Opmaakprofiel4 2 4 3 2 2 2" xfId="24464"/>
    <cellStyle name="TotRow - Opmaakprofiel4 2 4 3 2 2 3" xfId="36516"/>
    <cellStyle name="TotRow - Opmaakprofiel4 2 4 3 2 2 4" xfId="47239"/>
    <cellStyle name="TotRow - Opmaakprofiel4 2 4 3 2 2 5" xfId="57130"/>
    <cellStyle name="TotRow - Opmaakprofiel4 2 4 3 2 3" xfId="18836"/>
    <cellStyle name="TotRow - Opmaakprofiel4 2 4 3 2 4" xfId="30888"/>
    <cellStyle name="TotRow - Opmaakprofiel4 2 4 3 2 5" xfId="37269"/>
    <cellStyle name="TotRow - Opmaakprofiel4 2 4 3 2 6" xfId="51587"/>
    <cellStyle name="TotRow - Opmaakprofiel4 2 4 3 3" xfId="3026"/>
    <cellStyle name="TotRow - Opmaakprofiel4 2 4 3 3 2" xfId="12166"/>
    <cellStyle name="TotRow - Opmaakprofiel4 2 4 3 3 2 2" xfId="24465"/>
    <cellStyle name="TotRow - Opmaakprofiel4 2 4 3 3 2 3" xfId="36517"/>
    <cellStyle name="TotRow - Opmaakprofiel4 2 4 3 3 2 4" xfId="47240"/>
    <cellStyle name="TotRow - Opmaakprofiel4 2 4 3 3 2 5" xfId="57131"/>
    <cellStyle name="TotRow - Opmaakprofiel4 2 4 3 3 3" xfId="18837"/>
    <cellStyle name="TotRow - Opmaakprofiel4 2 4 3 3 4" xfId="30889"/>
    <cellStyle name="TotRow - Opmaakprofiel4 2 4 3 3 5" xfId="43849"/>
    <cellStyle name="TotRow - Opmaakprofiel4 2 4 3 3 6" xfId="51588"/>
    <cellStyle name="TotRow - Opmaakprofiel4 2 4 3 4" xfId="3871"/>
    <cellStyle name="TotRow - Opmaakprofiel4 2 4 3 4 2" xfId="12167"/>
    <cellStyle name="TotRow - Opmaakprofiel4 2 4 3 4 2 2" xfId="24466"/>
    <cellStyle name="TotRow - Opmaakprofiel4 2 4 3 4 2 3" xfId="36518"/>
    <cellStyle name="TotRow - Opmaakprofiel4 2 4 3 4 2 4" xfId="47241"/>
    <cellStyle name="TotRow - Opmaakprofiel4 2 4 3 4 2 5" xfId="57132"/>
    <cellStyle name="TotRow - Opmaakprofiel4 2 4 3 4 3" xfId="18838"/>
    <cellStyle name="TotRow - Opmaakprofiel4 2 4 3 4 4" xfId="30890"/>
    <cellStyle name="TotRow - Opmaakprofiel4 2 4 3 4 5" xfId="37268"/>
    <cellStyle name="TotRow - Opmaakprofiel4 2 4 3 4 6" xfId="51589"/>
    <cellStyle name="TotRow - Opmaakprofiel4 2 4 3 5" xfId="6801"/>
    <cellStyle name="TotRow - Opmaakprofiel4 2 4 3 5 2" xfId="12168"/>
    <cellStyle name="TotRow - Opmaakprofiel4 2 4 3 5 2 2" xfId="24467"/>
    <cellStyle name="TotRow - Opmaakprofiel4 2 4 3 5 2 3" xfId="36519"/>
    <cellStyle name="TotRow - Opmaakprofiel4 2 4 3 5 2 4" xfId="47242"/>
    <cellStyle name="TotRow - Opmaakprofiel4 2 4 3 5 2 5" xfId="57133"/>
    <cellStyle name="TotRow - Opmaakprofiel4 2 4 3 5 3" xfId="18839"/>
    <cellStyle name="TotRow - Opmaakprofiel4 2 4 3 5 4" xfId="30891"/>
    <cellStyle name="TotRow - Opmaakprofiel4 2 4 3 5 5" xfId="43848"/>
    <cellStyle name="TotRow - Opmaakprofiel4 2 4 3 5 6" xfId="51590"/>
    <cellStyle name="TotRow - Opmaakprofiel4 2 4 3 6" xfId="6802"/>
    <cellStyle name="TotRow - Opmaakprofiel4 2 4 3 6 2" xfId="12169"/>
    <cellStyle name="TotRow - Opmaakprofiel4 2 4 3 6 2 2" xfId="24468"/>
    <cellStyle name="TotRow - Opmaakprofiel4 2 4 3 6 2 3" xfId="36520"/>
    <cellStyle name="TotRow - Opmaakprofiel4 2 4 3 6 2 4" xfId="47243"/>
    <cellStyle name="TotRow - Opmaakprofiel4 2 4 3 6 2 5" xfId="57134"/>
    <cellStyle name="TotRow - Opmaakprofiel4 2 4 3 6 3" xfId="18840"/>
    <cellStyle name="TotRow - Opmaakprofiel4 2 4 3 6 4" xfId="30892"/>
    <cellStyle name="TotRow - Opmaakprofiel4 2 4 3 6 5" xfId="37267"/>
    <cellStyle name="TotRow - Opmaakprofiel4 2 4 3 6 6" xfId="51591"/>
    <cellStyle name="TotRow - Opmaakprofiel4 2 4 3 7" xfId="6803"/>
    <cellStyle name="TotRow - Opmaakprofiel4 2 4 3 7 2" xfId="18841"/>
    <cellStyle name="TotRow - Opmaakprofiel4 2 4 3 7 3" xfId="30893"/>
    <cellStyle name="TotRow - Opmaakprofiel4 2 4 3 7 4" xfId="37266"/>
    <cellStyle name="TotRow - Opmaakprofiel4 2 4 3 7 5" xfId="51592"/>
    <cellStyle name="TotRow - Opmaakprofiel4 2 4 3 8" xfId="7300"/>
    <cellStyle name="TotRow - Opmaakprofiel4 2 4 3 8 2" xfId="19598"/>
    <cellStyle name="TotRow - Opmaakprofiel4 2 4 3 8 3" xfId="41401"/>
    <cellStyle name="TotRow - Opmaakprofiel4 2 4 3 8 4" xfId="36859"/>
    <cellStyle name="TotRow - Opmaakprofiel4 2 4 3 8 5" xfId="52270"/>
    <cellStyle name="TotRow - Opmaakprofiel4 2 4 3 9" xfId="18835"/>
    <cellStyle name="TotRow - Opmaakprofiel4 2 4 4" xfId="670"/>
    <cellStyle name="TotRow - Opmaakprofiel4 2 4 4 2" xfId="1951"/>
    <cellStyle name="TotRow - Opmaakprofiel4 2 4 4 2 2" xfId="12170"/>
    <cellStyle name="TotRow - Opmaakprofiel4 2 4 4 2 2 2" xfId="24469"/>
    <cellStyle name="TotRow - Opmaakprofiel4 2 4 4 2 2 3" xfId="36521"/>
    <cellStyle name="TotRow - Opmaakprofiel4 2 4 4 2 2 4" xfId="47244"/>
    <cellStyle name="TotRow - Opmaakprofiel4 2 4 4 2 2 5" xfId="57135"/>
    <cellStyle name="TotRow - Opmaakprofiel4 2 4 4 2 3" xfId="18843"/>
    <cellStyle name="TotRow - Opmaakprofiel4 2 4 4 2 4" xfId="30895"/>
    <cellStyle name="TotRow - Opmaakprofiel4 2 4 4 2 5" xfId="43847"/>
    <cellStyle name="TotRow - Opmaakprofiel4 2 4 4 2 6" xfId="51593"/>
    <cellStyle name="TotRow - Opmaakprofiel4 2 4 4 3" xfId="2736"/>
    <cellStyle name="TotRow - Opmaakprofiel4 2 4 4 3 2" xfId="12171"/>
    <cellStyle name="TotRow - Opmaakprofiel4 2 4 4 3 2 2" xfId="24470"/>
    <cellStyle name="TotRow - Opmaakprofiel4 2 4 4 3 2 3" xfId="36522"/>
    <cellStyle name="TotRow - Opmaakprofiel4 2 4 4 3 2 4" xfId="47245"/>
    <cellStyle name="TotRow - Opmaakprofiel4 2 4 4 3 2 5" xfId="57136"/>
    <cellStyle name="TotRow - Opmaakprofiel4 2 4 4 3 3" xfId="18844"/>
    <cellStyle name="TotRow - Opmaakprofiel4 2 4 4 3 4" xfId="30896"/>
    <cellStyle name="TotRow - Opmaakprofiel4 2 4 4 3 5" xfId="37264"/>
    <cellStyle name="TotRow - Opmaakprofiel4 2 4 4 3 6" xfId="51594"/>
    <cellStyle name="TotRow - Opmaakprofiel4 2 4 4 4" xfId="3603"/>
    <cellStyle name="TotRow - Opmaakprofiel4 2 4 4 4 2" xfId="12172"/>
    <cellStyle name="TotRow - Opmaakprofiel4 2 4 4 4 2 2" xfId="24471"/>
    <cellStyle name="TotRow - Opmaakprofiel4 2 4 4 4 2 3" xfId="36523"/>
    <cellStyle name="TotRow - Opmaakprofiel4 2 4 4 4 2 4" xfId="47246"/>
    <cellStyle name="TotRow - Opmaakprofiel4 2 4 4 4 2 5" xfId="57137"/>
    <cellStyle name="TotRow - Opmaakprofiel4 2 4 4 4 3" xfId="18845"/>
    <cellStyle name="TotRow - Opmaakprofiel4 2 4 4 4 4" xfId="30897"/>
    <cellStyle name="TotRow - Opmaakprofiel4 2 4 4 4 5" xfId="43846"/>
    <cellStyle name="TotRow - Opmaakprofiel4 2 4 4 4 6" xfId="51595"/>
    <cellStyle name="TotRow - Opmaakprofiel4 2 4 4 5" xfId="6804"/>
    <cellStyle name="TotRow - Opmaakprofiel4 2 4 4 5 2" xfId="12173"/>
    <cellStyle name="TotRow - Opmaakprofiel4 2 4 4 5 2 2" xfId="24472"/>
    <cellStyle name="TotRow - Opmaakprofiel4 2 4 4 5 2 3" xfId="36524"/>
    <cellStyle name="TotRow - Opmaakprofiel4 2 4 4 5 2 4" xfId="47247"/>
    <cellStyle name="TotRow - Opmaakprofiel4 2 4 4 5 2 5" xfId="57138"/>
    <cellStyle name="TotRow - Opmaakprofiel4 2 4 4 5 3" xfId="18846"/>
    <cellStyle name="TotRow - Opmaakprofiel4 2 4 4 5 4" xfId="30898"/>
    <cellStyle name="TotRow - Opmaakprofiel4 2 4 4 5 5" xfId="37263"/>
    <cellStyle name="TotRow - Opmaakprofiel4 2 4 4 5 6" xfId="51596"/>
    <cellStyle name="TotRow - Opmaakprofiel4 2 4 4 6" xfId="6805"/>
    <cellStyle name="TotRow - Opmaakprofiel4 2 4 4 6 2" xfId="12174"/>
    <cellStyle name="TotRow - Opmaakprofiel4 2 4 4 6 2 2" xfId="24473"/>
    <cellStyle name="TotRow - Opmaakprofiel4 2 4 4 6 2 3" xfId="36525"/>
    <cellStyle name="TotRow - Opmaakprofiel4 2 4 4 6 2 4" xfId="47248"/>
    <cellStyle name="TotRow - Opmaakprofiel4 2 4 4 6 2 5" xfId="57139"/>
    <cellStyle name="TotRow - Opmaakprofiel4 2 4 4 6 3" xfId="18847"/>
    <cellStyle name="TotRow - Opmaakprofiel4 2 4 4 6 4" xfId="30899"/>
    <cellStyle name="TotRow - Opmaakprofiel4 2 4 4 6 5" xfId="43845"/>
    <cellStyle name="TotRow - Opmaakprofiel4 2 4 4 6 6" xfId="51597"/>
    <cellStyle name="TotRow - Opmaakprofiel4 2 4 4 7" xfId="6806"/>
    <cellStyle name="TotRow - Opmaakprofiel4 2 4 4 7 2" xfId="18848"/>
    <cellStyle name="TotRow - Opmaakprofiel4 2 4 4 7 3" xfId="30900"/>
    <cellStyle name="TotRow - Opmaakprofiel4 2 4 4 7 4" xfId="37262"/>
    <cellStyle name="TotRow - Opmaakprofiel4 2 4 4 7 5" xfId="51598"/>
    <cellStyle name="TotRow - Opmaakprofiel4 2 4 4 8" xfId="10226"/>
    <cellStyle name="TotRow - Opmaakprofiel4 2 4 4 8 2" xfId="22524"/>
    <cellStyle name="TotRow - Opmaakprofiel4 2 4 4 8 3" xfId="44286"/>
    <cellStyle name="TotRow - Opmaakprofiel4 2 4 4 8 4" xfId="42363"/>
    <cellStyle name="TotRow - Opmaakprofiel4 2 4 4 8 5" xfId="55191"/>
    <cellStyle name="TotRow - Opmaakprofiel4 2 4 4 9" xfId="18842"/>
    <cellStyle name="TotRow - Opmaakprofiel4 2 4 5" xfId="1186"/>
    <cellStyle name="TotRow - Opmaakprofiel4 2 4 5 2" xfId="2032"/>
    <cellStyle name="TotRow - Opmaakprofiel4 2 4 5 2 2" xfId="12175"/>
    <cellStyle name="TotRow - Opmaakprofiel4 2 4 5 2 2 2" xfId="24474"/>
    <cellStyle name="TotRow - Opmaakprofiel4 2 4 5 2 2 3" xfId="36526"/>
    <cellStyle name="TotRow - Opmaakprofiel4 2 4 5 2 2 4" xfId="47249"/>
    <cellStyle name="TotRow - Opmaakprofiel4 2 4 5 2 2 5" xfId="57140"/>
    <cellStyle name="TotRow - Opmaakprofiel4 2 4 5 2 3" xfId="18850"/>
    <cellStyle name="TotRow - Opmaakprofiel4 2 4 5 2 4" xfId="30902"/>
    <cellStyle name="TotRow - Opmaakprofiel4 2 4 5 2 5" xfId="37261"/>
    <cellStyle name="TotRow - Opmaakprofiel4 2 4 5 2 6" xfId="51599"/>
    <cellStyle name="TotRow - Opmaakprofiel4 2 4 5 3" xfId="3197"/>
    <cellStyle name="TotRow - Opmaakprofiel4 2 4 5 3 2" xfId="12176"/>
    <cellStyle name="TotRow - Opmaakprofiel4 2 4 5 3 2 2" xfId="24475"/>
    <cellStyle name="TotRow - Opmaakprofiel4 2 4 5 3 2 3" xfId="36527"/>
    <cellStyle name="TotRow - Opmaakprofiel4 2 4 5 3 2 4" xfId="47250"/>
    <cellStyle name="TotRow - Opmaakprofiel4 2 4 5 3 2 5" xfId="57141"/>
    <cellStyle name="TotRow - Opmaakprofiel4 2 4 5 3 3" xfId="18851"/>
    <cellStyle name="TotRow - Opmaakprofiel4 2 4 5 3 4" xfId="30903"/>
    <cellStyle name="TotRow - Opmaakprofiel4 2 4 5 3 5" xfId="43843"/>
    <cellStyle name="TotRow - Opmaakprofiel4 2 4 5 3 6" xfId="51600"/>
    <cellStyle name="TotRow - Opmaakprofiel4 2 4 5 4" xfId="4016"/>
    <cellStyle name="TotRow - Opmaakprofiel4 2 4 5 4 2" xfId="12177"/>
    <cellStyle name="TotRow - Opmaakprofiel4 2 4 5 4 2 2" xfId="24476"/>
    <cellStyle name="TotRow - Opmaakprofiel4 2 4 5 4 2 3" xfId="36528"/>
    <cellStyle name="TotRow - Opmaakprofiel4 2 4 5 4 2 4" xfId="47251"/>
    <cellStyle name="TotRow - Opmaakprofiel4 2 4 5 4 2 5" xfId="57142"/>
    <cellStyle name="TotRow - Opmaakprofiel4 2 4 5 4 3" xfId="18852"/>
    <cellStyle name="TotRow - Opmaakprofiel4 2 4 5 4 4" xfId="30904"/>
    <cellStyle name="TotRow - Opmaakprofiel4 2 4 5 4 5" xfId="37260"/>
    <cellStyle name="TotRow - Opmaakprofiel4 2 4 5 4 6" xfId="51601"/>
    <cellStyle name="TotRow - Opmaakprofiel4 2 4 5 5" xfId="6807"/>
    <cellStyle name="TotRow - Opmaakprofiel4 2 4 5 5 2" xfId="12178"/>
    <cellStyle name="TotRow - Opmaakprofiel4 2 4 5 5 2 2" xfId="24477"/>
    <cellStyle name="TotRow - Opmaakprofiel4 2 4 5 5 2 3" xfId="36529"/>
    <cellStyle name="TotRow - Opmaakprofiel4 2 4 5 5 2 4" xfId="47252"/>
    <cellStyle name="TotRow - Opmaakprofiel4 2 4 5 5 2 5" xfId="57143"/>
    <cellStyle name="TotRow - Opmaakprofiel4 2 4 5 5 3" xfId="18853"/>
    <cellStyle name="TotRow - Opmaakprofiel4 2 4 5 5 4" xfId="30905"/>
    <cellStyle name="TotRow - Opmaakprofiel4 2 4 5 5 5" xfId="37259"/>
    <cellStyle name="TotRow - Opmaakprofiel4 2 4 5 5 6" xfId="51602"/>
    <cellStyle name="TotRow - Opmaakprofiel4 2 4 5 6" xfId="6808"/>
    <cellStyle name="TotRow - Opmaakprofiel4 2 4 5 6 2" xfId="12179"/>
    <cellStyle name="TotRow - Opmaakprofiel4 2 4 5 6 2 2" xfId="24478"/>
    <cellStyle name="TotRow - Opmaakprofiel4 2 4 5 6 2 3" xfId="36530"/>
    <cellStyle name="TotRow - Opmaakprofiel4 2 4 5 6 2 4" xfId="47253"/>
    <cellStyle name="TotRow - Opmaakprofiel4 2 4 5 6 2 5" xfId="57144"/>
    <cellStyle name="TotRow - Opmaakprofiel4 2 4 5 6 3" xfId="18854"/>
    <cellStyle name="TotRow - Opmaakprofiel4 2 4 5 6 4" xfId="30906"/>
    <cellStyle name="TotRow - Opmaakprofiel4 2 4 5 6 5" xfId="37258"/>
    <cellStyle name="TotRow - Opmaakprofiel4 2 4 5 6 6" xfId="51603"/>
    <cellStyle name="TotRow - Opmaakprofiel4 2 4 5 7" xfId="6809"/>
    <cellStyle name="TotRow - Opmaakprofiel4 2 4 5 7 2" xfId="18855"/>
    <cellStyle name="TotRow - Opmaakprofiel4 2 4 5 7 3" xfId="30907"/>
    <cellStyle name="TotRow - Opmaakprofiel4 2 4 5 7 4" xfId="43842"/>
    <cellStyle name="TotRow - Opmaakprofiel4 2 4 5 7 5" xfId="51604"/>
    <cellStyle name="TotRow - Opmaakprofiel4 2 4 5 8" xfId="7185"/>
    <cellStyle name="TotRow - Opmaakprofiel4 2 4 5 8 2" xfId="19483"/>
    <cellStyle name="TotRow - Opmaakprofiel4 2 4 5 8 3" xfId="41286"/>
    <cellStyle name="TotRow - Opmaakprofiel4 2 4 5 8 4" xfId="36926"/>
    <cellStyle name="TotRow - Opmaakprofiel4 2 4 5 8 5" xfId="52155"/>
    <cellStyle name="TotRow - Opmaakprofiel4 2 4 5 9" xfId="18849"/>
    <cellStyle name="TotRow - Opmaakprofiel4 2 4 6" xfId="1284"/>
    <cellStyle name="TotRow - Opmaakprofiel4 2 4 6 2" xfId="2118"/>
    <cellStyle name="TotRow - Opmaakprofiel4 2 4 6 2 2" xfId="12180"/>
    <cellStyle name="TotRow - Opmaakprofiel4 2 4 6 2 2 2" xfId="24479"/>
    <cellStyle name="TotRow - Opmaakprofiel4 2 4 6 2 2 3" xfId="36531"/>
    <cellStyle name="TotRow - Opmaakprofiel4 2 4 6 2 2 4" xfId="47254"/>
    <cellStyle name="TotRow - Opmaakprofiel4 2 4 6 2 2 5" xfId="57145"/>
    <cellStyle name="TotRow - Opmaakprofiel4 2 4 6 2 3" xfId="18857"/>
    <cellStyle name="TotRow - Opmaakprofiel4 2 4 6 2 4" xfId="30909"/>
    <cellStyle name="TotRow - Opmaakprofiel4 2 4 6 2 5" xfId="43841"/>
    <cellStyle name="TotRow - Opmaakprofiel4 2 4 6 2 6" xfId="51605"/>
    <cellStyle name="TotRow - Opmaakprofiel4 2 4 6 3" xfId="3295"/>
    <cellStyle name="TotRow - Opmaakprofiel4 2 4 6 3 2" xfId="12181"/>
    <cellStyle name="TotRow - Opmaakprofiel4 2 4 6 3 2 2" xfId="24480"/>
    <cellStyle name="TotRow - Opmaakprofiel4 2 4 6 3 2 3" xfId="36532"/>
    <cellStyle name="TotRow - Opmaakprofiel4 2 4 6 3 2 4" xfId="47255"/>
    <cellStyle name="TotRow - Opmaakprofiel4 2 4 6 3 2 5" xfId="57146"/>
    <cellStyle name="TotRow - Opmaakprofiel4 2 4 6 3 3" xfId="18858"/>
    <cellStyle name="TotRow - Opmaakprofiel4 2 4 6 3 4" xfId="30910"/>
    <cellStyle name="TotRow - Opmaakprofiel4 2 4 6 3 5" xfId="37256"/>
    <cellStyle name="TotRow - Opmaakprofiel4 2 4 6 3 6" xfId="51606"/>
    <cellStyle name="TotRow - Opmaakprofiel4 2 4 6 4" xfId="4091"/>
    <cellStyle name="TotRow - Opmaakprofiel4 2 4 6 4 2" xfId="12182"/>
    <cellStyle name="TotRow - Opmaakprofiel4 2 4 6 4 2 2" xfId="24481"/>
    <cellStyle name="TotRow - Opmaakprofiel4 2 4 6 4 2 3" xfId="36533"/>
    <cellStyle name="TotRow - Opmaakprofiel4 2 4 6 4 2 4" xfId="47256"/>
    <cellStyle name="TotRow - Opmaakprofiel4 2 4 6 4 2 5" xfId="57147"/>
    <cellStyle name="TotRow - Opmaakprofiel4 2 4 6 4 3" xfId="18859"/>
    <cellStyle name="TotRow - Opmaakprofiel4 2 4 6 4 4" xfId="30911"/>
    <cellStyle name="TotRow - Opmaakprofiel4 2 4 6 4 5" xfId="43840"/>
    <cellStyle name="TotRow - Opmaakprofiel4 2 4 6 4 6" xfId="51607"/>
    <cellStyle name="TotRow - Opmaakprofiel4 2 4 6 5" xfId="6810"/>
    <cellStyle name="TotRow - Opmaakprofiel4 2 4 6 5 2" xfId="12183"/>
    <cellStyle name="TotRow - Opmaakprofiel4 2 4 6 5 2 2" xfId="24482"/>
    <cellStyle name="TotRow - Opmaakprofiel4 2 4 6 5 2 3" xfId="36534"/>
    <cellStyle name="TotRow - Opmaakprofiel4 2 4 6 5 2 4" xfId="47257"/>
    <cellStyle name="TotRow - Opmaakprofiel4 2 4 6 5 2 5" xfId="57148"/>
    <cellStyle name="TotRow - Opmaakprofiel4 2 4 6 5 3" xfId="18860"/>
    <cellStyle name="TotRow - Opmaakprofiel4 2 4 6 5 4" xfId="30912"/>
    <cellStyle name="TotRow - Opmaakprofiel4 2 4 6 5 5" xfId="37255"/>
    <cellStyle name="TotRow - Opmaakprofiel4 2 4 6 5 6" xfId="51608"/>
    <cellStyle name="TotRow - Opmaakprofiel4 2 4 6 6" xfId="6811"/>
    <cellStyle name="TotRow - Opmaakprofiel4 2 4 6 6 2" xfId="12184"/>
    <cellStyle name="TotRow - Opmaakprofiel4 2 4 6 6 2 2" xfId="24483"/>
    <cellStyle name="TotRow - Opmaakprofiel4 2 4 6 6 2 3" xfId="36535"/>
    <cellStyle name="TotRow - Opmaakprofiel4 2 4 6 6 2 4" xfId="47258"/>
    <cellStyle name="TotRow - Opmaakprofiel4 2 4 6 6 2 5" xfId="57149"/>
    <cellStyle name="TotRow - Opmaakprofiel4 2 4 6 6 3" xfId="18861"/>
    <cellStyle name="TotRow - Opmaakprofiel4 2 4 6 6 4" xfId="30913"/>
    <cellStyle name="TotRow - Opmaakprofiel4 2 4 6 6 5" xfId="43839"/>
    <cellStyle name="TotRow - Opmaakprofiel4 2 4 6 6 6" xfId="51609"/>
    <cellStyle name="TotRow - Opmaakprofiel4 2 4 6 7" xfId="6812"/>
    <cellStyle name="TotRow - Opmaakprofiel4 2 4 6 7 2" xfId="18862"/>
    <cellStyle name="TotRow - Opmaakprofiel4 2 4 6 7 3" xfId="30914"/>
    <cellStyle name="TotRow - Opmaakprofiel4 2 4 6 7 4" xfId="37254"/>
    <cellStyle name="TotRow - Opmaakprofiel4 2 4 6 7 5" xfId="51610"/>
    <cellStyle name="TotRow - Opmaakprofiel4 2 4 6 8" xfId="7092"/>
    <cellStyle name="TotRow - Opmaakprofiel4 2 4 6 8 2" xfId="19390"/>
    <cellStyle name="TotRow - Opmaakprofiel4 2 4 6 8 3" xfId="41193"/>
    <cellStyle name="TotRow - Opmaakprofiel4 2 4 6 8 4" xfId="43653"/>
    <cellStyle name="TotRow - Opmaakprofiel4 2 4 6 8 5" xfId="52063"/>
    <cellStyle name="TotRow - Opmaakprofiel4 2 4 6 9" xfId="18856"/>
    <cellStyle name="TotRow - Opmaakprofiel4 2 4 7" xfId="1919"/>
    <cellStyle name="TotRow - Opmaakprofiel4 2 4 7 2" xfId="12185"/>
    <cellStyle name="TotRow - Opmaakprofiel4 2 4 7 2 2" xfId="24484"/>
    <cellStyle name="TotRow - Opmaakprofiel4 2 4 7 2 3" xfId="36536"/>
    <cellStyle name="TotRow - Opmaakprofiel4 2 4 7 2 4" xfId="47259"/>
    <cellStyle name="TotRow - Opmaakprofiel4 2 4 7 2 5" xfId="57150"/>
    <cellStyle name="TotRow - Opmaakprofiel4 2 4 7 3" xfId="18863"/>
    <cellStyle name="TotRow - Opmaakprofiel4 2 4 7 4" xfId="30915"/>
    <cellStyle name="TotRow - Opmaakprofiel4 2 4 7 5" xfId="43838"/>
    <cellStyle name="TotRow - Opmaakprofiel4 2 4 7 6" xfId="51611"/>
    <cellStyle name="TotRow - Opmaakprofiel4 2 4 8" xfId="2794"/>
    <cellStyle name="TotRow - Opmaakprofiel4 2 4 8 2" xfId="12186"/>
    <cellStyle name="TotRow - Opmaakprofiel4 2 4 8 2 2" xfId="24485"/>
    <cellStyle name="TotRow - Opmaakprofiel4 2 4 8 2 3" xfId="36537"/>
    <cellStyle name="TotRow - Opmaakprofiel4 2 4 8 2 4" xfId="47260"/>
    <cellStyle name="TotRow - Opmaakprofiel4 2 4 8 2 5" xfId="57151"/>
    <cellStyle name="TotRow - Opmaakprofiel4 2 4 8 3" xfId="18864"/>
    <cellStyle name="TotRow - Opmaakprofiel4 2 4 8 4" xfId="30916"/>
    <cellStyle name="TotRow - Opmaakprofiel4 2 4 8 5" xfId="37253"/>
    <cellStyle name="TotRow - Opmaakprofiel4 2 4 8 6" xfId="51612"/>
    <cellStyle name="TotRow - Opmaakprofiel4 2 4 9" xfId="3656"/>
    <cellStyle name="TotRow - Opmaakprofiel4 2 4 9 2" xfId="12187"/>
    <cellStyle name="TotRow - Opmaakprofiel4 2 4 9 2 2" xfId="24486"/>
    <cellStyle name="TotRow - Opmaakprofiel4 2 4 9 2 3" xfId="36538"/>
    <cellStyle name="TotRow - Opmaakprofiel4 2 4 9 2 4" xfId="47261"/>
    <cellStyle name="TotRow - Opmaakprofiel4 2 4 9 2 5" xfId="57152"/>
    <cellStyle name="TotRow - Opmaakprofiel4 2 4 9 3" xfId="18865"/>
    <cellStyle name="TotRow - Opmaakprofiel4 2 4 9 4" xfId="30917"/>
    <cellStyle name="TotRow - Opmaakprofiel4 2 4 9 5" xfId="37252"/>
    <cellStyle name="TotRow - Opmaakprofiel4 2 4 9 6" xfId="51613"/>
    <cellStyle name="TotRow - Opmaakprofiel4 2 40" xfId="6813"/>
    <cellStyle name="TotRow - Opmaakprofiel4 2 40 2" xfId="12188"/>
    <cellStyle name="TotRow - Opmaakprofiel4 2 40 2 2" xfId="24487"/>
    <cellStyle name="TotRow - Opmaakprofiel4 2 40 2 3" xfId="36539"/>
    <cellStyle name="TotRow - Opmaakprofiel4 2 40 2 4" xfId="47262"/>
    <cellStyle name="TotRow - Opmaakprofiel4 2 40 2 5" xfId="57153"/>
    <cellStyle name="TotRow - Opmaakprofiel4 2 40 3" xfId="18866"/>
    <cellStyle name="TotRow - Opmaakprofiel4 2 40 4" xfId="30918"/>
    <cellStyle name="TotRow - Opmaakprofiel4 2 40 5" xfId="37251"/>
    <cellStyle name="TotRow - Opmaakprofiel4 2 40 6" xfId="51614"/>
    <cellStyle name="TotRow - Opmaakprofiel4 2 41" xfId="6814"/>
    <cellStyle name="TotRow - Opmaakprofiel4 2 41 2" xfId="12189"/>
    <cellStyle name="TotRow - Opmaakprofiel4 2 41 2 2" xfId="24488"/>
    <cellStyle name="TotRow - Opmaakprofiel4 2 41 2 3" xfId="36540"/>
    <cellStyle name="TotRow - Opmaakprofiel4 2 41 2 4" xfId="47263"/>
    <cellStyle name="TotRow - Opmaakprofiel4 2 41 2 5" xfId="57154"/>
    <cellStyle name="TotRow - Opmaakprofiel4 2 41 3" xfId="18867"/>
    <cellStyle name="TotRow - Opmaakprofiel4 2 41 4" xfId="30919"/>
    <cellStyle name="TotRow - Opmaakprofiel4 2 41 5" xfId="43837"/>
    <cellStyle name="TotRow - Opmaakprofiel4 2 41 6" xfId="51615"/>
    <cellStyle name="TotRow - Opmaakprofiel4 2 42" xfId="6815"/>
    <cellStyle name="TotRow - Opmaakprofiel4 2 42 2" xfId="18868"/>
    <cellStyle name="TotRow - Opmaakprofiel4 2 42 3" xfId="30920"/>
    <cellStyle name="TotRow - Opmaakprofiel4 2 42 4" xfId="37250"/>
    <cellStyle name="TotRow - Opmaakprofiel4 2 42 5" xfId="51616"/>
    <cellStyle name="TotRow - Opmaakprofiel4 2 43" xfId="10546"/>
    <cellStyle name="TotRow - Opmaakprofiel4 2 43 2" xfId="22844"/>
    <cellStyle name="TotRow - Opmaakprofiel4 2 43 3" xfId="44603"/>
    <cellStyle name="TotRow - Opmaakprofiel4 2 43 4" xfId="42230"/>
    <cellStyle name="TotRow - Opmaakprofiel4 2 43 5" xfId="55511"/>
    <cellStyle name="TotRow - Opmaakprofiel4 2 44" xfId="17923"/>
    <cellStyle name="TotRow - Opmaakprofiel4 2 5" xfId="686"/>
    <cellStyle name="TotRow - Opmaakprofiel4 2 5 10" xfId="6816"/>
    <cellStyle name="TotRow - Opmaakprofiel4 2 5 10 2" xfId="12190"/>
    <cellStyle name="TotRow - Opmaakprofiel4 2 5 10 2 2" xfId="24489"/>
    <cellStyle name="TotRow - Opmaakprofiel4 2 5 10 2 3" xfId="36541"/>
    <cellStyle name="TotRow - Opmaakprofiel4 2 5 10 2 4" xfId="47264"/>
    <cellStyle name="TotRow - Opmaakprofiel4 2 5 10 2 5" xfId="57155"/>
    <cellStyle name="TotRow - Opmaakprofiel4 2 5 10 3" xfId="18870"/>
    <cellStyle name="TotRow - Opmaakprofiel4 2 5 10 4" xfId="30922"/>
    <cellStyle name="TotRow - Opmaakprofiel4 2 5 10 5" xfId="37249"/>
    <cellStyle name="TotRow - Opmaakprofiel4 2 5 10 6" xfId="51617"/>
    <cellStyle name="TotRow - Opmaakprofiel4 2 5 11" xfId="6817"/>
    <cellStyle name="TotRow - Opmaakprofiel4 2 5 11 2" xfId="12191"/>
    <cellStyle name="TotRow - Opmaakprofiel4 2 5 11 2 2" xfId="24490"/>
    <cellStyle name="TotRow - Opmaakprofiel4 2 5 11 2 3" xfId="36542"/>
    <cellStyle name="TotRow - Opmaakprofiel4 2 5 11 2 4" xfId="47265"/>
    <cellStyle name="TotRow - Opmaakprofiel4 2 5 11 2 5" xfId="57156"/>
    <cellStyle name="TotRow - Opmaakprofiel4 2 5 11 3" xfId="18871"/>
    <cellStyle name="TotRow - Opmaakprofiel4 2 5 11 4" xfId="30923"/>
    <cellStyle name="TotRow - Opmaakprofiel4 2 5 11 5" xfId="43835"/>
    <cellStyle name="TotRow - Opmaakprofiel4 2 5 11 6" xfId="51618"/>
    <cellStyle name="TotRow - Opmaakprofiel4 2 5 12" xfId="6818"/>
    <cellStyle name="TotRow - Opmaakprofiel4 2 5 12 2" xfId="18872"/>
    <cellStyle name="TotRow - Opmaakprofiel4 2 5 12 3" xfId="30924"/>
    <cellStyle name="TotRow - Opmaakprofiel4 2 5 12 4" xfId="37248"/>
    <cellStyle name="TotRow - Opmaakprofiel4 2 5 12 5" xfId="51619"/>
    <cellStyle name="TotRow - Opmaakprofiel4 2 5 13" xfId="7524"/>
    <cellStyle name="TotRow - Opmaakprofiel4 2 5 13 2" xfId="19822"/>
    <cellStyle name="TotRow - Opmaakprofiel4 2 5 13 3" xfId="41625"/>
    <cellStyle name="TotRow - Opmaakprofiel4 2 5 13 4" xfId="43473"/>
    <cellStyle name="TotRow - Opmaakprofiel4 2 5 13 5" xfId="52494"/>
    <cellStyle name="TotRow - Opmaakprofiel4 2 5 14" xfId="18869"/>
    <cellStyle name="TotRow - Opmaakprofiel4 2 5 2" xfId="859"/>
    <cellStyle name="TotRow - Opmaakprofiel4 2 5 2 2" xfId="1440"/>
    <cellStyle name="TotRow - Opmaakprofiel4 2 5 2 2 2" xfId="12192"/>
    <cellStyle name="TotRow - Opmaakprofiel4 2 5 2 2 2 2" xfId="24491"/>
    <cellStyle name="TotRow - Opmaakprofiel4 2 5 2 2 2 3" xfId="36543"/>
    <cellStyle name="TotRow - Opmaakprofiel4 2 5 2 2 2 4" xfId="47266"/>
    <cellStyle name="TotRow - Opmaakprofiel4 2 5 2 2 2 5" xfId="57157"/>
    <cellStyle name="TotRow - Opmaakprofiel4 2 5 2 2 3" xfId="18874"/>
    <cellStyle name="TotRow - Opmaakprofiel4 2 5 2 2 4" xfId="30926"/>
    <cellStyle name="TotRow - Opmaakprofiel4 2 5 2 2 5" xfId="37247"/>
    <cellStyle name="TotRow - Opmaakprofiel4 2 5 2 2 6" xfId="51620"/>
    <cellStyle name="TotRow - Opmaakprofiel4 2 5 2 3" xfId="2870"/>
    <cellStyle name="TotRow - Opmaakprofiel4 2 5 2 3 2" xfId="12193"/>
    <cellStyle name="TotRow - Opmaakprofiel4 2 5 2 3 2 2" xfId="24492"/>
    <cellStyle name="TotRow - Opmaakprofiel4 2 5 2 3 2 3" xfId="36544"/>
    <cellStyle name="TotRow - Opmaakprofiel4 2 5 2 3 2 4" xfId="47267"/>
    <cellStyle name="TotRow - Opmaakprofiel4 2 5 2 3 2 5" xfId="57158"/>
    <cellStyle name="TotRow - Opmaakprofiel4 2 5 2 3 3" xfId="18875"/>
    <cellStyle name="TotRow - Opmaakprofiel4 2 5 2 3 4" xfId="30927"/>
    <cellStyle name="TotRow - Opmaakprofiel4 2 5 2 3 5" xfId="43833"/>
    <cellStyle name="TotRow - Opmaakprofiel4 2 5 2 3 6" xfId="51621"/>
    <cellStyle name="TotRow - Opmaakprofiel4 2 5 2 4" xfId="3723"/>
    <cellStyle name="TotRow - Opmaakprofiel4 2 5 2 4 2" xfId="12194"/>
    <cellStyle name="TotRow - Opmaakprofiel4 2 5 2 4 2 2" xfId="24493"/>
    <cellStyle name="TotRow - Opmaakprofiel4 2 5 2 4 2 3" xfId="36545"/>
    <cellStyle name="TotRow - Opmaakprofiel4 2 5 2 4 2 4" xfId="47268"/>
    <cellStyle name="TotRow - Opmaakprofiel4 2 5 2 4 2 5" xfId="57159"/>
    <cellStyle name="TotRow - Opmaakprofiel4 2 5 2 4 3" xfId="18876"/>
    <cellStyle name="TotRow - Opmaakprofiel4 2 5 2 4 4" xfId="30928"/>
    <cellStyle name="TotRow - Opmaakprofiel4 2 5 2 4 5" xfId="37246"/>
    <cellStyle name="TotRow - Opmaakprofiel4 2 5 2 4 6" xfId="51622"/>
    <cellStyle name="TotRow - Opmaakprofiel4 2 5 2 5" xfId="6819"/>
    <cellStyle name="TotRow - Opmaakprofiel4 2 5 2 5 2" xfId="12195"/>
    <cellStyle name="TotRow - Opmaakprofiel4 2 5 2 5 2 2" xfId="24494"/>
    <cellStyle name="TotRow - Opmaakprofiel4 2 5 2 5 2 3" xfId="36546"/>
    <cellStyle name="TotRow - Opmaakprofiel4 2 5 2 5 2 4" xfId="47269"/>
    <cellStyle name="TotRow - Opmaakprofiel4 2 5 2 5 2 5" xfId="57160"/>
    <cellStyle name="TotRow - Opmaakprofiel4 2 5 2 5 3" xfId="18877"/>
    <cellStyle name="TotRow - Opmaakprofiel4 2 5 2 5 4" xfId="30929"/>
    <cellStyle name="TotRow - Opmaakprofiel4 2 5 2 5 5" xfId="37245"/>
    <cellStyle name="TotRow - Opmaakprofiel4 2 5 2 5 6" xfId="51623"/>
    <cellStyle name="TotRow - Opmaakprofiel4 2 5 2 6" xfId="6820"/>
    <cellStyle name="TotRow - Opmaakprofiel4 2 5 2 6 2" xfId="12196"/>
    <cellStyle name="TotRow - Opmaakprofiel4 2 5 2 6 2 2" xfId="24495"/>
    <cellStyle name="TotRow - Opmaakprofiel4 2 5 2 6 2 3" xfId="36547"/>
    <cellStyle name="TotRow - Opmaakprofiel4 2 5 2 6 2 4" xfId="47270"/>
    <cellStyle name="TotRow - Opmaakprofiel4 2 5 2 6 2 5" xfId="57161"/>
    <cellStyle name="TotRow - Opmaakprofiel4 2 5 2 6 3" xfId="18878"/>
    <cellStyle name="TotRow - Opmaakprofiel4 2 5 2 6 4" xfId="30930"/>
    <cellStyle name="TotRow - Opmaakprofiel4 2 5 2 6 5" xfId="37244"/>
    <cellStyle name="TotRow - Opmaakprofiel4 2 5 2 6 6" xfId="51624"/>
    <cellStyle name="TotRow - Opmaakprofiel4 2 5 2 7" xfId="6821"/>
    <cellStyle name="TotRow - Opmaakprofiel4 2 5 2 7 2" xfId="18879"/>
    <cellStyle name="TotRow - Opmaakprofiel4 2 5 2 7 3" xfId="30931"/>
    <cellStyle name="TotRow - Opmaakprofiel4 2 5 2 7 4" xfId="43832"/>
    <cellStyle name="TotRow - Opmaakprofiel4 2 5 2 7 5" xfId="51625"/>
    <cellStyle name="TotRow - Opmaakprofiel4 2 5 2 8" xfId="7406"/>
    <cellStyle name="TotRow - Opmaakprofiel4 2 5 2 8 2" xfId="19704"/>
    <cellStyle name="TotRow - Opmaakprofiel4 2 5 2 8 3" xfId="41507"/>
    <cellStyle name="TotRow - Opmaakprofiel4 2 5 2 8 4" xfId="43522"/>
    <cellStyle name="TotRow - Opmaakprofiel4 2 5 2 8 5" xfId="52376"/>
    <cellStyle name="TotRow - Opmaakprofiel4 2 5 2 9" xfId="18873"/>
    <cellStyle name="TotRow - Opmaakprofiel4 2 5 3" xfId="602"/>
    <cellStyle name="TotRow - Opmaakprofiel4 2 5 3 2" xfId="2428"/>
    <cellStyle name="TotRow - Opmaakprofiel4 2 5 3 2 2" xfId="12197"/>
    <cellStyle name="TotRow - Opmaakprofiel4 2 5 3 2 2 2" xfId="24496"/>
    <cellStyle name="TotRow - Opmaakprofiel4 2 5 3 2 2 3" xfId="36548"/>
    <cellStyle name="TotRow - Opmaakprofiel4 2 5 3 2 2 4" xfId="47271"/>
    <cellStyle name="TotRow - Opmaakprofiel4 2 5 3 2 2 5" xfId="57162"/>
    <cellStyle name="TotRow - Opmaakprofiel4 2 5 3 2 3" xfId="18881"/>
    <cellStyle name="TotRow - Opmaakprofiel4 2 5 3 2 4" xfId="30933"/>
    <cellStyle name="TotRow - Opmaakprofiel4 2 5 3 2 5" xfId="43831"/>
    <cellStyle name="TotRow - Opmaakprofiel4 2 5 3 2 6" xfId="51626"/>
    <cellStyle name="TotRow - Opmaakprofiel4 2 5 3 3" xfId="2673"/>
    <cellStyle name="TotRow - Opmaakprofiel4 2 5 3 3 2" xfId="12198"/>
    <cellStyle name="TotRow - Opmaakprofiel4 2 5 3 3 2 2" xfId="24497"/>
    <cellStyle name="TotRow - Opmaakprofiel4 2 5 3 3 2 3" xfId="36549"/>
    <cellStyle name="TotRow - Opmaakprofiel4 2 5 3 3 2 4" xfId="47272"/>
    <cellStyle name="TotRow - Opmaakprofiel4 2 5 3 3 2 5" xfId="57163"/>
    <cellStyle name="TotRow - Opmaakprofiel4 2 5 3 3 3" xfId="18882"/>
    <cellStyle name="TotRow - Opmaakprofiel4 2 5 3 3 4" xfId="30934"/>
    <cellStyle name="TotRow - Opmaakprofiel4 2 5 3 3 5" xfId="37243"/>
    <cellStyle name="TotRow - Opmaakprofiel4 2 5 3 3 6" xfId="51627"/>
    <cellStyle name="TotRow - Opmaakprofiel4 2 5 3 4" xfId="3545"/>
    <cellStyle name="TotRow - Opmaakprofiel4 2 5 3 4 2" xfId="12199"/>
    <cellStyle name="TotRow - Opmaakprofiel4 2 5 3 4 2 2" xfId="24498"/>
    <cellStyle name="TotRow - Opmaakprofiel4 2 5 3 4 2 3" xfId="36550"/>
    <cellStyle name="TotRow - Opmaakprofiel4 2 5 3 4 2 4" xfId="47273"/>
    <cellStyle name="TotRow - Opmaakprofiel4 2 5 3 4 2 5" xfId="57164"/>
    <cellStyle name="TotRow - Opmaakprofiel4 2 5 3 4 3" xfId="18883"/>
    <cellStyle name="TotRow - Opmaakprofiel4 2 5 3 4 4" xfId="30935"/>
    <cellStyle name="TotRow - Opmaakprofiel4 2 5 3 4 5" xfId="43830"/>
    <cellStyle name="TotRow - Opmaakprofiel4 2 5 3 4 6" xfId="51628"/>
    <cellStyle name="TotRow - Opmaakprofiel4 2 5 3 5" xfId="6822"/>
    <cellStyle name="TotRow - Opmaakprofiel4 2 5 3 5 2" xfId="12200"/>
    <cellStyle name="TotRow - Opmaakprofiel4 2 5 3 5 2 2" xfId="24499"/>
    <cellStyle name="TotRow - Opmaakprofiel4 2 5 3 5 2 3" xfId="36551"/>
    <cellStyle name="TotRow - Opmaakprofiel4 2 5 3 5 2 4" xfId="47274"/>
    <cellStyle name="TotRow - Opmaakprofiel4 2 5 3 5 2 5" xfId="57165"/>
    <cellStyle name="TotRow - Opmaakprofiel4 2 5 3 5 3" xfId="18884"/>
    <cellStyle name="TotRow - Opmaakprofiel4 2 5 3 5 4" xfId="30936"/>
    <cellStyle name="TotRow - Opmaakprofiel4 2 5 3 5 5" xfId="37242"/>
    <cellStyle name="TotRow - Opmaakprofiel4 2 5 3 5 6" xfId="51629"/>
    <cellStyle name="TotRow - Opmaakprofiel4 2 5 3 6" xfId="6823"/>
    <cellStyle name="TotRow - Opmaakprofiel4 2 5 3 6 2" xfId="12201"/>
    <cellStyle name="TotRow - Opmaakprofiel4 2 5 3 6 2 2" xfId="24500"/>
    <cellStyle name="TotRow - Opmaakprofiel4 2 5 3 6 2 3" xfId="36552"/>
    <cellStyle name="TotRow - Opmaakprofiel4 2 5 3 6 2 4" xfId="47275"/>
    <cellStyle name="TotRow - Opmaakprofiel4 2 5 3 6 2 5" xfId="57166"/>
    <cellStyle name="TotRow - Opmaakprofiel4 2 5 3 6 3" xfId="18885"/>
    <cellStyle name="TotRow - Opmaakprofiel4 2 5 3 6 4" xfId="30937"/>
    <cellStyle name="TotRow - Opmaakprofiel4 2 5 3 6 5" xfId="43829"/>
    <cellStyle name="TotRow - Opmaakprofiel4 2 5 3 6 6" xfId="51630"/>
    <cellStyle name="TotRow - Opmaakprofiel4 2 5 3 7" xfId="6824"/>
    <cellStyle name="TotRow - Opmaakprofiel4 2 5 3 7 2" xfId="18886"/>
    <cellStyle name="TotRow - Opmaakprofiel4 2 5 3 7 3" xfId="30938"/>
    <cellStyle name="TotRow - Opmaakprofiel4 2 5 3 7 4" xfId="37241"/>
    <cellStyle name="TotRow - Opmaakprofiel4 2 5 3 7 5" xfId="51631"/>
    <cellStyle name="TotRow - Opmaakprofiel4 2 5 3 8" xfId="7581"/>
    <cellStyle name="TotRow - Opmaakprofiel4 2 5 3 8 2" xfId="19879"/>
    <cellStyle name="TotRow - Opmaakprofiel4 2 5 3 8 3" xfId="41682"/>
    <cellStyle name="TotRow - Opmaakprofiel4 2 5 3 8 4" xfId="24849"/>
    <cellStyle name="TotRow - Opmaakprofiel4 2 5 3 8 5" xfId="52551"/>
    <cellStyle name="TotRow - Opmaakprofiel4 2 5 3 9" xfId="18880"/>
    <cellStyle name="TotRow - Opmaakprofiel4 2 5 4" xfId="451"/>
    <cellStyle name="TotRow - Opmaakprofiel4 2 5 4 2" xfId="2107"/>
    <cellStyle name="TotRow - Opmaakprofiel4 2 5 4 2 2" xfId="12202"/>
    <cellStyle name="TotRow - Opmaakprofiel4 2 5 4 2 2 2" xfId="24501"/>
    <cellStyle name="TotRow - Opmaakprofiel4 2 5 4 2 2 3" xfId="36553"/>
    <cellStyle name="TotRow - Opmaakprofiel4 2 5 4 2 2 4" xfId="47276"/>
    <cellStyle name="TotRow - Opmaakprofiel4 2 5 4 2 2 5" xfId="57167"/>
    <cellStyle name="TotRow - Opmaakprofiel4 2 5 4 2 3" xfId="18888"/>
    <cellStyle name="TotRow - Opmaakprofiel4 2 5 4 2 4" xfId="30940"/>
    <cellStyle name="TotRow - Opmaakprofiel4 2 5 4 2 5" xfId="37240"/>
    <cellStyle name="TotRow - Opmaakprofiel4 2 5 4 2 6" xfId="51632"/>
    <cellStyle name="TotRow - Opmaakprofiel4 2 5 4 3" xfId="2522"/>
    <cellStyle name="TotRow - Opmaakprofiel4 2 5 4 3 2" xfId="12203"/>
    <cellStyle name="TotRow - Opmaakprofiel4 2 5 4 3 2 2" xfId="24502"/>
    <cellStyle name="TotRow - Opmaakprofiel4 2 5 4 3 2 3" xfId="36554"/>
    <cellStyle name="TotRow - Opmaakprofiel4 2 5 4 3 2 4" xfId="47277"/>
    <cellStyle name="TotRow - Opmaakprofiel4 2 5 4 3 2 5" xfId="57168"/>
    <cellStyle name="TotRow - Opmaakprofiel4 2 5 4 3 3" xfId="18889"/>
    <cellStyle name="TotRow - Opmaakprofiel4 2 5 4 3 4" xfId="30941"/>
    <cellStyle name="TotRow - Opmaakprofiel4 2 5 4 3 5" xfId="37239"/>
    <cellStyle name="TotRow - Opmaakprofiel4 2 5 4 3 6" xfId="51633"/>
    <cellStyle name="TotRow - Opmaakprofiel4 2 5 4 4" xfId="3410"/>
    <cellStyle name="TotRow - Opmaakprofiel4 2 5 4 4 2" xfId="12204"/>
    <cellStyle name="TotRow - Opmaakprofiel4 2 5 4 4 2 2" xfId="24503"/>
    <cellStyle name="TotRow - Opmaakprofiel4 2 5 4 4 2 3" xfId="36555"/>
    <cellStyle name="TotRow - Opmaakprofiel4 2 5 4 4 2 4" xfId="47278"/>
    <cellStyle name="TotRow - Opmaakprofiel4 2 5 4 4 2 5" xfId="57169"/>
    <cellStyle name="TotRow - Opmaakprofiel4 2 5 4 4 3" xfId="18890"/>
    <cellStyle name="TotRow - Opmaakprofiel4 2 5 4 4 4" xfId="30942"/>
    <cellStyle name="TotRow - Opmaakprofiel4 2 5 4 4 5" xfId="37238"/>
    <cellStyle name="TotRow - Opmaakprofiel4 2 5 4 4 6" xfId="51634"/>
    <cellStyle name="TotRow - Opmaakprofiel4 2 5 4 5" xfId="6825"/>
    <cellStyle name="TotRow - Opmaakprofiel4 2 5 4 5 2" xfId="12205"/>
    <cellStyle name="TotRow - Opmaakprofiel4 2 5 4 5 2 2" xfId="24504"/>
    <cellStyle name="TotRow - Opmaakprofiel4 2 5 4 5 2 3" xfId="36556"/>
    <cellStyle name="TotRow - Opmaakprofiel4 2 5 4 5 2 4" xfId="47279"/>
    <cellStyle name="TotRow - Opmaakprofiel4 2 5 4 5 2 5" xfId="57170"/>
    <cellStyle name="TotRow - Opmaakprofiel4 2 5 4 5 3" xfId="18891"/>
    <cellStyle name="TotRow - Opmaakprofiel4 2 5 4 5 4" xfId="30943"/>
    <cellStyle name="TotRow - Opmaakprofiel4 2 5 4 5 5" xfId="43827"/>
    <cellStyle name="TotRow - Opmaakprofiel4 2 5 4 5 6" xfId="51635"/>
    <cellStyle name="TotRow - Opmaakprofiel4 2 5 4 6" xfId="6826"/>
    <cellStyle name="TotRow - Opmaakprofiel4 2 5 4 6 2" xfId="12206"/>
    <cellStyle name="TotRow - Opmaakprofiel4 2 5 4 6 2 2" xfId="24505"/>
    <cellStyle name="TotRow - Opmaakprofiel4 2 5 4 6 2 3" xfId="36557"/>
    <cellStyle name="TotRow - Opmaakprofiel4 2 5 4 6 2 4" xfId="47280"/>
    <cellStyle name="TotRow - Opmaakprofiel4 2 5 4 6 2 5" xfId="57171"/>
    <cellStyle name="TotRow - Opmaakprofiel4 2 5 4 6 3" xfId="18892"/>
    <cellStyle name="TotRow - Opmaakprofiel4 2 5 4 6 4" xfId="30944"/>
    <cellStyle name="TotRow - Opmaakprofiel4 2 5 4 6 5" xfId="37237"/>
    <cellStyle name="TotRow - Opmaakprofiel4 2 5 4 6 6" xfId="51636"/>
    <cellStyle name="TotRow - Opmaakprofiel4 2 5 4 7" xfId="6827"/>
    <cellStyle name="TotRow - Opmaakprofiel4 2 5 4 7 2" xfId="18893"/>
    <cellStyle name="TotRow - Opmaakprofiel4 2 5 4 7 3" xfId="30945"/>
    <cellStyle name="TotRow - Opmaakprofiel4 2 5 4 7 4" xfId="43826"/>
    <cellStyle name="TotRow - Opmaakprofiel4 2 5 4 7 5" xfId="51637"/>
    <cellStyle name="TotRow - Opmaakprofiel4 2 5 4 8" xfId="7682"/>
    <cellStyle name="TotRow - Opmaakprofiel4 2 5 4 8 2" xfId="19980"/>
    <cellStyle name="TotRow - Opmaakprofiel4 2 5 4 8 3" xfId="41783"/>
    <cellStyle name="TotRow - Opmaakprofiel4 2 5 4 8 4" xfId="43407"/>
    <cellStyle name="TotRow - Opmaakprofiel4 2 5 4 8 5" xfId="52652"/>
    <cellStyle name="TotRow - Opmaakprofiel4 2 5 4 9" xfId="18887"/>
    <cellStyle name="TotRow - Opmaakprofiel4 2 5 5" xfId="1100"/>
    <cellStyle name="TotRow - Opmaakprofiel4 2 5 5 2" xfId="1548"/>
    <cellStyle name="TotRow - Opmaakprofiel4 2 5 5 2 2" xfId="12207"/>
    <cellStyle name="TotRow - Opmaakprofiel4 2 5 5 2 2 2" xfId="24506"/>
    <cellStyle name="TotRow - Opmaakprofiel4 2 5 5 2 2 3" xfId="36558"/>
    <cellStyle name="TotRow - Opmaakprofiel4 2 5 5 2 2 4" xfId="47281"/>
    <cellStyle name="TotRow - Opmaakprofiel4 2 5 5 2 2 5" xfId="57172"/>
    <cellStyle name="TotRow - Opmaakprofiel4 2 5 5 2 3" xfId="18895"/>
    <cellStyle name="TotRow - Opmaakprofiel4 2 5 5 2 4" xfId="30947"/>
    <cellStyle name="TotRow - Opmaakprofiel4 2 5 5 2 5" xfId="43825"/>
    <cellStyle name="TotRow - Opmaakprofiel4 2 5 5 2 6" xfId="51638"/>
    <cellStyle name="TotRow - Opmaakprofiel4 2 5 5 3" xfId="3111"/>
    <cellStyle name="TotRow - Opmaakprofiel4 2 5 5 3 2" xfId="12208"/>
    <cellStyle name="TotRow - Opmaakprofiel4 2 5 5 3 2 2" xfId="24507"/>
    <cellStyle name="TotRow - Opmaakprofiel4 2 5 5 3 2 3" xfId="36559"/>
    <cellStyle name="TotRow - Opmaakprofiel4 2 5 5 3 2 4" xfId="47282"/>
    <cellStyle name="TotRow - Opmaakprofiel4 2 5 5 3 2 5" xfId="57173"/>
    <cellStyle name="TotRow - Opmaakprofiel4 2 5 5 3 3" xfId="18896"/>
    <cellStyle name="TotRow - Opmaakprofiel4 2 5 5 3 4" xfId="30948"/>
    <cellStyle name="TotRow - Opmaakprofiel4 2 5 5 3 5" xfId="37235"/>
    <cellStyle name="TotRow - Opmaakprofiel4 2 5 5 3 6" xfId="51639"/>
    <cellStyle name="TotRow - Opmaakprofiel4 2 5 5 4" xfId="3947"/>
    <cellStyle name="TotRow - Opmaakprofiel4 2 5 5 4 2" xfId="12209"/>
    <cellStyle name="TotRow - Opmaakprofiel4 2 5 5 4 2 2" xfId="24508"/>
    <cellStyle name="TotRow - Opmaakprofiel4 2 5 5 4 2 3" xfId="36560"/>
    <cellStyle name="TotRow - Opmaakprofiel4 2 5 5 4 2 4" xfId="47283"/>
    <cellStyle name="TotRow - Opmaakprofiel4 2 5 5 4 2 5" xfId="57174"/>
    <cellStyle name="TotRow - Opmaakprofiel4 2 5 5 4 3" xfId="18897"/>
    <cellStyle name="TotRow - Opmaakprofiel4 2 5 5 4 4" xfId="30949"/>
    <cellStyle name="TotRow - Opmaakprofiel4 2 5 5 4 5" xfId="43824"/>
    <cellStyle name="TotRow - Opmaakprofiel4 2 5 5 4 6" xfId="51640"/>
    <cellStyle name="TotRow - Opmaakprofiel4 2 5 5 5" xfId="6828"/>
    <cellStyle name="TotRow - Opmaakprofiel4 2 5 5 5 2" xfId="12210"/>
    <cellStyle name="TotRow - Opmaakprofiel4 2 5 5 5 2 2" xfId="24509"/>
    <cellStyle name="TotRow - Opmaakprofiel4 2 5 5 5 2 3" xfId="36561"/>
    <cellStyle name="TotRow - Opmaakprofiel4 2 5 5 5 2 4" xfId="47284"/>
    <cellStyle name="TotRow - Opmaakprofiel4 2 5 5 5 2 5" xfId="57175"/>
    <cellStyle name="TotRow - Opmaakprofiel4 2 5 5 5 3" xfId="18898"/>
    <cellStyle name="TotRow - Opmaakprofiel4 2 5 5 5 4" xfId="30950"/>
    <cellStyle name="TotRow - Opmaakprofiel4 2 5 5 5 5" xfId="37234"/>
    <cellStyle name="TotRow - Opmaakprofiel4 2 5 5 5 6" xfId="51641"/>
    <cellStyle name="TotRow - Opmaakprofiel4 2 5 5 6" xfId="6829"/>
    <cellStyle name="TotRow - Opmaakprofiel4 2 5 5 6 2" xfId="12211"/>
    <cellStyle name="TotRow - Opmaakprofiel4 2 5 5 6 2 2" xfId="24510"/>
    <cellStyle name="TotRow - Opmaakprofiel4 2 5 5 6 2 3" xfId="36562"/>
    <cellStyle name="TotRow - Opmaakprofiel4 2 5 5 6 2 4" xfId="47285"/>
    <cellStyle name="TotRow - Opmaakprofiel4 2 5 5 6 2 5" xfId="57176"/>
    <cellStyle name="TotRow - Opmaakprofiel4 2 5 5 6 3" xfId="18899"/>
    <cellStyle name="TotRow - Opmaakprofiel4 2 5 5 6 4" xfId="30951"/>
    <cellStyle name="TotRow - Opmaakprofiel4 2 5 5 6 5" xfId="43823"/>
    <cellStyle name="TotRow - Opmaakprofiel4 2 5 5 6 6" xfId="51642"/>
    <cellStyle name="TotRow - Opmaakprofiel4 2 5 5 7" xfId="6830"/>
    <cellStyle name="TotRow - Opmaakprofiel4 2 5 5 7 2" xfId="18900"/>
    <cellStyle name="TotRow - Opmaakprofiel4 2 5 5 7 3" xfId="30952"/>
    <cellStyle name="TotRow - Opmaakprofiel4 2 5 5 7 4" xfId="37233"/>
    <cellStyle name="TotRow - Opmaakprofiel4 2 5 5 7 5" xfId="51643"/>
    <cellStyle name="TotRow - Opmaakprofiel4 2 5 5 8" xfId="7243"/>
    <cellStyle name="TotRow - Opmaakprofiel4 2 5 5 8 2" xfId="19541"/>
    <cellStyle name="TotRow - Opmaakprofiel4 2 5 5 8 3" xfId="41344"/>
    <cellStyle name="TotRow - Opmaakprofiel4 2 5 5 8 4" xfId="36892"/>
    <cellStyle name="TotRow - Opmaakprofiel4 2 5 5 8 5" xfId="52213"/>
    <cellStyle name="TotRow - Opmaakprofiel4 2 5 5 9" xfId="18894"/>
    <cellStyle name="TotRow - Opmaakprofiel4 2 5 6" xfId="1273"/>
    <cellStyle name="TotRow - Opmaakprofiel4 2 5 6 2" xfId="1526"/>
    <cellStyle name="TotRow - Opmaakprofiel4 2 5 6 2 2" xfId="12212"/>
    <cellStyle name="TotRow - Opmaakprofiel4 2 5 6 2 2 2" xfId="24511"/>
    <cellStyle name="TotRow - Opmaakprofiel4 2 5 6 2 2 3" xfId="36563"/>
    <cellStyle name="TotRow - Opmaakprofiel4 2 5 6 2 2 4" xfId="47286"/>
    <cellStyle name="TotRow - Opmaakprofiel4 2 5 6 2 2 5" xfId="57177"/>
    <cellStyle name="TotRow - Opmaakprofiel4 2 5 6 2 3" xfId="18902"/>
    <cellStyle name="TotRow - Opmaakprofiel4 2 5 6 2 4" xfId="30954"/>
    <cellStyle name="TotRow - Opmaakprofiel4 2 5 6 2 5" xfId="37231"/>
    <cellStyle name="TotRow - Opmaakprofiel4 2 5 6 2 6" xfId="51644"/>
    <cellStyle name="TotRow - Opmaakprofiel4 2 5 6 3" xfId="3284"/>
    <cellStyle name="TotRow - Opmaakprofiel4 2 5 6 3 2" xfId="12213"/>
    <cellStyle name="TotRow - Opmaakprofiel4 2 5 6 3 2 2" xfId="24512"/>
    <cellStyle name="TotRow - Opmaakprofiel4 2 5 6 3 2 3" xfId="36564"/>
    <cellStyle name="TotRow - Opmaakprofiel4 2 5 6 3 2 4" xfId="47287"/>
    <cellStyle name="TotRow - Opmaakprofiel4 2 5 6 3 2 5" xfId="57178"/>
    <cellStyle name="TotRow - Opmaakprofiel4 2 5 6 3 3" xfId="18903"/>
    <cellStyle name="TotRow - Opmaakprofiel4 2 5 6 3 4" xfId="30955"/>
    <cellStyle name="TotRow - Opmaakprofiel4 2 5 6 3 5" xfId="43822"/>
    <cellStyle name="TotRow - Opmaakprofiel4 2 5 6 3 6" xfId="51645"/>
    <cellStyle name="TotRow - Opmaakprofiel4 2 5 6 4" xfId="4084"/>
    <cellStyle name="TotRow - Opmaakprofiel4 2 5 6 4 2" xfId="12214"/>
    <cellStyle name="TotRow - Opmaakprofiel4 2 5 6 4 2 2" xfId="24513"/>
    <cellStyle name="TotRow - Opmaakprofiel4 2 5 6 4 2 3" xfId="36565"/>
    <cellStyle name="TotRow - Opmaakprofiel4 2 5 6 4 2 4" xfId="47288"/>
    <cellStyle name="TotRow - Opmaakprofiel4 2 5 6 4 2 5" xfId="57179"/>
    <cellStyle name="TotRow - Opmaakprofiel4 2 5 6 4 3" xfId="18904"/>
    <cellStyle name="TotRow - Opmaakprofiel4 2 5 6 4 4" xfId="30956"/>
    <cellStyle name="TotRow - Opmaakprofiel4 2 5 6 4 5" xfId="37230"/>
    <cellStyle name="TotRow - Opmaakprofiel4 2 5 6 4 6" xfId="51646"/>
    <cellStyle name="TotRow - Opmaakprofiel4 2 5 6 5" xfId="6831"/>
    <cellStyle name="TotRow - Opmaakprofiel4 2 5 6 5 2" xfId="12215"/>
    <cellStyle name="TotRow - Opmaakprofiel4 2 5 6 5 2 2" xfId="24514"/>
    <cellStyle name="TotRow - Opmaakprofiel4 2 5 6 5 2 3" xfId="36566"/>
    <cellStyle name="TotRow - Opmaakprofiel4 2 5 6 5 2 4" xfId="47289"/>
    <cellStyle name="TotRow - Opmaakprofiel4 2 5 6 5 2 5" xfId="57180"/>
    <cellStyle name="TotRow - Opmaakprofiel4 2 5 6 5 3" xfId="18905"/>
    <cellStyle name="TotRow - Opmaakprofiel4 2 5 6 5 4" xfId="30957"/>
    <cellStyle name="TotRow - Opmaakprofiel4 2 5 6 5 5" xfId="43821"/>
    <cellStyle name="TotRow - Opmaakprofiel4 2 5 6 5 6" xfId="51647"/>
    <cellStyle name="TotRow - Opmaakprofiel4 2 5 6 6" xfId="6832"/>
    <cellStyle name="TotRow - Opmaakprofiel4 2 5 6 6 2" xfId="12216"/>
    <cellStyle name="TotRow - Opmaakprofiel4 2 5 6 6 2 2" xfId="24515"/>
    <cellStyle name="TotRow - Opmaakprofiel4 2 5 6 6 2 3" xfId="36567"/>
    <cellStyle name="TotRow - Opmaakprofiel4 2 5 6 6 2 4" xfId="47290"/>
    <cellStyle name="TotRow - Opmaakprofiel4 2 5 6 6 2 5" xfId="57181"/>
    <cellStyle name="TotRow - Opmaakprofiel4 2 5 6 6 3" xfId="18906"/>
    <cellStyle name="TotRow - Opmaakprofiel4 2 5 6 6 4" xfId="30958"/>
    <cellStyle name="TotRow - Opmaakprofiel4 2 5 6 6 5" xfId="37229"/>
    <cellStyle name="TotRow - Opmaakprofiel4 2 5 6 6 6" xfId="51648"/>
    <cellStyle name="TotRow - Opmaakprofiel4 2 5 6 7" xfId="6833"/>
    <cellStyle name="TotRow - Opmaakprofiel4 2 5 6 7 2" xfId="18907"/>
    <cellStyle name="TotRow - Opmaakprofiel4 2 5 6 7 3" xfId="30959"/>
    <cellStyle name="TotRow - Opmaakprofiel4 2 5 6 7 4" xfId="43820"/>
    <cellStyle name="TotRow - Opmaakprofiel4 2 5 6 7 5" xfId="51649"/>
    <cellStyle name="TotRow - Opmaakprofiel4 2 5 6 8" xfId="7103"/>
    <cellStyle name="TotRow - Opmaakprofiel4 2 5 6 8 2" xfId="19401"/>
    <cellStyle name="TotRow - Opmaakprofiel4 2 5 6 8 3" xfId="41204"/>
    <cellStyle name="TotRow - Opmaakprofiel4 2 5 6 8 4" xfId="36974"/>
    <cellStyle name="TotRow - Opmaakprofiel4 2 5 6 8 5" xfId="52074"/>
    <cellStyle name="TotRow - Opmaakprofiel4 2 5 6 9" xfId="18901"/>
    <cellStyle name="TotRow - Opmaakprofiel4 2 5 7" xfId="1989"/>
    <cellStyle name="TotRow - Opmaakprofiel4 2 5 7 2" xfId="12217"/>
    <cellStyle name="TotRow - Opmaakprofiel4 2 5 7 2 2" xfId="24516"/>
    <cellStyle name="TotRow - Opmaakprofiel4 2 5 7 2 3" xfId="36568"/>
    <cellStyle name="TotRow - Opmaakprofiel4 2 5 7 2 4" xfId="47291"/>
    <cellStyle name="TotRow - Opmaakprofiel4 2 5 7 2 5" xfId="57182"/>
    <cellStyle name="TotRow - Opmaakprofiel4 2 5 7 3" xfId="18908"/>
    <cellStyle name="TotRow - Opmaakprofiel4 2 5 7 4" xfId="30960"/>
    <cellStyle name="TotRow - Opmaakprofiel4 2 5 7 5" xfId="37228"/>
    <cellStyle name="TotRow - Opmaakprofiel4 2 5 7 6" xfId="51650"/>
    <cellStyle name="TotRow - Opmaakprofiel4 2 5 8" xfId="2751"/>
    <cellStyle name="TotRow - Opmaakprofiel4 2 5 8 2" xfId="12218"/>
    <cellStyle name="TotRow - Opmaakprofiel4 2 5 8 2 2" xfId="24517"/>
    <cellStyle name="TotRow - Opmaakprofiel4 2 5 8 2 3" xfId="36569"/>
    <cellStyle name="TotRow - Opmaakprofiel4 2 5 8 2 4" xfId="47292"/>
    <cellStyle name="TotRow - Opmaakprofiel4 2 5 8 2 5" xfId="57183"/>
    <cellStyle name="TotRow - Opmaakprofiel4 2 5 8 3" xfId="18909"/>
    <cellStyle name="TotRow - Opmaakprofiel4 2 5 8 4" xfId="30961"/>
    <cellStyle name="TotRow - Opmaakprofiel4 2 5 8 5" xfId="43819"/>
    <cellStyle name="TotRow - Opmaakprofiel4 2 5 8 6" xfId="51651"/>
    <cellStyle name="TotRow - Opmaakprofiel4 2 5 9" xfId="3613"/>
    <cellStyle name="TotRow - Opmaakprofiel4 2 5 9 2" xfId="12219"/>
    <cellStyle name="TotRow - Opmaakprofiel4 2 5 9 2 2" xfId="24518"/>
    <cellStyle name="TotRow - Opmaakprofiel4 2 5 9 2 3" xfId="36570"/>
    <cellStyle name="TotRow - Opmaakprofiel4 2 5 9 2 4" xfId="47293"/>
    <cellStyle name="TotRow - Opmaakprofiel4 2 5 9 2 5" xfId="57184"/>
    <cellStyle name="TotRow - Opmaakprofiel4 2 5 9 3" xfId="18910"/>
    <cellStyle name="TotRow - Opmaakprofiel4 2 5 9 4" xfId="30962"/>
    <cellStyle name="TotRow - Opmaakprofiel4 2 5 9 5" xfId="37227"/>
    <cellStyle name="TotRow - Opmaakprofiel4 2 5 9 6" xfId="51652"/>
    <cellStyle name="TotRow - Opmaakprofiel4 2 6" xfId="733"/>
    <cellStyle name="TotRow - Opmaakprofiel4 2 6 10" xfId="6834"/>
    <cellStyle name="TotRow - Opmaakprofiel4 2 6 10 2" xfId="12220"/>
    <cellStyle name="TotRow - Opmaakprofiel4 2 6 10 2 2" xfId="24519"/>
    <cellStyle name="TotRow - Opmaakprofiel4 2 6 10 2 3" xfId="36571"/>
    <cellStyle name="TotRow - Opmaakprofiel4 2 6 10 2 4" xfId="47294"/>
    <cellStyle name="TotRow - Opmaakprofiel4 2 6 10 2 5" xfId="57185"/>
    <cellStyle name="TotRow - Opmaakprofiel4 2 6 10 3" xfId="18912"/>
    <cellStyle name="TotRow - Opmaakprofiel4 2 6 10 4" xfId="30964"/>
    <cellStyle name="TotRow - Opmaakprofiel4 2 6 10 5" xfId="37226"/>
    <cellStyle name="TotRow - Opmaakprofiel4 2 6 10 6" xfId="51653"/>
    <cellStyle name="TotRow - Opmaakprofiel4 2 6 11" xfId="6835"/>
    <cellStyle name="TotRow - Opmaakprofiel4 2 6 11 2" xfId="12221"/>
    <cellStyle name="TotRow - Opmaakprofiel4 2 6 11 2 2" xfId="24520"/>
    <cellStyle name="TotRow - Opmaakprofiel4 2 6 11 2 3" xfId="36572"/>
    <cellStyle name="TotRow - Opmaakprofiel4 2 6 11 2 4" xfId="47295"/>
    <cellStyle name="TotRow - Opmaakprofiel4 2 6 11 2 5" xfId="57186"/>
    <cellStyle name="TotRow - Opmaakprofiel4 2 6 11 3" xfId="18913"/>
    <cellStyle name="TotRow - Opmaakprofiel4 2 6 11 4" xfId="30965"/>
    <cellStyle name="TotRow - Opmaakprofiel4 2 6 11 5" xfId="37225"/>
    <cellStyle name="TotRow - Opmaakprofiel4 2 6 11 6" xfId="51654"/>
    <cellStyle name="TotRow - Opmaakprofiel4 2 6 12" xfId="6836"/>
    <cellStyle name="TotRow - Opmaakprofiel4 2 6 12 2" xfId="18914"/>
    <cellStyle name="TotRow - Opmaakprofiel4 2 6 12 3" xfId="30966"/>
    <cellStyle name="TotRow - Opmaakprofiel4 2 6 12 4" xfId="37224"/>
    <cellStyle name="TotRow - Opmaakprofiel4 2 6 12 5" xfId="51655"/>
    <cellStyle name="TotRow - Opmaakprofiel4 2 6 13" xfId="7491"/>
    <cellStyle name="TotRow - Opmaakprofiel4 2 6 13 2" xfId="19789"/>
    <cellStyle name="TotRow - Opmaakprofiel4 2 6 13 3" xfId="41592"/>
    <cellStyle name="TotRow - Opmaakprofiel4 2 6 13 4" xfId="15479"/>
    <cellStyle name="TotRow - Opmaakprofiel4 2 6 13 5" xfId="52461"/>
    <cellStyle name="TotRow - Opmaakprofiel4 2 6 14" xfId="18911"/>
    <cellStyle name="TotRow - Opmaakprofiel4 2 6 2" xfId="903"/>
    <cellStyle name="TotRow - Opmaakprofiel4 2 6 2 2" xfId="2462"/>
    <cellStyle name="TotRow - Opmaakprofiel4 2 6 2 2 2" xfId="12222"/>
    <cellStyle name="TotRow - Opmaakprofiel4 2 6 2 2 2 2" xfId="24521"/>
    <cellStyle name="TotRow - Opmaakprofiel4 2 6 2 2 2 3" xfId="36573"/>
    <cellStyle name="TotRow - Opmaakprofiel4 2 6 2 2 2 4" xfId="47296"/>
    <cellStyle name="TotRow - Opmaakprofiel4 2 6 2 2 2 5" xfId="57187"/>
    <cellStyle name="TotRow - Opmaakprofiel4 2 6 2 2 3" xfId="18916"/>
    <cellStyle name="TotRow - Opmaakprofiel4 2 6 2 2 4" xfId="30968"/>
    <cellStyle name="TotRow - Opmaakprofiel4 2 6 2 2 5" xfId="37223"/>
    <cellStyle name="TotRow - Opmaakprofiel4 2 6 2 2 6" xfId="51656"/>
    <cellStyle name="TotRow - Opmaakprofiel4 2 6 2 3" xfId="2914"/>
    <cellStyle name="TotRow - Opmaakprofiel4 2 6 2 3 2" xfId="12223"/>
    <cellStyle name="TotRow - Opmaakprofiel4 2 6 2 3 2 2" xfId="24522"/>
    <cellStyle name="TotRow - Opmaakprofiel4 2 6 2 3 2 3" xfId="36574"/>
    <cellStyle name="TotRow - Opmaakprofiel4 2 6 2 3 2 4" xfId="47297"/>
    <cellStyle name="TotRow - Opmaakprofiel4 2 6 2 3 2 5" xfId="57188"/>
    <cellStyle name="TotRow - Opmaakprofiel4 2 6 2 3 3" xfId="18917"/>
    <cellStyle name="TotRow - Opmaakprofiel4 2 6 2 3 4" xfId="30969"/>
    <cellStyle name="TotRow - Opmaakprofiel4 2 6 2 3 5" xfId="43818"/>
    <cellStyle name="TotRow - Opmaakprofiel4 2 6 2 3 6" xfId="51657"/>
    <cellStyle name="TotRow - Opmaakprofiel4 2 6 2 4" xfId="3767"/>
    <cellStyle name="TotRow - Opmaakprofiel4 2 6 2 4 2" xfId="12224"/>
    <cellStyle name="TotRow - Opmaakprofiel4 2 6 2 4 2 2" xfId="24523"/>
    <cellStyle name="TotRow - Opmaakprofiel4 2 6 2 4 2 3" xfId="36575"/>
    <cellStyle name="TotRow - Opmaakprofiel4 2 6 2 4 2 4" xfId="47298"/>
    <cellStyle name="TotRow - Opmaakprofiel4 2 6 2 4 2 5" xfId="57189"/>
    <cellStyle name="TotRow - Opmaakprofiel4 2 6 2 4 3" xfId="18918"/>
    <cellStyle name="TotRow - Opmaakprofiel4 2 6 2 4 4" xfId="30970"/>
    <cellStyle name="TotRow - Opmaakprofiel4 2 6 2 4 5" xfId="37222"/>
    <cellStyle name="TotRow - Opmaakprofiel4 2 6 2 4 6" xfId="51658"/>
    <cellStyle name="TotRow - Opmaakprofiel4 2 6 2 5" xfId="6837"/>
    <cellStyle name="TotRow - Opmaakprofiel4 2 6 2 5 2" xfId="12225"/>
    <cellStyle name="TotRow - Opmaakprofiel4 2 6 2 5 2 2" xfId="24524"/>
    <cellStyle name="TotRow - Opmaakprofiel4 2 6 2 5 2 3" xfId="36576"/>
    <cellStyle name="TotRow - Opmaakprofiel4 2 6 2 5 2 4" xfId="47299"/>
    <cellStyle name="TotRow - Opmaakprofiel4 2 6 2 5 2 5" xfId="57190"/>
    <cellStyle name="TotRow - Opmaakprofiel4 2 6 2 5 3" xfId="18919"/>
    <cellStyle name="TotRow - Opmaakprofiel4 2 6 2 5 4" xfId="30971"/>
    <cellStyle name="TotRow - Opmaakprofiel4 2 6 2 5 5" xfId="43817"/>
    <cellStyle name="TotRow - Opmaakprofiel4 2 6 2 5 6" xfId="51659"/>
    <cellStyle name="TotRow - Opmaakprofiel4 2 6 2 6" xfId="6838"/>
    <cellStyle name="TotRow - Opmaakprofiel4 2 6 2 6 2" xfId="12226"/>
    <cellStyle name="TotRow - Opmaakprofiel4 2 6 2 6 2 2" xfId="24525"/>
    <cellStyle name="TotRow - Opmaakprofiel4 2 6 2 6 2 3" xfId="36577"/>
    <cellStyle name="TotRow - Opmaakprofiel4 2 6 2 6 2 4" xfId="47300"/>
    <cellStyle name="TotRow - Opmaakprofiel4 2 6 2 6 2 5" xfId="57191"/>
    <cellStyle name="TotRow - Opmaakprofiel4 2 6 2 6 3" xfId="18920"/>
    <cellStyle name="TotRow - Opmaakprofiel4 2 6 2 6 4" xfId="30972"/>
    <cellStyle name="TotRow - Opmaakprofiel4 2 6 2 6 5" xfId="37221"/>
    <cellStyle name="TotRow - Opmaakprofiel4 2 6 2 6 6" xfId="51660"/>
    <cellStyle name="TotRow - Opmaakprofiel4 2 6 2 7" xfId="6839"/>
    <cellStyle name="TotRow - Opmaakprofiel4 2 6 2 7 2" xfId="18921"/>
    <cellStyle name="TotRow - Opmaakprofiel4 2 6 2 7 3" xfId="30973"/>
    <cellStyle name="TotRow - Opmaakprofiel4 2 6 2 7 4" xfId="43816"/>
    <cellStyle name="TotRow - Opmaakprofiel4 2 6 2 7 5" xfId="51661"/>
    <cellStyle name="TotRow - Opmaakprofiel4 2 6 2 8" xfId="7377"/>
    <cellStyle name="TotRow - Opmaakprofiel4 2 6 2 8 2" xfId="19675"/>
    <cellStyle name="TotRow - Opmaakprofiel4 2 6 2 8 3" xfId="41478"/>
    <cellStyle name="TotRow - Opmaakprofiel4 2 6 2 8 4" xfId="43534"/>
    <cellStyle name="TotRow - Opmaakprofiel4 2 6 2 8 5" xfId="52347"/>
    <cellStyle name="TotRow - Opmaakprofiel4 2 6 2 9" xfId="18915"/>
    <cellStyle name="TotRow - Opmaakprofiel4 2 6 3" xfId="1002"/>
    <cellStyle name="TotRow - Opmaakprofiel4 2 6 3 2" xfId="1705"/>
    <cellStyle name="TotRow - Opmaakprofiel4 2 6 3 2 2" xfId="12227"/>
    <cellStyle name="TotRow - Opmaakprofiel4 2 6 3 2 2 2" xfId="24526"/>
    <cellStyle name="TotRow - Opmaakprofiel4 2 6 3 2 2 3" xfId="36578"/>
    <cellStyle name="TotRow - Opmaakprofiel4 2 6 3 2 2 4" xfId="47301"/>
    <cellStyle name="TotRow - Opmaakprofiel4 2 6 3 2 2 5" xfId="57192"/>
    <cellStyle name="TotRow - Opmaakprofiel4 2 6 3 2 3" xfId="18923"/>
    <cellStyle name="TotRow - Opmaakprofiel4 2 6 3 2 4" xfId="30975"/>
    <cellStyle name="TotRow - Opmaakprofiel4 2 6 3 2 5" xfId="43815"/>
    <cellStyle name="TotRow - Opmaakprofiel4 2 6 3 2 6" xfId="51662"/>
    <cellStyle name="TotRow - Opmaakprofiel4 2 6 3 3" xfId="3013"/>
    <cellStyle name="TotRow - Opmaakprofiel4 2 6 3 3 2" xfId="12228"/>
    <cellStyle name="TotRow - Opmaakprofiel4 2 6 3 3 2 2" xfId="24527"/>
    <cellStyle name="TotRow - Opmaakprofiel4 2 6 3 3 2 3" xfId="36579"/>
    <cellStyle name="TotRow - Opmaakprofiel4 2 6 3 3 2 4" xfId="47302"/>
    <cellStyle name="TotRow - Opmaakprofiel4 2 6 3 3 2 5" xfId="57193"/>
    <cellStyle name="TotRow - Opmaakprofiel4 2 6 3 3 3" xfId="18924"/>
    <cellStyle name="TotRow - Opmaakprofiel4 2 6 3 3 4" xfId="30976"/>
    <cellStyle name="TotRow - Opmaakprofiel4 2 6 3 3 5" xfId="37219"/>
    <cellStyle name="TotRow - Opmaakprofiel4 2 6 3 3 6" xfId="51663"/>
    <cellStyle name="TotRow - Opmaakprofiel4 2 6 3 4" xfId="3859"/>
    <cellStyle name="TotRow - Opmaakprofiel4 2 6 3 4 2" xfId="12229"/>
    <cellStyle name="TotRow - Opmaakprofiel4 2 6 3 4 2 2" xfId="24528"/>
    <cellStyle name="TotRow - Opmaakprofiel4 2 6 3 4 2 3" xfId="36580"/>
    <cellStyle name="TotRow - Opmaakprofiel4 2 6 3 4 2 4" xfId="47303"/>
    <cellStyle name="TotRow - Opmaakprofiel4 2 6 3 4 2 5" xfId="57194"/>
    <cellStyle name="TotRow - Opmaakprofiel4 2 6 3 4 3" xfId="18925"/>
    <cellStyle name="TotRow - Opmaakprofiel4 2 6 3 4 4" xfId="30977"/>
    <cellStyle name="TotRow - Opmaakprofiel4 2 6 3 4 5" xfId="37218"/>
    <cellStyle name="TotRow - Opmaakprofiel4 2 6 3 4 6" xfId="51664"/>
    <cellStyle name="TotRow - Opmaakprofiel4 2 6 3 5" xfId="6840"/>
    <cellStyle name="TotRow - Opmaakprofiel4 2 6 3 5 2" xfId="12230"/>
    <cellStyle name="TotRow - Opmaakprofiel4 2 6 3 5 2 2" xfId="24529"/>
    <cellStyle name="TotRow - Opmaakprofiel4 2 6 3 5 2 3" xfId="36581"/>
    <cellStyle name="TotRow - Opmaakprofiel4 2 6 3 5 2 4" xfId="47304"/>
    <cellStyle name="TotRow - Opmaakprofiel4 2 6 3 5 2 5" xfId="57195"/>
    <cellStyle name="TotRow - Opmaakprofiel4 2 6 3 5 3" xfId="18926"/>
    <cellStyle name="TotRow - Opmaakprofiel4 2 6 3 5 4" xfId="30978"/>
    <cellStyle name="TotRow - Opmaakprofiel4 2 6 3 5 5" xfId="37217"/>
    <cellStyle name="TotRow - Opmaakprofiel4 2 6 3 5 6" xfId="51665"/>
    <cellStyle name="TotRow - Opmaakprofiel4 2 6 3 6" xfId="6841"/>
    <cellStyle name="TotRow - Opmaakprofiel4 2 6 3 6 2" xfId="12231"/>
    <cellStyle name="TotRow - Opmaakprofiel4 2 6 3 6 2 2" xfId="24530"/>
    <cellStyle name="TotRow - Opmaakprofiel4 2 6 3 6 2 3" xfId="36582"/>
    <cellStyle name="TotRow - Opmaakprofiel4 2 6 3 6 2 4" xfId="47305"/>
    <cellStyle name="TotRow - Opmaakprofiel4 2 6 3 6 2 5" xfId="57196"/>
    <cellStyle name="TotRow - Opmaakprofiel4 2 6 3 6 3" xfId="18927"/>
    <cellStyle name="TotRow - Opmaakprofiel4 2 6 3 6 4" xfId="30979"/>
    <cellStyle name="TotRow - Opmaakprofiel4 2 6 3 6 5" xfId="43814"/>
    <cellStyle name="TotRow - Opmaakprofiel4 2 6 3 6 6" xfId="51666"/>
    <cellStyle name="TotRow - Opmaakprofiel4 2 6 3 7" xfId="6842"/>
    <cellStyle name="TotRow - Opmaakprofiel4 2 6 3 7 2" xfId="18928"/>
    <cellStyle name="TotRow - Opmaakprofiel4 2 6 3 7 3" xfId="30980"/>
    <cellStyle name="TotRow - Opmaakprofiel4 2 6 3 7 4" xfId="37216"/>
    <cellStyle name="TotRow - Opmaakprofiel4 2 6 3 7 5" xfId="51667"/>
    <cellStyle name="TotRow - Opmaakprofiel4 2 6 3 8" xfId="7310"/>
    <cellStyle name="TotRow - Opmaakprofiel4 2 6 3 8 2" xfId="19608"/>
    <cellStyle name="TotRow - Opmaakprofiel4 2 6 3 8 3" xfId="41411"/>
    <cellStyle name="TotRow - Opmaakprofiel4 2 6 3 8 4" xfId="43562"/>
    <cellStyle name="TotRow - Opmaakprofiel4 2 6 3 8 5" xfId="52280"/>
    <cellStyle name="TotRow - Opmaakprofiel4 2 6 3 9" xfId="18922"/>
    <cellStyle name="TotRow - Opmaakprofiel4 2 6 4" xfId="1138"/>
    <cellStyle name="TotRow - Opmaakprofiel4 2 6 4 2" xfId="1719"/>
    <cellStyle name="TotRow - Opmaakprofiel4 2 6 4 2 2" xfId="12232"/>
    <cellStyle name="TotRow - Opmaakprofiel4 2 6 4 2 2 2" xfId="24531"/>
    <cellStyle name="TotRow - Opmaakprofiel4 2 6 4 2 2 3" xfId="36583"/>
    <cellStyle name="TotRow - Opmaakprofiel4 2 6 4 2 2 4" xfId="47306"/>
    <cellStyle name="TotRow - Opmaakprofiel4 2 6 4 2 2 5" xfId="57197"/>
    <cellStyle name="TotRow - Opmaakprofiel4 2 6 4 2 3" xfId="18930"/>
    <cellStyle name="TotRow - Opmaakprofiel4 2 6 4 2 4" xfId="30982"/>
    <cellStyle name="TotRow - Opmaakprofiel4 2 6 4 2 5" xfId="37215"/>
    <cellStyle name="TotRow - Opmaakprofiel4 2 6 4 2 6" xfId="51668"/>
    <cellStyle name="TotRow - Opmaakprofiel4 2 6 4 3" xfId="3149"/>
    <cellStyle name="TotRow - Opmaakprofiel4 2 6 4 3 2" xfId="12233"/>
    <cellStyle name="TotRow - Opmaakprofiel4 2 6 4 3 2 2" xfId="24532"/>
    <cellStyle name="TotRow - Opmaakprofiel4 2 6 4 3 2 3" xfId="36584"/>
    <cellStyle name="TotRow - Opmaakprofiel4 2 6 4 3 2 4" xfId="47307"/>
    <cellStyle name="TotRow - Opmaakprofiel4 2 6 4 3 2 5" xfId="57198"/>
    <cellStyle name="TotRow - Opmaakprofiel4 2 6 4 3 3" xfId="18931"/>
    <cellStyle name="TotRow - Opmaakprofiel4 2 6 4 3 4" xfId="30983"/>
    <cellStyle name="TotRow - Opmaakprofiel4 2 6 4 3 5" xfId="43813"/>
    <cellStyle name="TotRow - Opmaakprofiel4 2 6 4 3 6" xfId="51669"/>
    <cellStyle name="TotRow - Opmaakprofiel4 2 6 4 4" xfId="3977"/>
    <cellStyle name="TotRow - Opmaakprofiel4 2 6 4 4 2" xfId="12234"/>
    <cellStyle name="TotRow - Opmaakprofiel4 2 6 4 4 2 2" xfId="24533"/>
    <cellStyle name="TotRow - Opmaakprofiel4 2 6 4 4 2 3" xfId="36585"/>
    <cellStyle name="TotRow - Opmaakprofiel4 2 6 4 4 2 4" xfId="47308"/>
    <cellStyle name="TotRow - Opmaakprofiel4 2 6 4 4 2 5" xfId="57199"/>
    <cellStyle name="TotRow - Opmaakprofiel4 2 6 4 4 3" xfId="18932"/>
    <cellStyle name="TotRow - Opmaakprofiel4 2 6 4 4 4" xfId="30984"/>
    <cellStyle name="TotRow - Opmaakprofiel4 2 6 4 4 5" xfId="37214"/>
    <cellStyle name="TotRow - Opmaakprofiel4 2 6 4 4 6" xfId="51670"/>
    <cellStyle name="TotRow - Opmaakprofiel4 2 6 4 5" xfId="6843"/>
    <cellStyle name="TotRow - Opmaakprofiel4 2 6 4 5 2" xfId="12235"/>
    <cellStyle name="TotRow - Opmaakprofiel4 2 6 4 5 2 2" xfId="24534"/>
    <cellStyle name="TotRow - Opmaakprofiel4 2 6 4 5 2 3" xfId="36586"/>
    <cellStyle name="TotRow - Opmaakprofiel4 2 6 4 5 2 4" xfId="47309"/>
    <cellStyle name="TotRow - Opmaakprofiel4 2 6 4 5 2 5" xfId="57200"/>
    <cellStyle name="TotRow - Opmaakprofiel4 2 6 4 5 3" xfId="18933"/>
    <cellStyle name="TotRow - Opmaakprofiel4 2 6 4 5 4" xfId="30985"/>
    <cellStyle name="TotRow - Opmaakprofiel4 2 6 4 5 5" xfId="43812"/>
    <cellStyle name="TotRow - Opmaakprofiel4 2 6 4 5 6" xfId="51671"/>
    <cellStyle name="TotRow - Opmaakprofiel4 2 6 4 6" xfId="6844"/>
    <cellStyle name="TotRow - Opmaakprofiel4 2 6 4 6 2" xfId="12236"/>
    <cellStyle name="TotRow - Opmaakprofiel4 2 6 4 6 2 2" xfId="24535"/>
    <cellStyle name="TotRow - Opmaakprofiel4 2 6 4 6 2 3" xfId="36587"/>
    <cellStyle name="TotRow - Opmaakprofiel4 2 6 4 6 2 4" xfId="47310"/>
    <cellStyle name="TotRow - Opmaakprofiel4 2 6 4 6 2 5" xfId="57201"/>
    <cellStyle name="TotRow - Opmaakprofiel4 2 6 4 6 3" xfId="18934"/>
    <cellStyle name="TotRow - Opmaakprofiel4 2 6 4 6 4" xfId="30986"/>
    <cellStyle name="TotRow - Opmaakprofiel4 2 6 4 6 5" xfId="37213"/>
    <cellStyle name="TotRow - Opmaakprofiel4 2 6 4 6 6" xfId="51672"/>
    <cellStyle name="TotRow - Opmaakprofiel4 2 6 4 7" xfId="6845"/>
    <cellStyle name="TotRow - Opmaakprofiel4 2 6 4 7 2" xfId="18935"/>
    <cellStyle name="TotRow - Opmaakprofiel4 2 6 4 7 3" xfId="30987"/>
    <cellStyle name="TotRow - Opmaakprofiel4 2 6 4 7 4" xfId="43811"/>
    <cellStyle name="TotRow - Opmaakprofiel4 2 6 4 7 5" xfId="51673"/>
    <cellStyle name="TotRow - Opmaakprofiel4 2 6 4 8" xfId="7217"/>
    <cellStyle name="TotRow - Opmaakprofiel4 2 6 4 8 2" xfId="19515"/>
    <cellStyle name="TotRow - Opmaakprofiel4 2 6 4 8 3" xfId="41318"/>
    <cellStyle name="TotRow - Opmaakprofiel4 2 6 4 8 4" xfId="36907"/>
    <cellStyle name="TotRow - Opmaakprofiel4 2 6 4 8 5" xfId="52187"/>
    <cellStyle name="TotRow - Opmaakprofiel4 2 6 4 9" xfId="18929"/>
    <cellStyle name="TotRow - Opmaakprofiel4 2 6 5" xfId="1175"/>
    <cellStyle name="TotRow - Opmaakprofiel4 2 6 5 2" xfId="1892"/>
    <cellStyle name="TotRow - Opmaakprofiel4 2 6 5 2 2" xfId="12237"/>
    <cellStyle name="TotRow - Opmaakprofiel4 2 6 5 2 2 2" xfId="24536"/>
    <cellStyle name="TotRow - Opmaakprofiel4 2 6 5 2 2 3" xfId="36588"/>
    <cellStyle name="TotRow - Opmaakprofiel4 2 6 5 2 2 4" xfId="47311"/>
    <cellStyle name="TotRow - Opmaakprofiel4 2 6 5 2 2 5" xfId="57202"/>
    <cellStyle name="TotRow - Opmaakprofiel4 2 6 5 2 3" xfId="18937"/>
    <cellStyle name="TotRow - Opmaakprofiel4 2 6 5 2 4" xfId="30989"/>
    <cellStyle name="TotRow - Opmaakprofiel4 2 6 5 2 5" xfId="37212"/>
    <cellStyle name="TotRow - Opmaakprofiel4 2 6 5 2 6" xfId="51674"/>
    <cellStyle name="TotRow - Opmaakprofiel4 2 6 5 3" xfId="3186"/>
    <cellStyle name="TotRow - Opmaakprofiel4 2 6 5 3 2" xfId="12238"/>
    <cellStyle name="TotRow - Opmaakprofiel4 2 6 5 3 2 2" xfId="24537"/>
    <cellStyle name="TotRow - Opmaakprofiel4 2 6 5 3 2 3" xfId="36589"/>
    <cellStyle name="TotRow - Opmaakprofiel4 2 6 5 3 2 4" xfId="47312"/>
    <cellStyle name="TotRow - Opmaakprofiel4 2 6 5 3 2 5" xfId="57203"/>
    <cellStyle name="TotRow - Opmaakprofiel4 2 6 5 3 3" xfId="18938"/>
    <cellStyle name="TotRow - Opmaakprofiel4 2 6 5 3 4" xfId="30990"/>
    <cellStyle name="TotRow - Opmaakprofiel4 2 6 5 3 5" xfId="37211"/>
    <cellStyle name="TotRow - Opmaakprofiel4 2 6 5 3 6" xfId="51675"/>
    <cellStyle name="TotRow - Opmaakprofiel4 2 6 5 4" xfId="4005"/>
    <cellStyle name="TotRow - Opmaakprofiel4 2 6 5 4 2" xfId="12239"/>
    <cellStyle name="TotRow - Opmaakprofiel4 2 6 5 4 2 2" xfId="24538"/>
    <cellStyle name="TotRow - Opmaakprofiel4 2 6 5 4 2 3" xfId="36590"/>
    <cellStyle name="TotRow - Opmaakprofiel4 2 6 5 4 2 4" xfId="47313"/>
    <cellStyle name="TotRow - Opmaakprofiel4 2 6 5 4 2 5" xfId="57204"/>
    <cellStyle name="TotRow - Opmaakprofiel4 2 6 5 4 3" xfId="18939"/>
    <cellStyle name="TotRow - Opmaakprofiel4 2 6 5 4 4" xfId="30991"/>
    <cellStyle name="TotRow - Opmaakprofiel4 2 6 5 4 5" xfId="43810"/>
    <cellStyle name="TotRow - Opmaakprofiel4 2 6 5 4 6" xfId="51676"/>
    <cellStyle name="TotRow - Opmaakprofiel4 2 6 5 5" xfId="6846"/>
    <cellStyle name="TotRow - Opmaakprofiel4 2 6 5 5 2" xfId="12240"/>
    <cellStyle name="TotRow - Opmaakprofiel4 2 6 5 5 2 2" xfId="24539"/>
    <cellStyle name="TotRow - Opmaakprofiel4 2 6 5 5 2 3" xfId="36591"/>
    <cellStyle name="TotRow - Opmaakprofiel4 2 6 5 5 2 4" xfId="47314"/>
    <cellStyle name="TotRow - Opmaakprofiel4 2 6 5 5 2 5" xfId="57205"/>
    <cellStyle name="TotRow - Opmaakprofiel4 2 6 5 5 3" xfId="18940"/>
    <cellStyle name="TotRow - Opmaakprofiel4 2 6 5 5 4" xfId="30992"/>
    <cellStyle name="TotRow - Opmaakprofiel4 2 6 5 5 5" xfId="37210"/>
    <cellStyle name="TotRow - Opmaakprofiel4 2 6 5 5 6" xfId="51677"/>
    <cellStyle name="TotRow - Opmaakprofiel4 2 6 5 6" xfId="6847"/>
    <cellStyle name="TotRow - Opmaakprofiel4 2 6 5 6 2" xfId="12241"/>
    <cellStyle name="TotRow - Opmaakprofiel4 2 6 5 6 2 2" xfId="24540"/>
    <cellStyle name="TotRow - Opmaakprofiel4 2 6 5 6 2 3" xfId="36592"/>
    <cellStyle name="TotRow - Opmaakprofiel4 2 6 5 6 2 4" xfId="47315"/>
    <cellStyle name="TotRow - Opmaakprofiel4 2 6 5 6 2 5" xfId="57206"/>
    <cellStyle name="TotRow - Opmaakprofiel4 2 6 5 6 3" xfId="18941"/>
    <cellStyle name="TotRow - Opmaakprofiel4 2 6 5 6 4" xfId="30993"/>
    <cellStyle name="TotRow - Opmaakprofiel4 2 6 5 6 5" xfId="43809"/>
    <cellStyle name="TotRow - Opmaakprofiel4 2 6 5 6 6" xfId="51678"/>
    <cellStyle name="TotRow - Opmaakprofiel4 2 6 5 7" xfId="6848"/>
    <cellStyle name="TotRow - Opmaakprofiel4 2 6 5 7 2" xfId="18942"/>
    <cellStyle name="TotRow - Opmaakprofiel4 2 6 5 7 3" xfId="30994"/>
    <cellStyle name="TotRow - Opmaakprofiel4 2 6 5 7 4" xfId="37209"/>
    <cellStyle name="TotRow - Opmaakprofiel4 2 6 5 7 5" xfId="51679"/>
    <cellStyle name="TotRow - Opmaakprofiel4 2 6 5 8" xfId="9879"/>
    <cellStyle name="TotRow - Opmaakprofiel4 2 6 5 8 2" xfId="22177"/>
    <cellStyle name="TotRow - Opmaakprofiel4 2 6 5 8 3" xfId="43944"/>
    <cellStyle name="TotRow - Opmaakprofiel4 2 6 5 8 4" xfId="28316"/>
    <cellStyle name="TotRow - Opmaakprofiel4 2 6 5 8 5" xfId="54844"/>
    <cellStyle name="TotRow - Opmaakprofiel4 2 6 5 9" xfId="18936"/>
    <cellStyle name="TotRow - Opmaakprofiel4 2 6 6" xfId="1006"/>
    <cellStyle name="TotRow - Opmaakprofiel4 2 6 6 2" xfId="1777"/>
    <cellStyle name="TotRow - Opmaakprofiel4 2 6 6 2 2" xfId="12242"/>
    <cellStyle name="TotRow - Opmaakprofiel4 2 6 6 2 2 2" xfId="24541"/>
    <cellStyle name="TotRow - Opmaakprofiel4 2 6 6 2 2 3" xfId="36593"/>
    <cellStyle name="TotRow - Opmaakprofiel4 2 6 6 2 2 4" xfId="47316"/>
    <cellStyle name="TotRow - Opmaakprofiel4 2 6 6 2 2 5" xfId="57207"/>
    <cellStyle name="TotRow - Opmaakprofiel4 2 6 6 2 3" xfId="18944"/>
    <cellStyle name="TotRow - Opmaakprofiel4 2 6 6 2 4" xfId="30996"/>
    <cellStyle name="TotRow - Opmaakprofiel4 2 6 6 2 5" xfId="37208"/>
    <cellStyle name="TotRow - Opmaakprofiel4 2 6 6 2 6" xfId="51680"/>
    <cellStyle name="TotRow - Opmaakprofiel4 2 6 6 3" xfId="3017"/>
    <cellStyle name="TotRow - Opmaakprofiel4 2 6 6 3 2" xfId="12243"/>
    <cellStyle name="TotRow - Opmaakprofiel4 2 6 6 3 2 2" xfId="24542"/>
    <cellStyle name="TotRow - Opmaakprofiel4 2 6 6 3 2 3" xfId="36594"/>
    <cellStyle name="TotRow - Opmaakprofiel4 2 6 6 3 2 4" xfId="47317"/>
    <cellStyle name="TotRow - Opmaakprofiel4 2 6 6 3 2 5" xfId="57208"/>
    <cellStyle name="TotRow - Opmaakprofiel4 2 6 6 3 3" xfId="18945"/>
    <cellStyle name="TotRow - Opmaakprofiel4 2 6 6 3 4" xfId="30997"/>
    <cellStyle name="TotRow - Opmaakprofiel4 2 6 6 3 5" xfId="43808"/>
    <cellStyle name="TotRow - Opmaakprofiel4 2 6 6 3 6" xfId="51681"/>
    <cellStyle name="TotRow - Opmaakprofiel4 2 6 6 4" xfId="3863"/>
    <cellStyle name="TotRow - Opmaakprofiel4 2 6 6 4 2" xfId="12244"/>
    <cellStyle name="TotRow - Opmaakprofiel4 2 6 6 4 2 2" xfId="24543"/>
    <cellStyle name="TotRow - Opmaakprofiel4 2 6 6 4 2 3" xfId="36595"/>
    <cellStyle name="TotRow - Opmaakprofiel4 2 6 6 4 2 4" xfId="47318"/>
    <cellStyle name="TotRow - Opmaakprofiel4 2 6 6 4 2 5" xfId="57209"/>
    <cellStyle name="TotRow - Opmaakprofiel4 2 6 6 4 3" xfId="18946"/>
    <cellStyle name="TotRow - Opmaakprofiel4 2 6 6 4 4" xfId="30998"/>
    <cellStyle name="TotRow - Opmaakprofiel4 2 6 6 4 5" xfId="37207"/>
    <cellStyle name="TotRow - Opmaakprofiel4 2 6 6 4 6" xfId="51682"/>
    <cellStyle name="TotRow - Opmaakprofiel4 2 6 6 5" xfId="6849"/>
    <cellStyle name="TotRow - Opmaakprofiel4 2 6 6 5 2" xfId="12245"/>
    <cellStyle name="TotRow - Opmaakprofiel4 2 6 6 5 2 2" xfId="24544"/>
    <cellStyle name="TotRow - Opmaakprofiel4 2 6 6 5 2 3" xfId="36596"/>
    <cellStyle name="TotRow - Opmaakprofiel4 2 6 6 5 2 4" xfId="47319"/>
    <cellStyle name="TotRow - Opmaakprofiel4 2 6 6 5 2 5" xfId="57210"/>
    <cellStyle name="TotRow - Opmaakprofiel4 2 6 6 5 3" xfId="18947"/>
    <cellStyle name="TotRow - Opmaakprofiel4 2 6 6 5 4" xfId="30999"/>
    <cellStyle name="TotRow - Opmaakprofiel4 2 6 6 5 5" xfId="43807"/>
    <cellStyle name="TotRow - Opmaakprofiel4 2 6 6 5 6" xfId="51683"/>
    <cellStyle name="TotRow - Opmaakprofiel4 2 6 6 6" xfId="6850"/>
    <cellStyle name="TotRow - Opmaakprofiel4 2 6 6 6 2" xfId="12246"/>
    <cellStyle name="TotRow - Opmaakprofiel4 2 6 6 6 2 2" xfId="24545"/>
    <cellStyle name="TotRow - Opmaakprofiel4 2 6 6 6 2 3" xfId="36597"/>
    <cellStyle name="TotRow - Opmaakprofiel4 2 6 6 6 2 4" xfId="47320"/>
    <cellStyle name="TotRow - Opmaakprofiel4 2 6 6 6 2 5" xfId="57211"/>
    <cellStyle name="TotRow - Opmaakprofiel4 2 6 6 6 3" xfId="18948"/>
    <cellStyle name="TotRow - Opmaakprofiel4 2 6 6 6 4" xfId="31000"/>
    <cellStyle name="TotRow - Opmaakprofiel4 2 6 6 6 5" xfId="37206"/>
    <cellStyle name="TotRow - Opmaakprofiel4 2 6 6 6 6" xfId="51684"/>
    <cellStyle name="TotRow - Opmaakprofiel4 2 6 6 7" xfId="6851"/>
    <cellStyle name="TotRow - Opmaakprofiel4 2 6 6 7 2" xfId="18949"/>
    <cellStyle name="TotRow - Opmaakprofiel4 2 6 6 7 3" xfId="31001"/>
    <cellStyle name="TotRow - Opmaakprofiel4 2 6 6 7 4" xfId="37205"/>
    <cellStyle name="TotRow - Opmaakprofiel4 2 6 6 7 5" xfId="51685"/>
    <cellStyle name="TotRow - Opmaakprofiel4 2 6 6 8" xfId="7307"/>
    <cellStyle name="TotRow - Opmaakprofiel4 2 6 6 8 2" xfId="19605"/>
    <cellStyle name="TotRow - Opmaakprofiel4 2 6 6 8 3" xfId="41408"/>
    <cellStyle name="TotRow - Opmaakprofiel4 2 6 6 8 4" xfId="36855"/>
    <cellStyle name="TotRow - Opmaakprofiel4 2 6 6 8 5" xfId="52277"/>
    <cellStyle name="TotRow - Opmaakprofiel4 2 6 6 9" xfId="18943"/>
    <cellStyle name="TotRow - Opmaakprofiel4 2 6 7" xfId="1627"/>
    <cellStyle name="TotRow - Opmaakprofiel4 2 6 7 2" xfId="12247"/>
    <cellStyle name="TotRow - Opmaakprofiel4 2 6 7 2 2" xfId="24546"/>
    <cellStyle name="TotRow - Opmaakprofiel4 2 6 7 2 3" xfId="36598"/>
    <cellStyle name="TotRow - Opmaakprofiel4 2 6 7 2 4" xfId="47321"/>
    <cellStyle name="TotRow - Opmaakprofiel4 2 6 7 2 5" xfId="57212"/>
    <cellStyle name="TotRow - Opmaakprofiel4 2 6 7 3" xfId="18950"/>
    <cellStyle name="TotRow - Opmaakprofiel4 2 6 7 4" xfId="31002"/>
    <cellStyle name="TotRow - Opmaakprofiel4 2 6 7 5" xfId="37204"/>
    <cellStyle name="TotRow - Opmaakprofiel4 2 6 7 6" xfId="51686"/>
    <cellStyle name="TotRow - Opmaakprofiel4 2 6 8" xfId="2784"/>
    <cellStyle name="TotRow - Opmaakprofiel4 2 6 8 2" xfId="12248"/>
    <cellStyle name="TotRow - Opmaakprofiel4 2 6 8 2 2" xfId="24547"/>
    <cellStyle name="TotRow - Opmaakprofiel4 2 6 8 2 3" xfId="36599"/>
    <cellStyle name="TotRow - Opmaakprofiel4 2 6 8 2 4" xfId="47322"/>
    <cellStyle name="TotRow - Opmaakprofiel4 2 6 8 2 5" xfId="57213"/>
    <cellStyle name="TotRow - Opmaakprofiel4 2 6 8 3" xfId="18951"/>
    <cellStyle name="TotRow - Opmaakprofiel4 2 6 8 4" xfId="31003"/>
    <cellStyle name="TotRow - Opmaakprofiel4 2 6 8 5" xfId="43806"/>
    <cellStyle name="TotRow - Opmaakprofiel4 2 6 8 6" xfId="51687"/>
    <cellStyle name="TotRow - Opmaakprofiel4 2 6 9" xfId="3646"/>
    <cellStyle name="TotRow - Opmaakprofiel4 2 6 9 2" xfId="12249"/>
    <cellStyle name="TotRow - Opmaakprofiel4 2 6 9 2 2" xfId="24548"/>
    <cellStyle name="TotRow - Opmaakprofiel4 2 6 9 2 3" xfId="36600"/>
    <cellStyle name="TotRow - Opmaakprofiel4 2 6 9 2 4" xfId="47323"/>
    <cellStyle name="TotRow - Opmaakprofiel4 2 6 9 2 5" xfId="57214"/>
    <cellStyle name="TotRow - Opmaakprofiel4 2 6 9 3" xfId="18952"/>
    <cellStyle name="TotRow - Opmaakprofiel4 2 6 9 4" xfId="31004"/>
    <cellStyle name="TotRow - Opmaakprofiel4 2 6 9 5" xfId="37203"/>
    <cellStyle name="TotRow - Opmaakprofiel4 2 6 9 6" xfId="51688"/>
    <cellStyle name="TotRow - Opmaakprofiel4 2 7" xfId="750"/>
    <cellStyle name="TotRow - Opmaakprofiel4 2 7 10" xfId="6852"/>
    <cellStyle name="TotRow - Opmaakprofiel4 2 7 10 2" xfId="12250"/>
    <cellStyle name="TotRow - Opmaakprofiel4 2 7 10 2 2" xfId="24549"/>
    <cellStyle name="TotRow - Opmaakprofiel4 2 7 10 2 3" xfId="36601"/>
    <cellStyle name="TotRow - Opmaakprofiel4 2 7 10 2 4" xfId="47324"/>
    <cellStyle name="TotRow - Opmaakprofiel4 2 7 10 2 5" xfId="57215"/>
    <cellStyle name="TotRow - Opmaakprofiel4 2 7 10 3" xfId="18954"/>
    <cellStyle name="TotRow - Opmaakprofiel4 2 7 10 4" xfId="31006"/>
    <cellStyle name="TotRow - Opmaakprofiel4 2 7 10 5" xfId="37202"/>
    <cellStyle name="TotRow - Opmaakprofiel4 2 7 10 6" xfId="51689"/>
    <cellStyle name="TotRow - Opmaakprofiel4 2 7 11" xfId="6853"/>
    <cellStyle name="TotRow - Opmaakprofiel4 2 7 11 2" xfId="12251"/>
    <cellStyle name="TotRow - Opmaakprofiel4 2 7 11 2 2" xfId="24550"/>
    <cellStyle name="TotRow - Opmaakprofiel4 2 7 11 2 3" xfId="36602"/>
    <cellStyle name="TotRow - Opmaakprofiel4 2 7 11 2 4" xfId="47325"/>
    <cellStyle name="TotRow - Opmaakprofiel4 2 7 11 2 5" xfId="57216"/>
    <cellStyle name="TotRow - Opmaakprofiel4 2 7 11 3" xfId="18955"/>
    <cellStyle name="TotRow - Opmaakprofiel4 2 7 11 4" xfId="31007"/>
    <cellStyle name="TotRow - Opmaakprofiel4 2 7 11 5" xfId="43805"/>
    <cellStyle name="TotRow - Opmaakprofiel4 2 7 11 6" xfId="51690"/>
    <cellStyle name="TotRow - Opmaakprofiel4 2 7 12" xfId="6854"/>
    <cellStyle name="TotRow - Opmaakprofiel4 2 7 12 2" xfId="18956"/>
    <cellStyle name="TotRow - Opmaakprofiel4 2 7 12 3" xfId="31008"/>
    <cellStyle name="TotRow - Opmaakprofiel4 2 7 12 4" xfId="37201"/>
    <cellStyle name="TotRow - Opmaakprofiel4 2 7 12 5" xfId="51691"/>
    <cellStyle name="TotRow - Opmaakprofiel4 2 7 13" xfId="7480"/>
    <cellStyle name="TotRow - Opmaakprofiel4 2 7 13 2" xfId="19778"/>
    <cellStyle name="TotRow - Opmaakprofiel4 2 7 13 3" xfId="41581"/>
    <cellStyle name="TotRow - Opmaakprofiel4 2 7 13 4" xfId="43491"/>
    <cellStyle name="TotRow - Opmaakprofiel4 2 7 13 5" xfId="52450"/>
    <cellStyle name="TotRow - Opmaakprofiel4 2 7 14" xfId="18953"/>
    <cellStyle name="TotRow - Opmaakprofiel4 2 7 2" xfId="919"/>
    <cellStyle name="TotRow - Opmaakprofiel4 2 7 2 2" xfId="1884"/>
    <cellStyle name="TotRow - Opmaakprofiel4 2 7 2 2 2" xfId="12252"/>
    <cellStyle name="TotRow - Opmaakprofiel4 2 7 2 2 2 2" xfId="24551"/>
    <cellStyle name="TotRow - Opmaakprofiel4 2 7 2 2 2 3" xfId="36603"/>
    <cellStyle name="TotRow - Opmaakprofiel4 2 7 2 2 2 4" xfId="47326"/>
    <cellStyle name="TotRow - Opmaakprofiel4 2 7 2 2 2 5" xfId="57217"/>
    <cellStyle name="TotRow - Opmaakprofiel4 2 7 2 2 3" xfId="18958"/>
    <cellStyle name="TotRow - Opmaakprofiel4 2 7 2 2 4" xfId="31010"/>
    <cellStyle name="TotRow - Opmaakprofiel4 2 7 2 2 5" xfId="37200"/>
    <cellStyle name="TotRow - Opmaakprofiel4 2 7 2 2 6" xfId="51692"/>
    <cellStyle name="TotRow - Opmaakprofiel4 2 7 2 3" xfId="2930"/>
    <cellStyle name="TotRow - Opmaakprofiel4 2 7 2 3 2" xfId="12253"/>
    <cellStyle name="TotRow - Opmaakprofiel4 2 7 2 3 2 2" xfId="24552"/>
    <cellStyle name="TotRow - Opmaakprofiel4 2 7 2 3 2 3" xfId="36604"/>
    <cellStyle name="TotRow - Opmaakprofiel4 2 7 2 3 2 4" xfId="47327"/>
    <cellStyle name="TotRow - Opmaakprofiel4 2 7 2 3 2 5" xfId="57218"/>
    <cellStyle name="TotRow - Opmaakprofiel4 2 7 2 3 3" xfId="18959"/>
    <cellStyle name="TotRow - Opmaakprofiel4 2 7 2 3 4" xfId="31011"/>
    <cellStyle name="TotRow - Opmaakprofiel4 2 7 2 3 5" xfId="43804"/>
    <cellStyle name="TotRow - Opmaakprofiel4 2 7 2 3 6" xfId="51693"/>
    <cellStyle name="TotRow - Opmaakprofiel4 2 7 2 4" xfId="3782"/>
    <cellStyle name="TotRow - Opmaakprofiel4 2 7 2 4 2" xfId="12254"/>
    <cellStyle name="TotRow - Opmaakprofiel4 2 7 2 4 2 2" xfId="24553"/>
    <cellStyle name="TotRow - Opmaakprofiel4 2 7 2 4 2 3" xfId="36605"/>
    <cellStyle name="TotRow - Opmaakprofiel4 2 7 2 4 2 4" xfId="47328"/>
    <cellStyle name="TotRow - Opmaakprofiel4 2 7 2 4 2 5" xfId="57219"/>
    <cellStyle name="TotRow - Opmaakprofiel4 2 7 2 4 3" xfId="18960"/>
    <cellStyle name="TotRow - Opmaakprofiel4 2 7 2 4 4" xfId="31012"/>
    <cellStyle name="TotRow - Opmaakprofiel4 2 7 2 4 5" xfId="37199"/>
    <cellStyle name="TotRow - Opmaakprofiel4 2 7 2 4 6" xfId="51694"/>
    <cellStyle name="TotRow - Opmaakprofiel4 2 7 2 5" xfId="6855"/>
    <cellStyle name="TotRow - Opmaakprofiel4 2 7 2 5 2" xfId="12255"/>
    <cellStyle name="TotRow - Opmaakprofiel4 2 7 2 5 2 2" xfId="24554"/>
    <cellStyle name="TotRow - Opmaakprofiel4 2 7 2 5 2 3" xfId="36606"/>
    <cellStyle name="TotRow - Opmaakprofiel4 2 7 2 5 2 4" xfId="47329"/>
    <cellStyle name="TotRow - Opmaakprofiel4 2 7 2 5 2 5" xfId="57220"/>
    <cellStyle name="TotRow - Opmaakprofiel4 2 7 2 5 3" xfId="18961"/>
    <cellStyle name="TotRow - Opmaakprofiel4 2 7 2 5 4" xfId="31013"/>
    <cellStyle name="TotRow - Opmaakprofiel4 2 7 2 5 5" xfId="37198"/>
    <cellStyle name="TotRow - Opmaakprofiel4 2 7 2 5 6" xfId="51695"/>
    <cellStyle name="TotRow - Opmaakprofiel4 2 7 2 6" xfId="6856"/>
    <cellStyle name="TotRow - Opmaakprofiel4 2 7 2 6 2" xfId="12256"/>
    <cellStyle name="TotRow - Opmaakprofiel4 2 7 2 6 2 2" xfId="24555"/>
    <cellStyle name="TotRow - Opmaakprofiel4 2 7 2 6 2 3" xfId="36607"/>
    <cellStyle name="TotRow - Opmaakprofiel4 2 7 2 6 2 4" xfId="47330"/>
    <cellStyle name="TotRow - Opmaakprofiel4 2 7 2 6 2 5" xfId="57221"/>
    <cellStyle name="TotRow - Opmaakprofiel4 2 7 2 6 3" xfId="18962"/>
    <cellStyle name="TotRow - Opmaakprofiel4 2 7 2 6 4" xfId="31014"/>
    <cellStyle name="TotRow - Opmaakprofiel4 2 7 2 6 5" xfId="37197"/>
    <cellStyle name="TotRow - Opmaakprofiel4 2 7 2 6 6" xfId="51696"/>
    <cellStyle name="TotRow - Opmaakprofiel4 2 7 2 7" xfId="6857"/>
    <cellStyle name="TotRow - Opmaakprofiel4 2 7 2 7 2" xfId="18963"/>
    <cellStyle name="TotRow - Opmaakprofiel4 2 7 2 7 3" xfId="31015"/>
    <cellStyle name="TotRow - Opmaakprofiel4 2 7 2 7 4" xfId="43803"/>
    <cellStyle name="TotRow - Opmaakprofiel4 2 7 2 7 5" xfId="51697"/>
    <cellStyle name="TotRow - Opmaakprofiel4 2 7 2 8" xfId="7366"/>
    <cellStyle name="TotRow - Opmaakprofiel4 2 7 2 8 2" xfId="19664"/>
    <cellStyle name="TotRow - Opmaakprofiel4 2 7 2 8 3" xfId="41467"/>
    <cellStyle name="TotRow - Opmaakprofiel4 2 7 2 8 4" xfId="43539"/>
    <cellStyle name="TotRow - Opmaakprofiel4 2 7 2 8 5" xfId="52336"/>
    <cellStyle name="TotRow - Opmaakprofiel4 2 7 2 9" xfId="18957"/>
    <cellStyle name="TotRow - Opmaakprofiel4 2 7 3" xfId="1017"/>
    <cellStyle name="TotRow - Opmaakprofiel4 2 7 3 2" xfId="1527"/>
    <cellStyle name="TotRow - Opmaakprofiel4 2 7 3 2 2" xfId="12257"/>
    <cellStyle name="TotRow - Opmaakprofiel4 2 7 3 2 2 2" xfId="24556"/>
    <cellStyle name="TotRow - Opmaakprofiel4 2 7 3 2 2 3" xfId="36608"/>
    <cellStyle name="TotRow - Opmaakprofiel4 2 7 3 2 2 4" xfId="47331"/>
    <cellStyle name="TotRow - Opmaakprofiel4 2 7 3 2 2 5" xfId="57222"/>
    <cellStyle name="TotRow - Opmaakprofiel4 2 7 3 2 3" xfId="18965"/>
    <cellStyle name="TotRow - Opmaakprofiel4 2 7 3 2 4" xfId="31017"/>
    <cellStyle name="TotRow - Opmaakprofiel4 2 7 3 2 5" xfId="43802"/>
    <cellStyle name="TotRow - Opmaakprofiel4 2 7 3 2 6" xfId="51698"/>
    <cellStyle name="TotRow - Opmaakprofiel4 2 7 3 3" xfId="3028"/>
    <cellStyle name="TotRow - Opmaakprofiel4 2 7 3 3 2" xfId="12258"/>
    <cellStyle name="TotRow - Opmaakprofiel4 2 7 3 3 2 2" xfId="24557"/>
    <cellStyle name="TotRow - Opmaakprofiel4 2 7 3 3 2 3" xfId="36609"/>
    <cellStyle name="TotRow - Opmaakprofiel4 2 7 3 3 2 4" xfId="47332"/>
    <cellStyle name="TotRow - Opmaakprofiel4 2 7 3 3 2 5" xfId="57223"/>
    <cellStyle name="TotRow - Opmaakprofiel4 2 7 3 3 3" xfId="18966"/>
    <cellStyle name="TotRow - Opmaakprofiel4 2 7 3 3 4" xfId="31018"/>
    <cellStyle name="TotRow - Opmaakprofiel4 2 7 3 3 5" xfId="37196"/>
    <cellStyle name="TotRow - Opmaakprofiel4 2 7 3 3 6" xfId="51699"/>
    <cellStyle name="TotRow - Opmaakprofiel4 2 7 3 4" xfId="3872"/>
    <cellStyle name="TotRow - Opmaakprofiel4 2 7 3 4 2" xfId="12259"/>
    <cellStyle name="TotRow - Opmaakprofiel4 2 7 3 4 2 2" xfId="24558"/>
    <cellStyle name="TotRow - Opmaakprofiel4 2 7 3 4 2 3" xfId="36610"/>
    <cellStyle name="TotRow - Opmaakprofiel4 2 7 3 4 2 4" xfId="47333"/>
    <cellStyle name="TotRow - Opmaakprofiel4 2 7 3 4 2 5" xfId="57224"/>
    <cellStyle name="TotRow - Opmaakprofiel4 2 7 3 4 3" xfId="18967"/>
    <cellStyle name="TotRow - Opmaakprofiel4 2 7 3 4 4" xfId="31019"/>
    <cellStyle name="TotRow - Opmaakprofiel4 2 7 3 4 5" xfId="43801"/>
    <cellStyle name="TotRow - Opmaakprofiel4 2 7 3 4 6" xfId="51700"/>
    <cellStyle name="TotRow - Opmaakprofiel4 2 7 3 5" xfId="6858"/>
    <cellStyle name="TotRow - Opmaakprofiel4 2 7 3 5 2" xfId="12260"/>
    <cellStyle name="TotRow - Opmaakprofiel4 2 7 3 5 2 2" xfId="24559"/>
    <cellStyle name="TotRow - Opmaakprofiel4 2 7 3 5 2 3" xfId="36611"/>
    <cellStyle name="TotRow - Opmaakprofiel4 2 7 3 5 2 4" xfId="47334"/>
    <cellStyle name="TotRow - Opmaakprofiel4 2 7 3 5 2 5" xfId="57225"/>
    <cellStyle name="TotRow - Opmaakprofiel4 2 7 3 5 3" xfId="18968"/>
    <cellStyle name="TotRow - Opmaakprofiel4 2 7 3 5 4" xfId="31020"/>
    <cellStyle name="TotRow - Opmaakprofiel4 2 7 3 5 5" xfId="37195"/>
    <cellStyle name="TotRow - Opmaakprofiel4 2 7 3 5 6" xfId="51701"/>
    <cellStyle name="TotRow - Opmaakprofiel4 2 7 3 6" xfId="6859"/>
    <cellStyle name="TotRow - Opmaakprofiel4 2 7 3 6 2" xfId="12261"/>
    <cellStyle name="TotRow - Opmaakprofiel4 2 7 3 6 2 2" xfId="24560"/>
    <cellStyle name="TotRow - Opmaakprofiel4 2 7 3 6 2 3" xfId="36612"/>
    <cellStyle name="TotRow - Opmaakprofiel4 2 7 3 6 2 4" xfId="47335"/>
    <cellStyle name="TotRow - Opmaakprofiel4 2 7 3 6 2 5" xfId="57226"/>
    <cellStyle name="TotRow - Opmaakprofiel4 2 7 3 6 3" xfId="18969"/>
    <cellStyle name="TotRow - Opmaakprofiel4 2 7 3 6 4" xfId="31021"/>
    <cellStyle name="TotRow - Opmaakprofiel4 2 7 3 6 5" xfId="43800"/>
    <cellStyle name="TotRow - Opmaakprofiel4 2 7 3 6 6" xfId="51702"/>
    <cellStyle name="TotRow - Opmaakprofiel4 2 7 3 7" xfId="6860"/>
    <cellStyle name="TotRow - Opmaakprofiel4 2 7 3 7 2" xfId="18970"/>
    <cellStyle name="TotRow - Opmaakprofiel4 2 7 3 7 3" xfId="31022"/>
    <cellStyle name="TotRow - Opmaakprofiel4 2 7 3 7 4" xfId="37194"/>
    <cellStyle name="TotRow - Opmaakprofiel4 2 7 3 7 5" xfId="51703"/>
    <cellStyle name="TotRow - Opmaakprofiel4 2 7 3 8" xfId="7298"/>
    <cellStyle name="TotRow - Opmaakprofiel4 2 7 3 8 2" xfId="19596"/>
    <cellStyle name="TotRow - Opmaakprofiel4 2 7 3 8 3" xfId="41399"/>
    <cellStyle name="TotRow - Opmaakprofiel4 2 7 3 8 4" xfId="43567"/>
    <cellStyle name="TotRow - Opmaakprofiel4 2 7 3 8 5" xfId="52268"/>
    <cellStyle name="TotRow - Opmaakprofiel4 2 7 3 9" xfId="18964"/>
    <cellStyle name="TotRow - Opmaakprofiel4 2 7 4" xfId="489"/>
    <cellStyle name="TotRow - Opmaakprofiel4 2 7 4 2" xfId="2101"/>
    <cellStyle name="TotRow - Opmaakprofiel4 2 7 4 2 2" xfId="12262"/>
    <cellStyle name="TotRow - Opmaakprofiel4 2 7 4 2 2 2" xfId="24561"/>
    <cellStyle name="TotRow - Opmaakprofiel4 2 7 4 2 2 3" xfId="36613"/>
    <cellStyle name="TotRow - Opmaakprofiel4 2 7 4 2 2 4" xfId="47336"/>
    <cellStyle name="TotRow - Opmaakprofiel4 2 7 4 2 2 5" xfId="57227"/>
    <cellStyle name="TotRow - Opmaakprofiel4 2 7 4 2 3" xfId="18972"/>
    <cellStyle name="TotRow - Opmaakprofiel4 2 7 4 2 4" xfId="31024"/>
    <cellStyle name="TotRow - Opmaakprofiel4 2 7 4 2 5" xfId="37193"/>
    <cellStyle name="TotRow - Opmaakprofiel4 2 7 4 2 6" xfId="51704"/>
    <cellStyle name="TotRow - Opmaakprofiel4 2 7 4 3" xfId="2560"/>
    <cellStyle name="TotRow - Opmaakprofiel4 2 7 4 3 2" xfId="12263"/>
    <cellStyle name="TotRow - Opmaakprofiel4 2 7 4 3 2 2" xfId="24562"/>
    <cellStyle name="TotRow - Opmaakprofiel4 2 7 4 3 2 3" xfId="36614"/>
    <cellStyle name="TotRow - Opmaakprofiel4 2 7 4 3 2 4" xfId="47337"/>
    <cellStyle name="TotRow - Opmaakprofiel4 2 7 4 3 2 5" xfId="57228"/>
    <cellStyle name="TotRow - Opmaakprofiel4 2 7 4 3 3" xfId="18973"/>
    <cellStyle name="TotRow - Opmaakprofiel4 2 7 4 3 4" xfId="31025"/>
    <cellStyle name="TotRow - Opmaakprofiel4 2 7 4 3 5" xfId="37192"/>
    <cellStyle name="TotRow - Opmaakprofiel4 2 7 4 3 6" xfId="51705"/>
    <cellStyle name="TotRow - Opmaakprofiel4 2 7 4 4" xfId="3445"/>
    <cellStyle name="TotRow - Opmaakprofiel4 2 7 4 4 2" xfId="12264"/>
    <cellStyle name="TotRow - Opmaakprofiel4 2 7 4 4 2 2" xfId="24563"/>
    <cellStyle name="TotRow - Opmaakprofiel4 2 7 4 4 2 3" xfId="36615"/>
    <cellStyle name="TotRow - Opmaakprofiel4 2 7 4 4 2 4" xfId="47338"/>
    <cellStyle name="TotRow - Opmaakprofiel4 2 7 4 4 2 5" xfId="57229"/>
    <cellStyle name="TotRow - Opmaakprofiel4 2 7 4 4 3" xfId="18974"/>
    <cellStyle name="TotRow - Opmaakprofiel4 2 7 4 4 4" xfId="31026"/>
    <cellStyle name="TotRow - Opmaakprofiel4 2 7 4 4 5" xfId="43799"/>
    <cellStyle name="TotRow - Opmaakprofiel4 2 7 4 4 6" xfId="51706"/>
    <cellStyle name="TotRow - Opmaakprofiel4 2 7 4 5" xfId="6861"/>
    <cellStyle name="TotRow - Opmaakprofiel4 2 7 4 5 2" xfId="12265"/>
    <cellStyle name="TotRow - Opmaakprofiel4 2 7 4 5 2 2" xfId="24564"/>
    <cellStyle name="TotRow - Opmaakprofiel4 2 7 4 5 2 3" xfId="36616"/>
    <cellStyle name="TotRow - Opmaakprofiel4 2 7 4 5 2 4" xfId="47339"/>
    <cellStyle name="TotRow - Opmaakprofiel4 2 7 4 5 2 5" xfId="57230"/>
    <cellStyle name="TotRow - Opmaakprofiel4 2 7 4 5 3" xfId="18975"/>
    <cellStyle name="TotRow - Opmaakprofiel4 2 7 4 5 4" xfId="31027"/>
    <cellStyle name="TotRow - Opmaakprofiel4 2 7 4 5 5" xfId="37191"/>
    <cellStyle name="TotRow - Opmaakprofiel4 2 7 4 5 6" xfId="51707"/>
    <cellStyle name="TotRow - Opmaakprofiel4 2 7 4 6" xfId="6862"/>
    <cellStyle name="TotRow - Opmaakprofiel4 2 7 4 6 2" xfId="12266"/>
    <cellStyle name="TotRow - Opmaakprofiel4 2 7 4 6 2 2" xfId="24565"/>
    <cellStyle name="TotRow - Opmaakprofiel4 2 7 4 6 2 3" xfId="36617"/>
    <cellStyle name="TotRow - Opmaakprofiel4 2 7 4 6 2 4" xfId="47340"/>
    <cellStyle name="TotRow - Opmaakprofiel4 2 7 4 6 2 5" xfId="57231"/>
    <cellStyle name="TotRow - Opmaakprofiel4 2 7 4 6 3" xfId="18976"/>
    <cellStyle name="TotRow - Opmaakprofiel4 2 7 4 6 4" xfId="31028"/>
    <cellStyle name="TotRow - Opmaakprofiel4 2 7 4 6 5" xfId="43798"/>
    <cellStyle name="TotRow - Opmaakprofiel4 2 7 4 6 6" xfId="51708"/>
    <cellStyle name="TotRow - Opmaakprofiel4 2 7 4 7" xfId="6863"/>
    <cellStyle name="TotRow - Opmaakprofiel4 2 7 4 7 2" xfId="18977"/>
    <cellStyle name="TotRow - Opmaakprofiel4 2 7 4 7 3" xfId="31029"/>
    <cellStyle name="TotRow - Opmaakprofiel4 2 7 4 7 4" xfId="37190"/>
    <cellStyle name="TotRow - Opmaakprofiel4 2 7 4 7 5" xfId="51709"/>
    <cellStyle name="TotRow - Opmaakprofiel4 2 7 4 8" xfId="7656"/>
    <cellStyle name="TotRow - Opmaakprofiel4 2 7 4 8 2" xfId="19954"/>
    <cellStyle name="TotRow - Opmaakprofiel4 2 7 4 8 3" xfId="41757"/>
    <cellStyle name="TotRow - Opmaakprofiel4 2 7 4 8 4" xfId="43418"/>
    <cellStyle name="TotRow - Opmaakprofiel4 2 7 4 8 5" xfId="52626"/>
    <cellStyle name="TotRow - Opmaakprofiel4 2 7 4 9" xfId="18971"/>
    <cellStyle name="TotRow - Opmaakprofiel4 2 7 5" xfId="1188"/>
    <cellStyle name="TotRow - Opmaakprofiel4 2 7 5 2" xfId="2250"/>
    <cellStyle name="TotRow - Opmaakprofiel4 2 7 5 2 2" xfId="12267"/>
    <cellStyle name="TotRow - Opmaakprofiel4 2 7 5 2 2 2" xfId="24566"/>
    <cellStyle name="TotRow - Opmaakprofiel4 2 7 5 2 2 3" xfId="36618"/>
    <cellStyle name="TotRow - Opmaakprofiel4 2 7 5 2 2 4" xfId="47341"/>
    <cellStyle name="TotRow - Opmaakprofiel4 2 7 5 2 2 5" xfId="57232"/>
    <cellStyle name="TotRow - Opmaakprofiel4 2 7 5 2 3" xfId="18979"/>
    <cellStyle name="TotRow - Opmaakprofiel4 2 7 5 2 4" xfId="31031"/>
    <cellStyle name="TotRow - Opmaakprofiel4 2 7 5 2 5" xfId="37189"/>
    <cellStyle name="TotRow - Opmaakprofiel4 2 7 5 2 6" xfId="51710"/>
    <cellStyle name="TotRow - Opmaakprofiel4 2 7 5 3" xfId="3199"/>
    <cellStyle name="TotRow - Opmaakprofiel4 2 7 5 3 2" xfId="12268"/>
    <cellStyle name="TotRow - Opmaakprofiel4 2 7 5 3 2 2" xfId="24567"/>
    <cellStyle name="TotRow - Opmaakprofiel4 2 7 5 3 2 3" xfId="36619"/>
    <cellStyle name="TotRow - Opmaakprofiel4 2 7 5 3 2 4" xfId="47342"/>
    <cellStyle name="TotRow - Opmaakprofiel4 2 7 5 3 2 5" xfId="57233"/>
    <cellStyle name="TotRow - Opmaakprofiel4 2 7 5 3 3" xfId="18980"/>
    <cellStyle name="TotRow - Opmaakprofiel4 2 7 5 3 4" xfId="31032"/>
    <cellStyle name="TotRow - Opmaakprofiel4 2 7 5 3 5" xfId="43797"/>
    <cellStyle name="TotRow - Opmaakprofiel4 2 7 5 3 6" xfId="51711"/>
    <cellStyle name="TotRow - Opmaakprofiel4 2 7 5 4" xfId="4017"/>
    <cellStyle name="TotRow - Opmaakprofiel4 2 7 5 4 2" xfId="12269"/>
    <cellStyle name="TotRow - Opmaakprofiel4 2 7 5 4 2 2" xfId="24568"/>
    <cellStyle name="TotRow - Opmaakprofiel4 2 7 5 4 2 3" xfId="36620"/>
    <cellStyle name="TotRow - Opmaakprofiel4 2 7 5 4 2 4" xfId="47343"/>
    <cellStyle name="TotRow - Opmaakprofiel4 2 7 5 4 2 5" xfId="57234"/>
    <cellStyle name="TotRow - Opmaakprofiel4 2 7 5 4 3" xfId="18981"/>
    <cellStyle name="TotRow - Opmaakprofiel4 2 7 5 4 4" xfId="31033"/>
    <cellStyle name="TotRow - Opmaakprofiel4 2 7 5 4 5" xfId="37188"/>
    <cellStyle name="TotRow - Opmaakprofiel4 2 7 5 4 6" xfId="51712"/>
    <cellStyle name="TotRow - Opmaakprofiel4 2 7 5 5" xfId="6864"/>
    <cellStyle name="TotRow - Opmaakprofiel4 2 7 5 5 2" xfId="12270"/>
    <cellStyle name="TotRow - Opmaakprofiel4 2 7 5 5 2 2" xfId="24569"/>
    <cellStyle name="TotRow - Opmaakprofiel4 2 7 5 5 2 3" xfId="36621"/>
    <cellStyle name="TotRow - Opmaakprofiel4 2 7 5 5 2 4" xfId="47344"/>
    <cellStyle name="TotRow - Opmaakprofiel4 2 7 5 5 2 5" xfId="57235"/>
    <cellStyle name="TotRow - Opmaakprofiel4 2 7 5 5 3" xfId="18982"/>
    <cellStyle name="TotRow - Opmaakprofiel4 2 7 5 5 4" xfId="31034"/>
    <cellStyle name="TotRow - Opmaakprofiel4 2 7 5 5 5" xfId="43796"/>
    <cellStyle name="TotRow - Opmaakprofiel4 2 7 5 5 6" xfId="51713"/>
    <cellStyle name="TotRow - Opmaakprofiel4 2 7 5 6" xfId="6865"/>
    <cellStyle name="TotRow - Opmaakprofiel4 2 7 5 6 2" xfId="12271"/>
    <cellStyle name="TotRow - Opmaakprofiel4 2 7 5 6 2 2" xfId="24570"/>
    <cellStyle name="TotRow - Opmaakprofiel4 2 7 5 6 2 3" xfId="36622"/>
    <cellStyle name="TotRow - Opmaakprofiel4 2 7 5 6 2 4" xfId="47345"/>
    <cellStyle name="TotRow - Opmaakprofiel4 2 7 5 6 2 5" xfId="57236"/>
    <cellStyle name="TotRow - Opmaakprofiel4 2 7 5 6 3" xfId="18983"/>
    <cellStyle name="TotRow - Opmaakprofiel4 2 7 5 6 4" xfId="31035"/>
    <cellStyle name="TotRow - Opmaakprofiel4 2 7 5 6 5" xfId="37187"/>
    <cellStyle name="TotRow - Opmaakprofiel4 2 7 5 6 6" xfId="51714"/>
    <cellStyle name="TotRow - Opmaakprofiel4 2 7 5 7" xfId="6866"/>
    <cellStyle name="TotRow - Opmaakprofiel4 2 7 5 7 2" xfId="18984"/>
    <cellStyle name="TotRow - Opmaakprofiel4 2 7 5 7 3" xfId="31036"/>
    <cellStyle name="TotRow - Opmaakprofiel4 2 7 5 7 4" xfId="37186"/>
    <cellStyle name="TotRow - Opmaakprofiel4 2 7 5 7 5" xfId="51715"/>
    <cellStyle name="TotRow - Opmaakprofiel4 2 7 5 8" xfId="7183"/>
    <cellStyle name="TotRow - Opmaakprofiel4 2 7 5 8 2" xfId="19481"/>
    <cellStyle name="TotRow - Opmaakprofiel4 2 7 5 8 3" xfId="41284"/>
    <cellStyle name="TotRow - Opmaakprofiel4 2 7 5 8 4" xfId="36927"/>
    <cellStyle name="TotRow - Opmaakprofiel4 2 7 5 8 5" xfId="52153"/>
    <cellStyle name="TotRow - Opmaakprofiel4 2 7 5 9" xfId="18978"/>
    <cellStyle name="TotRow - Opmaakprofiel4 2 7 6" xfId="1283"/>
    <cellStyle name="TotRow - Opmaakprofiel4 2 7 6 2" xfId="2194"/>
    <cellStyle name="TotRow - Opmaakprofiel4 2 7 6 2 2" xfId="12272"/>
    <cellStyle name="TotRow - Opmaakprofiel4 2 7 6 2 2 2" xfId="24571"/>
    <cellStyle name="TotRow - Opmaakprofiel4 2 7 6 2 2 3" xfId="36623"/>
    <cellStyle name="TotRow - Opmaakprofiel4 2 7 6 2 2 4" xfId="47346"/>
    <cellStyle name="TotRow - Opmaakprofiel4 2 7 6 2 2 5" xfId="57237"/>
    <cellStyle name="TotRow - Opmaakprofiel4 2 7 6 2 3" xfId="18986"/>
    <cellStyle name="TotRow - Opmaakprofiel4 2 7 6 2 4" xfId="31038"/>
    <cellStyle name="TotRow - Opmaakprofiel4 2 7 6 2 5" xfId="43795"/>
    <cellStyle name="TotRow - Opmaakprofiel4 2 7 6 2 6" xfId="51716"/>
    <cellStyle name="TotRow - Opmaakprofiel4 2 7 6 3" xfId="3294"/>
    <cellStyle name="TotRow - Opmaakprofiel4 2 7 6 3 2" xfId="12273"/>
    <cellStyle name="TotRow - Opmaakprofiel4 2 7 6 3 2 2" xfId="24572"/>
    <cellStyle name="TotRow - Opmaakprofiel4 2 7 6 3 2 3" xfId="36624"/>
    <cellStyle name="TotRow - Opmaakprofiel4 2 7 6 3 2 4" xfId="47347"/>
    <cellStyle name="TotRow - Opmaakprofiel4 2 7 6 3 2 5" xfId="57238"/>
    <cellStyle name="TotRow - Opmaakprofiel4 2 7 6 3 3" xfId="18987"/>
    <cellStyle name="TotRow - Opmaakprofiel4 2 7 6 3 4" xfId="31039"/>
    <cellStyle name="TotRow - Opmaakprofiel4 2 7 6 3 5" xfId="37185"/>
    <cellStyle name="TotRow - Opmaakprofiel4 2 7 6 3 6" xfId="51717"/>
    <cellStyle name="TotRow - Opmaakprofiel4 2 7 6 4" xfId="4090"/>
    <cellStyle name="TotRow - Opmaakprofiel4 2 7 6 4 2" xfId="12274"/>
    <cellStyle name="TotRow - Opmaakprofiel4 2 7 6 4 2 2" xfId="24573"/>
    <cellStyle name="TotRow - Opmaakprofiel4 2 7 6 4 2 3" xfId="36625"/>
    <cellStyle name="TotRow - Opmaakprofiel4 2 7 6 4 2 4" xfId="47348"/>
    <cellStyle name="TotRow - Opmaakprofiel4 2 7 6 4 2 5" xfId="57239"/>
    <cellStyle name="TotRow - Opmaakprofiel4 2 7 6 4 3" xfId="18988"/>
    <cellStyle name="TotRow - Opmaakprofiel4 2 7 6 4 4" xfId="31040"/>
    <cellStyle name="TotRow - Opmaakprofiel4 2 7 6 4 5" xfId="43794"/>
    <cellStyle name="TotRow - Opmaakprofiel4 2 7 6 4 6" xfId="51718"/>
    <cellStyle name="TotRow - Opmaakprofiel4 2 7 6 5" xfId="6867"/>
    <cellStyle name="TotRow - Opmaakprofiel4 2 7 6 5 2" xfId="12275"/>
    <cellStyle name="TotRow - Opmaakprofiel4 2 7 6 5 2 2" xfId="24574"/>
    <cellStyle name="TotRow - Opmaakprofiel4 2 7 6 5 2 3" xfId="36626"/>
    <cellStyle name="TotRow - Opmaakprofiel4 2 7 6 5 2 4" xfId="47349"/>
    <cellStyle name="TotRow - Opmaakprofiel4 2 7 6 5 2 5" xfId="57240"/>
    <cellStyle name="TotRow - Opmaakprofiel4 2 7 6 5 3" xfId="18989"/>
    <cellStyle name="TotRow - Opmaakprofiel4 2 7 6 5 4" xfId="31041"/>
    <cellStyle name="TotRow - Opmaakprofiel4 2 7 6 5 5" xfId="37184"/>
    <cellStyle name="TotRow - Opmaakprofiel4 2 7 6 5 6" xfId="51719"/>
    <cellStyle name="TotRow - Opmaakprofiel4 2 7 6 6" xfId="6868"/>
    <cellStyle name="TotRow - Opmaakprofiel4 2 7 6 6 2" xfId="12276"/>
    <cellStyle name="TotRow - Opmaakprofiel4 2 7 6 6 2 2" xfId="24575"/>
    <cellStyle name="TotRow - Opmaakprofiel4 2 7 6 6 2 3" xfId="36627"/>
    <cellStyle name="TotRow - Opmaakprofiel4 2 7 6 6 2 4" xfId="47350"/>
    <cellStyle name="TotRow - Opmaakprofiel4 2 7 6 6 2 5" xfId="57241"/>
    <cellStyle name="TotRow - Opmaakprofiel4 2 7 6 6 3" xfId="18990"/>
    <cellStyle name="TotRow - Opmaakprofiel4 2 7 6 6 4" xfId="31042"/>
    <cellStyle name="TotRow - Opmaakprofiel4 2 7 6 6 5" xfId="43793"/>
    <cellStyle name="TotRow - Opmaakprofiel4 2 7 6 6 6" xfId="51720"/>
    <cellStyle name="TotRow - Opmaakprofiel4 2 7 6 7" xfId="6869"/>
    <cellStyle name="TotRow - Opmaakprofiel4 2 7 6 7 2" xfId="18991"/>
    <cellStyle name="TotRow - Opmaakprofiel4 2 7 6 7 3" xfId="31043"/>
    <cellStyle name="TotRow - Opmaakprofiel4 2 7 6 7 4" xfId="37183"/>
    <cellStyle name="TotRow - Opmaakprofiel4 2 7 6 7 5" xfId="51721"/>
    <cellStyle name="TotRow - Opmaakprofiel4 2 7 6 8" xfId="7093"/>
    <cellStyle name="TotRow - Opmaakprofiel4 2 7 6 8 2" xfId="19391"/>
    <cellStyle name="TotRow - Opmaakprofiel4 2 7 6 8 3" xfId="41194"/>
    <cellStyle name="TotRow - Opmaakprofiel4 2 7 6 8 4" xfId="36980"/>
    <cellStyle name="TotRow - Opmaakprofiel4 2 7 6 8 5" xfId="52064"/>
    <cellStyle name="TotRow - Opmaakprofiel4 2 7 6 9" xfId="18985"/>
    <cellStyle name="TotRow - Opmaakprofiel4 2 7 7" xfId="1925"/>
    <cellStyle name="TotRow - Opmaakprofiel4 2 7 7 2" xfId="12277"/>
    <cellStyle name="TotRow - Opmaakprofiel4 2 7 7 2 2" xfId="24576"/>
    <cellStyle name="TotRow - Opmaakprofiel4 2 7 7 2 3" xfId="36628"/>
    <cellStyle name="TotRow - Opmaakprofiel4 2 7 7 2 4" xfId="47351"/>
    <cellStyle name="TotRow - Opmaakprofiel4 2 7 7 2 5" xfId="57242"/>
    <cellStyle name="TotRow - Opmaakprofiel4 2 7 7 3" xfId="18992"/>
    <cellStyle name="TotRow - Opmaakprofiel4 2 7 7 4" xfId="31044"/>
    <cellStyle name="TotRow - Opmaakprofiel4 2 7 7 5" xfId="37182"/>
    <cellStyle name="TotRow - Opmaakprofiel4 2 7 7 6" xfId="51722"/>
    <cellStyle name="TotRow - Opmaakprofiel4 2 7 8" xfId="2795"/>
    <cellStyle name="TotRow - Opmaakprofiel4 2 7 8 2" xfId="12278"/>
    <cellStyle name="TotRow - Opmaakprofiel4 2 7 8 2 2" xfId="24577"/>
    <cellStyle name="TotRow - Opmaakprofiel4 2 7 8 2 3" xfId="36629"/>
    <cellStyle name="TotRow - Opmaakprofiel4 2 7 8 2 4" xfId="47352"/>
    <cellStyle name="TotRow - Opmaakprofiel4 2 7 8 2 5" xfId="57243"/>
    <cellStyle name="TotRow - Opmaakprofiel4 2 7 8 3" xfId="18993"/>
    <cellStyle name="TotRow - Opmaakprofiel4 2 7 8 4" xfId="31045"/>
    <cellStyle name="TotRow - Opmaakprofiel4 2 7 8 5" xfId="43792"/>
    <cellStyle name="TotRow - Opmaakprofiel4 2 7 8 6" xfId="51723"/>
    <cellStyle name="TotRow - Opmaakprofiel4 2 7 9" xfId="3657"/>
    <cellStyle name="TotRow - Opmaakprofiel4 2 7 9 2" xfId="12279"/>
    <cellStyle name="TotRow - Opmaakprofiel4 2 7 9 2 2" xfId="24578"/>
    <cellStyle name="TotRow - Opmaakprofiel4 2 7 9 2 3" xfId="36630"/>
    <cellStyle name="TotRow - Opmaakprofiel4 2 7 9 2 4" xfId="47353"/>
    <cellStyle name="TotRow - Opmaakprofiel4 2 7 9 2 5" xfId="57244"/>
    <cellStyle name="TotRow - Opmaakprofiel4 2 7 9 3" xfId="18994"/>
    <cellStyle name="TotRow - Opmaakprofiel4 2 7 9 4" xfId="31046"/>
    <cellStyle name="TotRow - Opmaakprofiel4 2 7 9 5" xfId="37181"/>
    <cellStyle name="TotRow - Opmaakprofiel4 2 7 9 6" xfId="51724"/>
    <cellStyle name="TotRow - Opmaakprofiel4 2 8" xfId="722"/>
    <cellStyle name="TotRow - Opmaakprofiel4 2 8 10" xfId="6870"/>
    <cellStyle name="TotRow - Opmaakprofiel4 2 8 10 2" xfId="12280"/>
    <cellStyle name="TotRow - Opmaakprofiel4 2 8 10 2 2" xfId="24579"/>
    <cellStyle name="TotRow - Opmaakprofiel4 2 8 10 2 3" xfId="36631"/>
    <cellStyle name="TotRow - Opmaakprofiel4 2 8 10 2 4" xfId="47354"/>
    <cellStyle name="TotRow - Opmaakprofiel4 2 8 10 2 5" xfId="57245"/>
    <cellStyle name="TotRow - Opmaakprofiel4 2 8 10 3" xfId="18996"/>
    <cellStyle name="TotRow - Opmaakprofiel4 2 8 10 4" xfId="31048"/>
    <cellStyle name="TotRow - Opmaakprofiel4 2 8 10 5" xfId="37180"/>
    <cellStyle name="TotRow - Opmaakprofiel4 2 8 10 6" xfId="51725"/>
    <cellStyle name="TotRow - Opmaakprofiel4 2 8 11" xfId="6871"/>
    <cellStyle name="TotRow - Opmaakprofiel4 2 8 11 2" xfId="12281"/>
    <cellStyle name="TotRow - Opmaakprofiel4 2 8 11 2 2" xfId="24580"/>
    <cellStyle name="TotRow - Opmaakprofiel4 2 8 11 2 3" xfId="36632"/>
    <cellStyle name="TotRow - Opmaakprofiel4 2 8 11 2 4" xfId="47355"/>
    <cellStyle name="TotRow - Opmaakprofiel4 2 8 11 2 5" xfId="57246"/>
    <cellStyle name="TotRow - Opmaakprofiel4 2 8 11 3" xfId="18997"/>
    <cellStyle name="TotRow - Opmaakprofiel4 2 8 11 4" xfId="31049"/>
    <cellStyle name="TotRow - Opmaakprofiel4 2 8 11 5" xfId="43791"/>
    <cellStyle name="TotRow - Opmaakprofiel4 2 8 11 6" xfId="51726"/>
    <cellStyle name="TotRow - Opmaakprofiel4 2 8 12" xfId="6872"/>
    <cellStyle name="TotRow - Opmaakprofiel4 2 8 12 2" xfId="18998"/>
    <cellStyle name="TotRow - Opmaakprofiel4 2 8 12 3" xfId="31050"/>
    <cellStyle name="TotRow - Opmaakprofiel4 2 8 12 4" xfId="37179"/>
    <cellStyle name="TotRow - Opmaakprofiel4 2 8 12 5" xfId="51727"/>
    <cellStyle name="TotRow - Opmaakprofiel4 2 8 13" xfId="10187"/>
    <cellStyle name="TotRow - Opmaakprofiel4 2 8 13 2" xfId="22485"/>
    <cellStyle name="TotRow - Opmaakprofiel4 2 8 13 3" xfId="44248"/>
    <cellStyle name="TotRow - Opmaakprofiel4 2 8 13 4" xfId="31604"/>
    <cellStyle name="TotRow - Opmaakprofiel4 2 8 13 5" xfId="55152"/>
    <cellStyle name="TotRow - Opmaakprofiel4 2 8 14" xfId="18995"/>
    <cellStyle name="TotRow - Opmaakprofiel4 2 8 2" xfId="893"/>
    <cellStyle name="TotRow - Opmaakprofiel4 2 8 2 2" xfId="1691"/>
    <cellStyle name="TotRow - Opmaakprofiel4 2 8 2 2 2" xfId="12282"/>
    <cellStyle name="TotRow - Opmaakprofiel4 2 8 2 2 2 2" xfId="24581"/>
    <cellStyle name="TotRow - Opmaakprofiel4 2 8 2 2 2 3" xfId="36633"/>
    <cellStyle name="TotRow - Opmaakprofiel4 2 8 2 2 2 4" xfId="47356"/>
    <cellStyle name="TotRow - Opmaakprofiel4 2 8 2 2 2 5" xfId="57247"/>
    <cellStyle name="TotRow - Opmaakprofiel4 2 8 2 2 3" xfId="19000"/>
    <cellStyle name="TotRow - Opmaakprofiel4 2 8 2 2 4" xfId="31052"/>
    <cellStyle name="TotRow - Opmaakprofiel4 2 8 2 2 5" xfId="37178"/>
    <cellStyle name="TotRow - Opmaakprofiel4 2 8 2 2 6" xfId="51728"/>
    <cellStyle name="TotRow - Opmaakprofiel4 2 8 2 3" xfId="2904"/>
    <cellStyle name="TotRow - Opmaakprofiel4 2 8 2 3 2" xfId="12283"/>
    <cellStyle name="TotRow - Opmaakprofiel4 2 8 2 3 2 2" xfId="24582"/>
    <cellStyle name="TotRow - Opmaakprofiel4 2 8 2 3 2 3" xfId="36634"/>
    <cellStyle name="TotRow - Opmaakprofiel4 2 8 2 3 2 4" xfId="47357"/>
    <cellStyle name="TotRow - Opmaakprofiel4 2 8 2 3 2 5" xfId="57248"/>
    <cellStyle name="TotRow - Opmaakprofiel4 2 8 2 3 3" xfId="19001"/>
    <cellStyle name="TotRow - Opmaakprofiel4 2 8 2 3 4" xfId="31053"/>
    <cellStyle name="TotRow - Opmaakprofiel4 2 8 2 3 5" xfId="43790"/>
    <cellStyle name="TotRow - Opmaakprofiel4 2 8 2 3 6" xfId="51729"/>
    <cellStyle name="TotRow - Opmaakprofiel4 2 8 2 4" xfId="3757"/>
    <cellStyle name="TotRow - Opmaakprofiel4 2 8 2 4 2" xfId="12284"/>
    <cellStyle name="TotRow - Opmaakprofiel4 2 8 2 4 2 2" xfId="24583"/>
    <cellStyle name="TotRow - Opmaakprofiel4 2 8 2 4 2 3" xfId="36635"/>
    <cellStyle name="TotRow - Opmaakprofiel4 2 8 2 4 2 4" xfId="47358"/>
    <cellStyle name="TotRow - Opmaakprofiel4 2 8 2 4 2 5" xfId="57249"/>
    <cellStyle name="TotRow - Opmaakprofiel4 2 8 2 4 3" xfId="19002"/>
    <cellStyle name="TotRow - Opmaakprofiel4 2 8 2 4 4" xfId="31054"/>
    <cellStyle name="TotRow - Opmaakprofiel4 2 8 2 4 5" xfId="37177"/>
    <cellStyle name="TotRow - Opmaakprofiel4 2 8 2 4 6" xfId="51730"/>
    <cellStyle name="TotRow - Opmaakprofiel4 2 8 2 5" xfId="6873"/>
    <cellStyle name="TotRow - Opmaakprofiel4 2 8 2 5 2" xfId="12285"/>
    <cellStyle name="TotRow - Opmaakprofiel4 2 8 2 5 2 2" xfId="24584"/>
    <cellStyle name="TotRow - Opmaakprofiel4 2 8 2 5 2 3" xfId="36636"/>
    <cellStyle name="TotRow - Opmaakprofiel4 2 8 2 5 2 4" xfId="47359"/>
    <cellStyle name="TotRow - Opmaakprofiel4 2 8 2 5 2 5" xfId="57250"/>
    <cellStyle name="TotRow - Opmaakprofiel4 2 8 2 5 3" xfId="19003"/>
    <cellStyle name="TotRow - Opmaakprofiel4 2 8 2 5 4" xfId="31055"/>
    <cellStyle name="TotRow - Opmaakprofiel4 2 8 2 5 5" xfId="37176"/>
    <cellStyle name="TotRow - Opmaakprofiel4 2 8 2 5 6" xfId="51731"/>
    <cellStyle name="TotRow - Opmaakprofiel4 2 8 2 6" xfId="6874"/>
    <cellStyle name="TotRow - Opmaakprofiel4 2 8 2 6 2" xfId="12286"/>
    <cellStyle name="TotRow - Opmaakprofiel4 2 8 2 6 2 2" xfId="24585"/>
    <cellStyle name="TotRow - Opmaakprofiel4 2 8 2 6 2 3" xfId="36637"/>
    <cellStyle name="TotRow - Opmaakprofiel4 2 8 2 6 2 4" xfId="47360"/>
    <cellStyle name="TotRow - Opmaakprofiel4 2 8 2 6 2 5" xfId="57251"/>
    <cellStyle name="TotRow - Opmaakprofiel4 2 8 2 6 3" xfId="19004"/>
    <cellStyle name="TotRow - Opmaakprofiel4 2 8 2 6 4" xfId="31056"/>
    <cellStyle name="TotRow - Opmaakprofiel4 2 8 2 6 5" xfId="37175"/>
    <cellStyle name="TotRow - Opmaakprofiel4 2 8 2 6 6" xfId="51732"/>
    <cellStyle name="TotRow - Opmaakprofiel4 2 8 2 7" xfId="6875"/>
    <cellStyle name="TotRow - Opmaakprofiel4 2 8 2 7 2" xfId="19005"/>
    <cellStyle name="TotRow - Opmaakprofiel4 2 8 2 7 3" xfId="31057"/>
    <cellStyle name="TotRow - Opmaakprofiel4 2 8 2 7 4" xfId="43789"/>
    <cellStyle name="TotRow - Opmaakprofiel4 2 8 2 7 5" xfId="51733"/>
    <cellStyle name="TotRow - Opmaakprofiel4 2 8 2 8" xfId="7383"/>
    <cellStyle name="TotRow - Opmaakprofiel4 2 8 2 8 2" xfId="19681"/>
    <cellStyle name="TotRow - Opmaakprofiel4 2 8 2 8 3" xfId="41484"/>
    <cellStyle name="TotRow - Opmaakprofiel4 2 8 2 8 4" xfId="20090"/>
    <cellStyle name="TotRow - Opmaakprofiel4 2 8 2 8 5" xfId="52353"/>
    <cellStyle name="TotRow - Opmaakprofiel4 2 8 2 9" xfId="18999"/>
    <cellStyle name="TotRow - Opmaakprofiel4 2 8 3" xfId="992"/>
    <cellStyle name="TotRow - Opmaakprofiel4 2 8 3 2" xfId="2057"/>
    <cellStyle name="TotRow - Opmaakprofiel4 2 8 3 2 2" xfId="12287"/>
    <cellStyle name="TotRow - Opmaakprofiel4 2 8 3 2 2 2" xfId="24586"/>
    <cellStyle name="TotRow - Opmaakprofiel4 2 8 3 2 2 3" xfId="36638"/>
    <cellStyle name="TotRow - Opmaakprofiel4 2 8 3 2 2 4" xfId="47361"/>
    <cellStyle name="TotRow - Opmaakprofiel4 2 8 3 2 2 5" xfId="57252"/>
    <cellStyle name="TotRow - Opmaakprofiel4 2 8 3 2 3" xfId="19007"/>
    <cellStyle name="TotRow - Opmaakprofiel4 2 8 3 2 4" xfId="31059"/>
    <cellStyle name="TotRow - Opmaakprofiel4 2 8 3 2 5" xfId="43788"/>
    <cellStyle name="TotRow - Opmaakprofiel4 2 8 3 2 6" xfId="51734"/>
    <cellStyle name="TotRow - Opmaakprofiel4 2 8 3 3" xfId="3003"/>
    <cellStyle name="TotRow - Opmaakprofiel4 2 8 3 3 2" xfId="12288"/>
    <cellStyle name="TotRow - Opmaakprofiel4 2 8 3 3 2 2" xfId="24587"/>
    <cellStyle name="TotRow - Opmaakprofiel4 2 8 3 3 2 3" xfId="36639"/>
    <cellStyle name="TotRow - Opmaakprofiel4 2 8 3 3 2 4" xfId="47362"/>
    <cellStyle name="TotRow - Opmaakprofiel4 2 8 3 3 2 5" xfId="57253"/>
    <cellStyle name="TotRow - Opmaakprofiel4 2 8 3 3 3" xfId="19008"/>
    <cellStyle name="TotRow - Opmaakprofiel4 2 8 3 3 4" xfId="31060"/>
    <cellStyle name="TotRow - Opmaakprofiel4 2 8 3 3 5" xfId="37174"/>
    <cellStyle name="TotRow - Opmaakprofiel4 2 8 3 3 6" xfId="51735"/>
    <cellStyle name="TotRow - Opmaakprofiel4 2 8 3 4" xfId="3849"/>
    <cellStyle name="TotRow - Opmaakprofiel4 2 8 3 4 2" xfId="12289"/>
    <cellStyle name="TotRow - Opmaakprofiel4 2 8 3 4 2 2" xfId="24588"/>
    <cellStyle name="TotRow - Opmaakprofiel4 2 8 3 4 2 3" xfId="36640"/>
    <cellStyle name="TotRow - Opmaakprofiel4 2 8 3 4 2 4" xfId="47363"/>
    <cellStyle name="TotRow - Opmaakprofiel4 2 8 3 4 2 5" xfId="57254"/>
    <cellStyle name="TotRow - Opmaakprofiel4 2 8 3 4 3" xfId="19009"/>
    <cellStyle name="TotRow - Opmaakprofiel4 2 8 3 4 4" xfId="31061"/>
    <cellStyle name="TotRow - Opmaakprofiel4 2 8 3 4 5" xfId="43787"/>
    <cellStyle name="TotRow - Opmaakprofiel4 2 8 3 4 6" xfId="51736"/>
    <cellStyle name="TotRow - Opmaakprofiel4 2 8 3 5" xfId="6876"/>
    <cellStyle name="TotRow - Opmaakprofiel4 2 8 3 5 2" xfId="12290"/>
    <cellStyle name="TotRow - Opmaakprofiel4 2 8 3 5 2 2" xfId="24589"/>
    <cellStyle name="TotRow - Opmaakprofiel4 2 8 3 5 2 3" xfId="36641"/>
    <cellStyle name="TotRow - Opmaakprofiel4 2 8 3 5 2 4" xfId="47364"/>
    <cellStyle name="TotRow - Opmaakprofiel4 2 8 3 5 2 5" xfId="57255"/>
    <cellStyle name="TotRow - Opmaakprofiel4 2 8 3 5 3" xfId="19010"/>
    <cellStyle name="TotRow - Opmaakprofiel4 2 8 3 5 4" xfId="31062"/>
    <cellStyle name="TotRow - Opmaakprofiel4 2 8 3 5 5" xfId="37173"/>
    <cellStyle name="TotRow - Opmaakprofiel4 2 8 3 5 6" xfId="51737"/>
    <cellStyle name="TotRow - Opmaakprofiel4 2 8 3 6" xfId="6877"/>
    <cellStyle name="TotRow - Opmaakprofiel4 2 8 3 6 2" xfId="12291"/>
    <cellStyle name="TotRow - Opmaakprofiel4 2 8 3 6 2 2" xfId="24590"/>
    <cellStyle name="TotRow - Opmaakprofiel4 2 8 3 6 2 3" xfId="36642"/>
    <cellStyle name="TotRow - Opmaakprofiel4 2 8 3 6 2 4" xfId="47365"/>
    <cellStyle name="TotRow - Opmaakprofiel4 2 8 3 6 2 5" xfId="57256"/>
    <cellStyle name="TotRow - Opmaakprofiel4 2 8 3 6 3" xfId="19011"/>
    <cellStyle name="TotRow - Opmaakprofiel4 2 8 3 6 4" xfId="31063"/>
    <cellStyle name="TotRow - Opmaakprofiel4 2 8 3 6 5" xfId="43786"/>
    <cellStyle name="TotRow - Opmaakprofiel4 2 8 3 6 6" xfId="51738"/>
    <cellStyle name="TotRow - Opmaakprofiel4 2 8 3 7" xfId="6878"/>
    <cellStyle name="TotRow - Opmaakprofiel4 2 8 3 7 2" xfId="19012"/>
    <cellStyle name="TotRow - Opmaakprofiel4 2 8 3 7 3" xfId="31064"/>
    <cellStyle name="TotRow - Opmaakprofiel4 2 8 3 7 4" xfId="37172"/>
    <cellStyle name="TotRow - Opmaakprofiel4 2 8 3 7 5" xfId="51739"/>
    <cellStyle name="TotRow - Opmaakprofiel4 2 8 3 8" xfId="7317"/>
    <cellStyle name="TotRow - Opmaakprofiel4 2 8 3 8 2" xfId="19615"/>
    <cellStyle name="TotRow - Opmaakprofiel4 2 8 3 8 3" xfId="41418"/>
    <cellStyle name="TotRow - Opmaakprofiel4 2 8 3 8 4" xfId="36849"/>
    <cellStyle name="TotRow - Opmaakprofiel4 2 8 3 8 5" xfId="52287"/>
    <cellStyle name="TotRow - Opmaakprofiel4 2 8 3 9" xfId="19006"/>
    <cellStyle name="TotRow - Opmaakprofiel4 2 8 4" xfId="534"/>
    <cellStyle name="TotRow - Opmaakprofiel4 2 8 4 2" xfId="1988"/>
    <cellStyle name="TotRow - Opmaakprofiel4 2 8 4 2 2" xfId="12292"/>
    <cellStyle name="TotRow - Opmaakprofiel4 2 8 4 2 2 2" xfId="24591"/>
    <cellStyle name="TotRow - Opmaakprofiel4 2 8 4 2 2 3" xfId="36643"/>
    <cellStyle name="TotRow - Opmaakprofiel4 2 8 4 2 2 4" xfId="47366"/>
    <cellStyle name="TotRow - Opmaakprofiel4 2 8 4 2 2 5" xfId="57257"/>
    <cellStyle name="TotRow - Opmaakprofiel4 2 8 4 2 3" xfId="19014"/>
    <cellStyle name="TotRow - Opmaakprofiel4 2 8 4 2 4" xfId="31066"/>
    <cellStyle name="TotRow - Opmaakprofiel4 2 8 4 2 5" xfId="37171"/>
    <cellStyle name="TotRow - Opmaakprofiel4 2 8 4 2 6" xfId="51740"/>
    <cellStyle name="TotRow - Opmaakprofiel4 2 8 4 3" xfId="2605"/>
    <cellStyle name="TotRow - Opmaakprofiel4 2 8 4 3 2" xfId="12293"/>
    <cellStyle name="TotRow - Opmaakprofiel4 2 8 4 3 2 2" xfId="24592"/>
    <cellStyle name="TotRow - Opmaakprofiel4 2 8 4 3 2 3" xfId="36644"/>
    <cellStyle name="TotRow - Opmaakprofiel4 2 8 4 3 2 4" xfId="47367"/>
    <cellStyle name="TotRow - Opmaakprofiel4 2 8 4 3 2 5" xfId="57258"/>
    <cellStyle name="TotRow - Opmaakprofiel4 2 8 4 3 3" xfId="19015"/>
    <cellStyle name="TotRow - Opmaakprofiel4 2 8 4 3 4" xfId="31067"/>
    <cellStyle name="TotRow - Opmaakprofiel4 2 8 4 3 5" xfId="37170"/>
    <cellStyle name="TotRow - Opmaakprofiel4 2 8 4 3 6" xfId="51741"/>
    <cellStyle name="TotRow - Opmaakprofiel4 2 8 4 4" xfId="3484"/>
    <cellStyle name="TotRow - Opmaakprofiel4 2 8 4 4 2" xfId="12294"/>
    <cellStyle name="TotRow - Opmaakprofiel4 2 8 4 4 2 2" xfId="24593"/>
    <cellStyle name="TotRow - Opmaakprofiel4 2 8 4 4 2 3" xfId="36645"/>
    <cellStyle name="TotRow - Opmaakprofiel4 2 8 4 4 2 4" xfId="47368"/>
    <cellStyle name="TotRow - Opmaakprofiel4 2 8 4 4 2 5" xfId="57259"/>
    <cellStyle name="TotRow - Opmaakprofiel4 2 8 4 4 3" xfId="19016"/>
    <cellStyle name="TotRow - Opmaakprofiel4 2 8 4 4 4" xfId="31068"/>
    <cellStyle name="TotRow - Opmaakprofiel4 2 8 4 4 5" xfId="37169"/>
    <cellStyle name="TotRow - Opmaakprofiel4 2 8 4 4 6" xfId="51742"/>
    <cellStyle name="TotRow - Opmaakprofiel4 2 8 4 5" xfId="6879"/>
    <cellStyle name="TotRow - Opmaakprofiel4 2 8 4 5 2" xfId="12295"/>
    <cellStyle name="TotRow - Opmaakprofiel4 2 8 4 5 2 2" xfId="24594"/>
    <cellStyle name="TotRow - Opmaakprofiel4 2 8 4 5 2 3" xfId="36646"/>
    <cellStyle name="TotRow - Opmaakprofiel4 2 8 4 5 2 4" xfId="47369"/>
    <cellStyle name="TotRow - Opmaakprofiel4 2 8 4 5 2 5" xfId="57260"/>
    <cellStyle name="TotRow - Opmaakprofiel4 2 8 4 5 3" xfId="19017"/>
    <cellStyle name="TotRow - Opmaakprofiel4 2 8 4 5 4" xfId="31069"/>
    <cellStyle name="TotRow - Opmaakprofiel4 2 8 4 5 5" xfId="43785"/>
    <cellStyle name="TotRow - Opmaakprofiel4 2 8 4 5 6" xfId="51743"/>
    <cellStyle name="TotRow - Opmaakprofiel4 2 8 4 6" xfId="6880"/>
    <cellStyle name="TotRow - Opmaakprofiel4 2 8 4 6 2" xfId="12296"/>
    <cellStyle name="TotRow - Opmaakprofiel4 2 8 4 6 2 2" xfId="24595"/>
    <cellStyle name="TotRow - Opmaakprofiel4 2 8 4 6 2 3" xfId="36647"/>
    <cellStyle name="TotRow - Opmaakprofiel4 2 8 4 6 2 4" xfId="47370"/>
    <cellStyle name="TotRow - Opmaakprofiel4 2 8 4 6 2 5" xfId="57261"/>
    <cellStyle name="TotRow - Opmaakprofiel4 2 8 4 6 3" xfId="19018"/>
    <cellStyle name="TotRow - Opmaakprofiel4 2 8 4 6 4" xfId="31070"/>
    <cellStyle name="TotRow - Opmaakprofiel4 2 8 4 6 5" xfId="37168"/>
    <cellStyle name="TotRow - Opmaakprofiel4 2 8 4 6 6" xfId="51744"/>
    <cellStyle name="TotRow - Opmaakprofiel4 2 8 4 7" xfId="6881"/>
    <cellStyle name="TotRow - Opmaakprofiel4 2 8 4 7 2" xfId="19019"/>
    <cellStyle name="TotRow - Opmaakprofiel4 2 8 4 7 3" xfId="31071"/>
    <cellStyle name="TotRow - Opmaakprofiel4 2 8 4 7 4" xfId="43784"/>
    <cellStyle name="TotRow - Opmaakprofiel4 2 8 4 7 5" xfId="51745"/>
    <cellStyle name="TotRow - Opmaakprofiel4 2 8 4 8" xfId="7626"/>
    <cellStyle name="TotRow - Opmaakprofiel4 2 8 4 8 2" xfId="19924"/>
    <cellStyle name="TotRow - Opmaakprofiel4 2 8 4 8 3" xfId="41727"/>
    <cellStyle name="TotRow - Opmaakprofiel4 2 8 4 8 4" xfId="43430"/>
    <cellStyle name="TotRow - Opmaakprofiel4 2 8 4 8 5" xfId="52596"/>
    <cellStyle name="TotRow - Opmaakprofiel4 2 8 4 9" xfId="19013"/>
    <cellStyle name="TotRow - Opmaakprofiel4 2 8 5" xfId="1167"/>
    <cellStyle name="TotRow - Opmaakprofiel4 2 8 5 2" xfId="2295"/>
    <cellStyle name="TotRow - Opmaakprofiel4 2 8 5 2 2" xfId="12297"/>
    <cellStyle name="TotRow - Opmaakprofiel4 2 8 5 2 2 2" xfId="24596"/>
    <cellStyle name="TotRow - Opmaakprofiel4 2 8 5 2 2 3" xfId="36648"/>
    <cellStyle name="TotRow - Opmaakprofiel4 2 8 5 2 2 4" xfId="47371"/>
    <cellStyle name="TotRow - Opmaakprofiel4 2 8 5 2 2 5" xfId="57262"/>
    <cellStyle name="TotRow - Opmaakprofiel4 2 8 5 2 3" xfId="19021"/>
    <cellStyle name="TotRow - Opmaakprofiel4 2 8 5 2 4" xfId="31073"/>
    <cellStyle name="TotRow - Opmaakprofiel4 2 8 5 2 5" xfId="43783"/>
    <cellStyle name="TotRow - Opmaakprofiel4 2 8 5 2 6" xfId="51746"/>
    <cellStyle name="TotRow - Opmaakprofiel4 2 8 5 3" xfId="3178"/>
    <cellStyle name="TotRow - Opmaakprofiel4 2 8 5 3 2" xfId="12298"/>
    <cellStyle name="TotRow - Opmaakprofiel4 2 8 5 3 2 2" xfId="24597"/>
    <cellStyle name="TotRow - Opmaakprofiel4 2 8 5 3 2 3" xfId="36649"/>
    <cellStyle name="TotRow - Opmaakprofiel4 2 8 5 3 2 4" xfId="47372"/>
    <cellStyle name="TotRow - Opmaakprofiel4 2 8 5 3 2 5" xfId="57263"/>
    <cellStyle name="TotRow - Opmaakprofiel4 2 8 5 3 3" xfId="19022"/>
    <cellStyle name="TotRow - Opmaakprofiel4 2 8 5 3 4" xfId="31074"/>
    <cellStyle name="TotRow - Opmaakprofiel4 2 8 5 3 5" xfId="37167"/>
    <cellStyle name="TotRow - Opmaakprofiel4 2 8 5 3 6" xfId="51747"/>
    <cellStyle name="TotRow - Opmaakprofiel4 2 8 5 4" xfId="3998"/>
    <cellStyle name="TotRow - Opmaakprofiel4 2 8 5 4 2" xfId="12299"/>
    <cellStyle name="TotRow - Opmaakprofiel4 2 8 5 4 2 2" xfId="24598"/>
    <cellStyle name="TotRow - Opmaakprofiel4 2 8 5 4 2 3" xfId="36650"/>
    <cellStyle name="TotRow - Opmaakprofiel4 2 8 5 4 2 4" xfId="47373"/>
    <cellStyle name="TotRow - Opmaakprofiel4 2 8 5 4 2 5" xfId="57264"/>
    <cellStyle name="TotRow - Opmaakprofiel4 2 8 5 4 3" xfId="19023"/>
    <cellStyle name="TotRow - Opmaakprofiel4 2 8 5 4 4" xfId="31075"/>
    <cellStyle name="TotRow - Opmaakprofiel4 2 8 5 4 5" xfId="43782"/>
    <cellStyle name="TotRow - Opmaakprofiel4 2 8 5 4 6" xfId="51748"/>
    <cellStyle name="TotRow - Opmaakprofiel4 2 8 5 5" xfId="6882"/>
    <cellStyle name="TotRow - Opmaakprofiel4 2 8 5 5 2" xfId="12300"/>
    <cellStyle name="TotRow - Opmaakprofiel4 2 8 5 5 2 2" xfId="24599"/>
    <cellStyle name="TotRow - Opmaakprofiel4 2 8 5 5 2 3" xfId="36651"/>
    <cellStyle name="TotRow - Opmaakprofiel4 2 8 5 5 2 4" xfId="47374"/>
    <cellStyle name="TotRow - Opmaakprofiel4 2 8 5 5 2 5" xfId="57265"/>
    <cellStyle name="TotRow - Opmaakprofiel4 2 8 5 5 3" xfId="19024"/>
    <cellStyle name="TotRow - Opmaakprofiel4 2 8 5 5 4" xfId="31076"/>
    <cellStyle name="TotRow - Opmaakprofiel4 2 8 5 5 5" xfId="37166"/>
    <cellStyle name="TotRow - Opmaakprofiel4 2 8 5 5 6" xfId="51749"/>
    <cellStyle name="TotRow - Opmaakprofiel4 2 8 5 6" xfId="6883"/>
    <cellStyle name="TotRow - Opmaakprofiel4 2 8 5 6 2" xfId="12301"/>
    <cellStyle name="TotRow - Opmaakprofiel4 2 8 5 6 2 2" xfId="24600"/>
    <cellStyle name="TotRow - Opmaakprofiel4 2 8 5 6 2 3" xfId="36652"/>
    <cellStyle name="TotRow - Opmaakprofiel4 2 8 5 6 2 4" xfId="47375"/>
    <cellStyle name="TotRow - Opmaakprofiel4 2 8 5 6 2 5" xfId="57266"/>
    <cellStyle name="TotRow - Opmaakprofiel4 2 8 5 6 3" xfId="19025"/>
    <cellStyle name="TotRow - Opmaakprofiel4 2 8 5 6 4" xfId="31077"/>
    <cellStyle name="TotRow - Opmaakprofiel4 2 8 5 6 5" xfId="43781"/>
    <cellStyle name="TotRow - Opmaakprofiel4 2 8 5 6 6" xfId="51750"/>
    <cellStyle name="TotRow - Opmaakprofiel4 2 8 5 7" xfId="6884"/>
    <cellStyle name="TotRow - Opmaakprofiel4 2 8 5 7 2" xfId="19026"/>
    <cellStyle name="TotRow - Opmaakprofiel4 2 8 5 7 3" xfId="31078"/>
    <cellStyle name="TotRow - Opmaakprofiel4 2 8 5 7 4" xfId="37165"/>
    <cellStyle name="TotRow - Opmaakprofiel4 2 8 5 7 5" xfId="51751"/>
    <cellStyle name="TotRow - Opmaakprofiel4 2 8 5 8" xfId="7198"/>
    <cellStyle name="TotRow - Opmaakprofiel4 2 8 5 8 2" xfId="19496"/>
    <cellStyle name="TotRow - Opmaakprofiel4 2 8 5 8 3" xfId="41299"/>
    <cellStyle name="TotRow - Opmaakprofiel4 2 8 5 8 4" xfId="43609"/>
    <cellStyle name="TotRow - Opmaakprofiel4 2 8 5 8 5" xfId="52168"/>
    <cellStyle name="TotRow - Opmaakprofiel4 2 8 5 9" xfId="19020"/>
    <cellStyle name="TotRow - Opmaakprofiel4 2 8 6" xfId="549"/>
    <cellStyle name="TotRow - Opmaakprofiel4 2 8 6 2" xfId="2400"/>
    <cellStyle name="TotRow - Opmaakprofiel4 2 8 6 2 2" xfId="12302"/>
    <cellStyle name="TotRow - Opmaakprofiel4 2 8 6 2 2 2" xfId="24601"/>
    <cellStyle name="TotRow - Opmaakprofiel4 2 8 6 2 2 3" xfId="36653"/>
    <cellStyle name="TotRow - Opmaakprofiel4 2 8 6 2 2 4" xfId="47376"/>
    <cellStyle name="TotRow - Opmaakprofiel4 2 8 6 2 2 5" xfId="57267"/>
    <cellStyle name="TotRow - Opmaakprofiel4 2 8 6 2 3" xfId="19028"/>
    <cellStyle name="TotRow - Opmaakprofiel4 2 8 6 2 4" xfId="31080"/>
    <cellStyle name="TotRow - Opmaakprofiel4 2 8 6 2 5" xfId="37164"/>
    <cellStyle name="TotRow - Opmaakprofiel4 2 8 6 2 6" xfId="51752"/>
    <cellStyle name="TotRow - Opmaakprofiel4 2 8 6 3" xfId="2620"/>
    <cellStyle name="TotRow - Opmaakprofiel4 2 8 6 3 2" xfId="12303"/>
    <cellStyle name="TotRow - Opmaakprofiel4 2 8 6 3 2 2" xfId="24602"/>
    <cellStyle name="TotRow - Opmaakprofiel4 2 8 6 3 2 3" xfId="36654"/>
    <cellStyle name="TotRow - Opmaakprofiel4 2 8 6 3 2 4" xfId="47377"/>
    <cellStyle name="TotRow - Opmaakprofiel4 2 8 6 3 2 5" xfId="57268"/>
    <cellStyle name="TotRow - Opmaakprofiel4 2 8 6 3 3" xfId="19029"/>
    <cellStyle name="TotRow - Opmaakprofiel4 2 8 6 3 4" xfId="31081"/>
    <cellStyle name="TotRow - Opmaakprofiel4 2 8 6 3 5" xfId="43780"/>
    <cellStyle name="TotRow - Opmaakprofiel4 2 8 6 3 6" xfId="51753"/>
    <cellStyle name="TotRow - Opmaakprofiel4 2 8 6 4" xfId="3498"/>
    <cellStyle name="TotRow - Opmaakprofiel4 2 8 6 4 2" xfId="12304"/>
    <cellStyle name="TotRow - Opmaakprofiel4 2 8 6 4 2 2" xfId="24603"/>
    <cellStyle name="TotRow - Opmaakprofiel4 2 8 6 4 2 3" xfId="36655"/>
    <cellStyle name="TotRow - Opmaakprofiel4 2 8 6 4 2 4" xfId="47378"/>
    <cellStyle name="TotRow - Opmaakprofiel4 2 8 6 4 2 5" xfId="57269"/>
    <cellStyle name="TotRow - Opmaakprofiel4 2 8 6 4 3" xfId="19030"/>
    <cellStyle name="TotRow - Opmaakprofiel4 2 8 6 4 4" xfId="31082"/>
    <cellStyle name="TotRow - Opmaakprofiel4 2 8 6 4 5" xfId="37163"/>
    <cellStyle name="TotRow - Opmaakprofiel4 2 8 6 4 6" xfId="51754"/>
    <cellStyle name="TotRow - Opmaakprofiel4 2 8 6 5" xfId="6885"/>
    <cellStyle name="TotRow - Opmaakprofiel4 2 8 6 5 2" xfId="12305"/>
    <cellStyle name="TotRow - Opmaakprofiel4 2 8 6 5 2 2" xfId="24604"/>
    <cellStyle name="TotRow - Opmaakprofiel4 2 8 6 5 2 3" xfId="36656"/>
    <cellStyle name="TotRow - Opmaakprofiel4 2 8 6 5 2 4" xfId="47379"/>
    <cellStyle name="TotRow - Opmaakprofiel4 2 8 6 5 2 5" xfId="57270"/>
    <cellStyle name="TotRow - Opmaakprofiel4 2 8 6 5 3" xfId="19031"/>
    <cellStyle name="TotRow - Opmaakprofiel4 2 8 6 5 4" xfId="31083"/>
    <cellStyle name="TotRow - Opmaakprofiel4 2 8 6 5 5" xfId="43779"/>
    <cellStyle name="TotRow - Opmaakprofiel4 2 8 6 5 6" xfId="51755"/>
    <cellStyle name="TotRow - Opmaakprofiel4 2 8 6 6" xfId="6886"/>
    <cellStyle name="TotRow - Opmaakprofiel4 2 8 6 6 2" xfId="12306"/>
    <cellStyle name="TotRow - Opmaakprofiel4 2 8 6 6 2 2" xfId="24605"/>
    <cellStyle name="TotRow - Opmaakprofiel4 2 8 6 6 2 3" xfId="36657"/>
    <cellStyle name="TotRow - Opmaakprofiel4 2 8 6 6 2 4" xfId="47380"/>
    <cellStyle name="TotRow - Opmaakprofiel4 2 8 6 6 2 5" xfId="57271"/>
    <cellStyle name="TotRow - Opmaakprofiel4 2 8 6 6 3" xfId="19032"/>
    <cellStyle name="TotRow - Opmaakprofiel4 2 8 6 6 4" xfId="31084"/>
    <cellStyle name="TotRow - Opmaakprofiel4 2 8 6 6 5" xfId="37162"/>
    <cellStyle name="TotRow - Opmaakprofiel4 2 8 6 6 6" xfId="51756"/>
    <cellStyle name="TotRow - Opmaakprofiel4 2 8 6 7" xfId="6887"/>
    <cellStyle name="TotRow - Opmaakprofiel4 2 8 6 7 2" xfId="19033"/>
    <cellStyle name="TotRow - Opmaakprofiel4 2 8 6 7 3" xfId="31085"/>
    <cellStyle name="TotRow - Opmaakprofiel4 2 8 6 7 4" xfId="43778"/>
    <cellStyle name="TotRow - Opmaakprofiel4 2 8 6 7 5" xfId="51757"/>
    <cellStyle name="TotRow - Opmaakprofiel4 2 8 6 8" xfId="7616"/>
    <cellStyle name="TotRow - Opmaakprofiel4 2 8 6 8 2" xfId="19914"/>
    <cellStyle name="TotRow - Opmaakprofiel4 2 8 6 8 3" xfId="41717"/>
    <cellStyle name="TotRow - Opmaakprofiel4 2 8 6 8 4" xfId="43434"/>
    <cellStyle name="TotRow - Opmaakprofiel4 2 8 6 8 5" xfId="52586"/>
    <cellStyle name="TotRow - Opmaakprofiel4 2 8 6 9" xfId="19027"/>
    <cellStyle name="TotRow - Opmaakprofiel4 2 8 7" xfId="1961"/>
    <cellStyle name="TotRow - Opmaakprofiel4 2 8 7 2" xfId="12307"/>
    <cellStyle name="TotRow - Opmaakprofiel4 2 8 7 2 2" xfId="24606"/>
    <cellStyle name="TotRow - Opmaakprofiel4 2 8 7 2 3" xfId="36658"/>
    <cellStyle name="TotRow - Opmaakprofiel4 2 8 7 2 4" xfId="47381"/>
    <cellStyle name="TotRow - Opmaakprofiel4 2 8 7 2 5" xfId="57272"/>
    <cellStyle name="TotRow - Opmaakprofiel4 2 8 7 3" xfId="19034"/>
    <cellStyle name="TotRow - Opmaakprofiel4 2 8 7 4" xfId="31086"/>
    <cellStyle name="TotRow - Opmaakprofiel4 2 8 7 5" xfId="37161"/>
    <cellStyle name="TotRow - Opmaakprofiel4 2 8 7 6" xfId="51758"/>
    <cellStyle name="TotRow - Opmaakprofiel4 2 8 8" xfId="2777"/>
    <cellStyle name="TotRow - Opmaakprofiel4 2 8 8 2" xfId="12308"/>
    <cellStyle name="TotRow - Opmaakprofiel4 2 8 8 2 2" xfId="24607"/>
    <cellStyle name="TotRow - Opmaakprofiel4 2 8 8 2 3" xfId="36659"/>
    <cellStyle name="TotRow - Opmaakprofiel4 2 8 8 2 4" xfId="47382"/>
    <cellStyle name="TotRow - Opmaakprofiel4 2 8 8 2 5" xfId="57273"/>
    <cellStyle name="TotRow - Opmaakprofiel4 2 8 8 3" xfId="19035"/>
    <cellStyle name="TotRow - Opmaakprofiel4 2 8 8 4" xfId="31087"/>
    <cellStyle name="TotRow - Opmaakprofiel4 2 8 8 5" xfId="43777"/>
    <cellStyle name="TotRow - Opmaakprofiel4 2 8 8 6" xfId="51759"/>
    <cellStyle name="TotRow - Opmaakprofiel4 2 8 9" xfId="3639"/>
    <cellStyle name="TotRow - Opmaakprofiel4 2 8 9 2" xfId="12309"/>
    <cellStyle name="TotRow - Opmaakprofiel4 2 8 9 2 2" xfId="24608"/>
    <cellStyle name="TotRow - Opmaakprofiel4 2 8 9 2 3" xfId="36660"/>
    <cellStyle name="TotRow - Opmaakprofiel4 2 8 9 2 4" xfId="47383"/>
    <cellStyle name="TotRow - Opmaakprofiel4 2 8 9 2 5" xfId="57274"/>
    <cellStyle name="TotRow - Opmaakprofiel4 2 8 9 3" xfId="19036"/>
    <cellStyle name="TotRow - Opmaakprofiel4 2 8 9 4" xfId="31088"/>
    <cellStyle name="TotRow - Opmaakprofiel4 2 8 9 5" xfId="37160"/>
    <cellStyle name="TotRow - Opmaakprofiel4 2 8 9 6" xfId="51760"/>
    <cellStyle name="TotRow - Opmaakprofiel4 2 9" xfId="716"/>
    <cellStyle name="TotRow - Opmaakprofiel4 2 9 10" xfId="6888"/>
    <cellStyle name="TotRow - Opmaakprofiel4 2 9 10 2" xfId="12310"/>
    <cellStyle name="TotRow - Opmaakprofiel4 2 9 10 2 2" xfId="24609"/>
    <cellStyle name="TotRow - Opmaakprofiel4 2 9 10 2 3" xfId="36661"/>
    <cellStyle name="TotRow - Opmaakprofiel4 2 9 10 2 4" xfId="47384"/>
    <cellStyle name="TotRow - Opmaakprofiel4 2 9 10 2 5" xfId="57275"/>
    <cellStyle name="TotRow - Opmaakprofiel4 2 9 10 3" xfId="19038"/>
    <cellStyle name="TotRow - Opmaakprofiel4 2 9 10 4" xfId="31090"/>
    <cellStyle name="TotRow - Opmaakprofiel4 2 9 10 5" xfId="37159"/>
    <cellStyle name="TotRow - Opmaakprofiel4 2 9 10 6" xfId="51761"/>
    <cellStyle name="TotRow - Opmaakprofiel4 2 9 11" xfId="6889"/>
    <cellStyle name="TotRow - Opmaakprofiel4 2 9 11 2" xfId="12311"/>
    <cellStyle name="TotRow - Opmaakprofiel4 2 9 11 2 2" xfId="24610"/>
    <cellStyle name="TotRow - Opmaakprofiel4 2 9 11 2 3" xfId="36662"/>
    <cellStyle name="TotRow - Opmaakprofiel4 2 9 11 2 4" xfId="47385"/>
    <cellStyle name="TotRow - Opmaakprofiel4 2 9 11 2 5" xfId="57276"/>
    <cellStyle name="TotRow - Opmaakprofiel4 2 9 11 3" xfId="19039"/>
    <cellStyle name="TotRow - Opmaakprofiel4 2 9 11 4" xfId="31091"/>
    <cellStyle name="TotRow - Opmaakprofiel4 2 9 11 5" xfId="37158"/>
    <cellStyle name="TotRow - Opmaakprofiel4 2 9 11 6" xfId="51762"/>
    <cellStyle name="TotRow - Opmaakprofiel4 2 9 12" xfId="6890"/>
    <cellStyle name="TotRow - Opmaakprofiel4 2 9 12 2" xfId="19040"/>
    <cellStyle name="TotRow - Opmaakprofiel4 2 9 12 3" xfId="31092"/>
    <cellStyle name="TotRow - Opmaakprofiel4 2 9 12 4" xfId="37157"/>
    <cellStyle name="TotRow - Opmaakprofiel4 2 9 12 5" xfId="51763"/>
    <cellStyle name="TotRow - Opmaakprofiel4 2 9 13" xfId="10191"/>
    <cellStyle name="TotRow - Opmaakprofiel4 2 9 13 2" xfId="22489"/>
    <cellStyle name="TotRow - Opmaakprofiel4 2 9 13 3" xfId="44252"/>
    <cellStyle name="TotRow - Opmaakprofiel4 2 9 13 4" xfId="31493"/>
    <cellStyle name="TotRow - Opmaakprofiel4 2 9 13 5" xfId="55156"/>
    <cellStyle name="TotRow - Opmaakprofiel4 2 9 14" xfId="19037"/>
    <cellStyle name="TotRow - Opmaakprofiel4 2 9 2" xfId="889"/>
    <cellStyle name="TotRow - Opmaakprofiel4 2 9 2 2" xfId="2340"/>
    <cellStyle name="TotRow - Opmaakprofiel4 2 9 2 2 2" xfId="12312"/>
    <cellStyle name="TotRow - Opmaakprofiel4 2 9 2 2 2 2" xfId="24611"/>
    <cellStyle name="TotRow - Opmaakprofiel4 2 9 2 2 2 3" xfId="36663"/>
    <cellStyle name="TotRow - Opmaakprofiel4 2 9 2 2 2 4" xfId="47386"/>
    <cellStyle name="TotRow - Opmaakprofiel4 2 9 2 2 2 5" xfId="57277"/>
    <cellStyle name="TotRow - Opmaakprofiel4 2 9 2 2 3" xfId="19042"/>
    <cellStyle name="TotRow - Opmaakprofiel4 2 9 2 2 4" xfId="31094"/>
    <cellStyle name="TotRow - Opmaakprofiel4 2 9 2 2 5" xfId="37156"/>
    <cellStyle name="TotRow - Opmaakprofiel4 2 9 2 2 6" xfId="51764"/>
    <cellStyle name="TotRow - Opmaakprofiel4 2 9 2 3" xfId="2900"/>
    <cellStyle name="TotRow - Opmaakprofiel4 2 9 2 3 2" xfId="12313"/>
    <cellStyle name="TotRow - Opmaakprofiel4 2 9 2 3 2 2" xfId="24612"/>
    <cellStyle name="TotRow - Opmaakprofiel4 2 9 2 3 2 3" xfId="36664"/>
    <cellStyle name="TotRow - Opmaakprofiel4 2 9 2 3 2 4" xfId="47387"/>
    <cellStyle name="TotRow - Opmaakprofiel4 2 9 2 3 2 5" xfId="57278"/>
    <cellStyle name="TotRow - Opmaakprofiel4 2 9 2 3 3" xfId="19043"/>
    <cellStyle name="TotRow - Opmaakprofiel4 2 9 2 3 4" xfId="31095"/>
    <cellStyle name="TotRow - Opmaakprofiel4 2 9 2 3 5" xfId="43776"/>
    <cellStyle name="TotRow - Opmaakprofiel4 2 9 2 3 6" xfId="51765"/>
    <cellStyle name="TotRow - Opmaakprofiel4 2 9 2 4" xfId="3753"/>
    <cellStyle name="TotRow - Opmaakprofiel4 2 9 2 4 2" xfId="12314"/>
    <cellStyle name="TotRow - Opmaakprofiel4 2 9 2 4 2 2" xfId="24613"/>
    <cellStyle name="TotRow - Opmaakprofiel4 2 9 2 4 2 3" xfId="36665"/>
    <cellStyle name="TotRow - Opmaakprofiel4 2 9 2 4 2 4" xfId="47388"/>
    <cellStyle name="TotRow - Opmaakprofiel4 2 9 2 4 2 5" xfId="57279"/>
    <cellStyle name="TotRow - Opmaakprofiel4 2 9 2 4 3" xfId="19044"/>
    <cellStyle name="TotRow - Opmaakprofiel4 2 9 2 4 4" xfId="31096"/>
    <cellStyle name="TotRow - Opmaakprofiel4 2 9 2 4 5" xfId="37155"/>
    <cellStyle name="TotRow - Opmaakprofiel4 2 9 2 4 6" xfId="51766"/>
    <cellStyle name="TotRow - Opmaakprofiel4 2 9 2 5" xfId="6891"/>
    <cellStyle name="TotRow - Opmaakprofiel4 2 9 2 5 2" xfId="12315"/>
    <cellStyle name="TotRow - Opmaakprofiel4 2 9 2 5 2 2" xfId="24614"/>
    <cellStyle name="TotRow - Opmaakprofiel4 2 9 2 5 2 3" xfId="36666"/>
    <cellStyle name="TotRow - Opmaakprofiel4 2 9 2 5 2 4" xfId="47389"/>
    <cellStyle name="TotRow - Opmaakprofiel4 2 9 2 5 2 5" xfId="57280"/>
    <cellStyle name="TotRow - Opmaakprofiel4 2 9 2 5 3" xfId="19045"/>
    <cellStyle name="TotRow - Opmaakprofiel4 2 9 2 5 4" xfId="31097"/>
    <cellStyle name="TotRow - Opmaakprofiel4 2 9 2 5 5" xfId="43775"/>
    <cellStyle name="TotRow - Opmaakprofiel4 2 9 2 5 6" xfId="51767"/>
    <cellStyle name="TotRow - Opmaakprofiel4 2 9 2 6" xfId="6892"/>
    <cellStyle name="TotRow - Opmaakprofiel4 2 9 2 6 2" xfId="12316"/>
    <cellStyle name="TotRow - Opmaakprofiel4 2 9 2 6 2 2" xfId="24615"/>
    <cellStyle name="TotRow - Opmaakprofiel4 2 9 2 6 2 3" xfId="36667"/>
    <cellStyle name="TotRow - Opmaakprofiel4 2 9 2 6 2 4" xfId="47390"/>
    <cellStyle name="TotRow - Opmaakprofiel4 2 9 2 6 2 5" xfId="57281"/>
    <cellStyle name="TotRow - Opmaakprofiel4 2 9 2 6 3" xfId="19046"/>
    <cellStyle name="TotRow - Opmaakprofiel4 2 9 2 6 4" xfId="31098"/>
    <cellStyle name="TotRow - Opmaakprofiel4 2 9 2 6 5" xfId="37154"/>
    <cellStyle name="TotRow - Opmaakprofiel4 2 9 2 6 6" xfId="51768"/>
    <cellStyle name="TotRow - Opmaakprofiel4 2 9 2 7" xfId="6893"/>
    <cellStyle name="TotRow - Opmaakprofiel4 2 9 2 7 2" xfId="19047"/>
    <cellStyle name="TotRow - Opmaakprofiel4 2 9 2 7 3" xfId="31099"/>
    <cellStyle name="TotRow - Opmaakprofiel4 2 9 2 7 4" xfId="43774"/>
    <cellStyle name="TotRow - Opmaakprofiel4 2 9 2 7 5" xfId="51769"/>
    <cellStyle name="TotRow - Opmaakprofiel4 2 9 2 8" xfId="7386"/>
    <cellStyle name="TotRow - Opmaakprofiel4 2 9 2 8 2" xfId="19684"/>
    <cellStyle name="TotRow - Opmaakprofiel4 2 9 2 8 3" xfId="41487"/>
    <cellStyle name="TotRow - Opmaakprofiel4 2 9 2 8 4" xfId="43530"/>
    <cellStyle name="TotRow - Opmaakprofiel4 2 9 2 8 5" xfId="52356"/>
    <cellStyle name="TotRow - Opmaakprofiel4 2 9 2 9" xfId="19041"/>
    <cellStyle name="TotRow - Opmaakprofiel4 2 9 3" xfId="988"/>
    <cellStyle name="TotRow - Opmaakprofiel4 2 9 3 2" xfId="2309"/>
    <cellStyle name="TotRow - Opmaakprofiel4 2 9 3 2 2" xfId="12317"/>
    <cellStyle name="TotRow - Opmaakprofiel4 2 9 3 2 2 2" xfId="24616"/>
    <cellStyle name="TotRow - Opmaakprofiel4 2 9 3 2 2 3" xfId="36668"/>
    <cellStyle name="TotRow - Opmaakprofiel4 2 9 3 2 2 4" xfId="47391"/>
    <cellStyle name="TotRow - Opmaakprofiel4 2 9 3 2 2 5" xfId="57282"/>
    <cellStyle name="TotRow - Opmaakprofiel4 2 9 3 2 3" xfId="19049"/>
    <cellStyle name="TotRow - Opmaakprofiel4 2 9 3 2 4" xfId="31101"/>
    <cellStyle name="TotRow - Opmaakprofiel4 2 9 3 2 5" xfId="43773"/>
    <cellStyle name="TotRow - Opmaakprofiel4 2 9 3 2 6" xfId="51770"/>
    <cellStyle name="TotRow - Opmaakprofiel4 2 9 3 3" xfId="2999"/>
    <cellStyle name="TotRow - Opmaakprofiel4 2 9 3 3 2" xfId="12318"/>
    <cellStyle name="TotRow - Opmaakprofiel4 2 9 3 3 2 2" xfId="24617"/>
    <cellStyle name="TotRow - Opmaakprofiel4 2 9 3 3 2 3" xfId="36669"/>
    <cellStyle name="TotRow - Opmaakprofiel4 2 9 3 3 2 4" xfId="47392"/>
    <cellStyle name="TotRow - Opmaakprofiel4 2 9 3 3 2 5" xfId="57283"/>
    <cellStyle name="TotRow - Opmaakprofiel4 2 9 3 3 3" xfId="19050"/>
    <cellStyle name="TotRow - Opmaakprofiel4 2 9 3 3 4" xfId="31102"/>
    <cellStyle name="TotRow - Opmaakprofiel4 2 9 3 3 5" xfId="37153"/>
    <cellStyle name="TotRow - Opmaakprofiel4 2 9 3 3 6" xfId="51771"/>
    <cellStyle name="TotRow - Opmaakprofiel4 2 9 3 4" xfId="3845"/>
    <cellStyle name="TotRow - Opmaakprofiel4 2 9 3 4 2" xfId="12319"/>
    <cellStyle name="TotRow - Opmaakprofiel4 2 9 3 4 2 2" xfId="24618"/>
    <cellStyle name="TotRow - Opmaakprofiel4 2 9 3 4 2 3" xfId="36670"/>
    <cellStyle name="TotRow - Opmaakprofiel4 2 9 3 4 2 4" xfId="47393"/>
    <cellStyle name="TotRow - Opmaakprofiel4 2 9 3 4 2 5" xfId="57284"/>
    <cellStyle name="TotRow - Opmaakprofiel4 2 9 3 4 3" xfId="19051"/>
    <cellStyle name="TotRow - Opmaakprofiel4 2 9 3 4 4" xfId="31103"/>
    <cellStyle name="TotRow - Opmaakprofiel4 2 9 3 4 5" xfId="37152"/>
    <cellStyle name="TotRow - Opmaakprofiel4 2 9 3 4 6" xfId="51772"/>
    <cellStyle name="TotRow - Opmaakprofiel4 2 9 3 5" xfId="6894"/>
    <cellStyle name="TotRow - Opmaakprofiel4 2 9 3 5 2" xfId="12320"/>
    <cellStyle name="TotRow - Opmaakprofiel4 2 9 3 5 2 2" xfId="24619"/>
    <cellStyle name="TotRow - Opmaakprofiel4 2 9 3 5 2 3" xfId="36671"/>
    <cellStyle name="TotRow - Opmaakprofiel4 2 9 3 5 2 4" xfId="47394"/>
    <cellStyle name="TotRow - Opmaakprofiel4 2 9 3 5 2 5" xfId="57285"/>
    <cellStyle name="TotRow - Opmaakprofiel4 2 9 3 5 3" xfId="19052"/>
    <cellStyle name="TotRow - Opmaakprofiel4 2 9 3 5 4" xfId="31104"/>
    <cellStyle name="TotRow - Opmaakprofiel4 2 9 3 5 5" xfId="37151"/>
    <cellStyle name="TotRow - Opmaakprofiel4 2 9 3 5 6" xfId="51773"/>
    <cellStyle name="TotRow - Opmaakprofiel4 2 9 3 6" xfId="6895"/>
    <cellStyle name="TotRow - Opmaakprofiel4 2 9 3 6 2" xfId="12321"/>
    <cellStyle name="TotRow - Opmaakprofiel4 2 9 3 6 2 2" xfId="24620"/>
    <cellStyle name="TotRow - Opmaakprofiel4 2 9 3 6 2 3" xfId="36672"/>
    <cellStyle name="TotRow - Opmaakprofiel4 2 9 3 6 2 4" xfId="47395"/>
    <cellStyle name="TotRow - Opmaakprofiel4 2 9 3 6 2 5" xfId="57286"/>
    <cellStyle name="TotRow - Opmaakprofiel4 2 9 3 6 3" xfId="19053"/>
    <cellStyle name="TotRow - Opmaakprofiel4 2 9 3 6 4" xfId="31105"/>
    <cellStyle name="TotRow - Opmaakprofiel4 2 9 3 6 5" xfId="43772"/>
    <cellStyle name="TotRow - Opmaakprofiel4 2 9 3 6 6" xfId="51774"/>
    <cellStyle name="TotRow - Opmaakprofiel4 2 9 3 7" xfId="6896"/>
    <cellStyle name="TotRow - Opmaakprofiel4 2 9 3 7 2" xfId="19054"/>
    <cellStyle name="TotRow - Opmaakprofiel4 2 9 3 7 3" xfId="31106"/>
    <cellStyle name="TotRow - Opmaakprofiel4 2 9 3 7 4" xfId="37150"/>
    <cellStyle name="TotRow - Opmaakprofiel4 2 9 3 7 5" xfId="51775"/>
    <cellStyle name="TotRow - Opmaakprofiel4 2 9 3 8" xfId="7320"/>
    <cellStyle name="TotRow - Opmaakprofiel4 2 9 3 8 2" xfId="19618"/>
    <cellStyle name="TotRow - Opmaakprofiel4 2 9 3 8 3" xfId="41421"/>
    <cellStyle name="TotRow - Opmaakprofiel4 2 9 3 8 4" xfId="43558"/>
    <cellStyle name="TotRow - Opmaakprofiel4 2 9 3 8 5" xfId="52290"/>
    <cellStyle name="TotRow - Opmaakprofiel4 2 9 3 9" xfId="19048"/>
    <cellStyle name="TotRow - Opmaakprofiel4 2 9 4" xfId="508"/>
    <cellStyle name="TotRow - Opmaakprofiel4 2 9 4 2" xfId="1916"/>
    <cellStyle name="TotRow - Opmaakprofiel4 2 9 4 2 2" xfId="12322"/>
    <cellStyle name="TotRow - Opmaakprofiel4 2 9 4 2 2 2" xfId="24621"/>
    <cellStyle name="TotRow - Opmaakprofiel4 2 9 4 2 2 3" xfId="36673"/>
    <cellStyle name="TotRow - Opmaakprofiel4 2 9 4 2 2 4" xfId="47396"/>
    <cellStyle name="TotRow - Opmaakprofiel4 2 9 4 2 2 5" xfId="57287"/>
    <cellStyle name="TotRow - Opmaakprofiel4 2 9 4 2 3" xfId="19056"/>
    <cellStyle name="TotRow - Opmaakprofiel4 2 9 4 2 4" xfId="31108"/>
    <cellStyle name="TotRow - Opmaakprofiel4 2 9 4 2 5" xfId="37149"/>
    <cellStyle name="TotRow - Opmaakprofiel4 2 9 4 2 6" xfId="51776"/>
    <cellStyle name="TotRow - Opmaakprofiel4 2 9 4 3" xfId="2579"/>
    <cellStyle name="TotRow - Opmaakprofiel4 2 9 4 3 2" xfId="12323"/>
    <cellStyle name="TotRow - Opmaakprofiel4 2 9 4 3 2 2" xfId="24622"/>
    <cellStyle name="TotRow - Opmaakprofiel4 2 9 4 3 2 3" xfId="36674"/>
    <cellStyle name="TotRow - Opmaakprofiel4 2 9 4 3 2 4" xfId="47397"/>
    <cellStyle name="TotRow - Opmaakprofiel4 2 9 4 3 2 5" xfId="57288"/>
    <cellStyle name="TotRow - Opmaakprofiel4 2 9 4 3 3" xfId="19057"/>
    <cellStyle name="TotRow - Opmaakprofiel4 2 9 4 3 4" xfId="31109"/>
    <cellStyle name="TotRow - Opmaakprofiel4 2 9 4 3 5" xfId="37148"/>
    <cellStyle name="TotRow - Opmaakprofiel4 2 9 4 3 6" xfId="51777"/>
    <cellStyle name="TotRow - Opmaakprofiel4 2 9 4 4" xfId="3462"/>
    <cellStyle name="TotRow - Opmaakprofiel4 2 9 4 4 2" xfId="12324"/>
    <cellStyle name="TotRow - Opmaakprofiel4 2 9 4 4 2 2" xfId="24623"/>
    <cellStyle name="TotRow - Opmaakprofiel4 2 9 4 4 2 3" xfId="36675"/>
    <cellStyle name="TotRow - Opmaakprofiel4 2 9 4 4 2 4" xfId="47398"/>
    <cellStyle name="TotRow - Opmaakprofiel4 2 9 4 4 2 5" xfId="57289"/>
    <cellStyle name="TotRow - Opmaakprofiel4 2 9 4 4 3" xfId="19058"/>
    <cellStyle name="TotRow - Opmaakprofiel4 2 9 4 4 4" xfId="31110"/>
    <cellStyle name="TotRow - Opmaakprofiel4 2 9 4 4 5" xfId="43771"/>
    <cellStyle name="TotRow - Opmaakprofiel4 2 9 4 4 6" xfId="51778"/>
    <cellStyle name="TotRow - Opmaakprofiel4 2 9 4 5" xfId="6897"/>
    <cellStyle name="TotRow - Opmaakprofiel4 2 9 4 5 2" xfId="12325"/>
    <cellStyle name="TotRow - Opmaakprofiel4 2 9 4 5 2 2" xfId="24624"/>
    <cellStyle name="TotRow - Opmaakprofiel4 2 9 4 5 2 3" xfId="36676"/>
    <cellStyle name="TotRow - Opmaakprofiel4 2 9 4 5 2 4" xfId="47399"/>
    <cellStyle name="TotRow - Opmaakprofiel4 2 9 4 5 2 5" xfId="57290"/>
    <cellStyle name="TotRow - Opmaakprofiel4 2 9 4 5 3" xfId="19059"/>
    <cellStyle name="TotRow - Opmaakprofiel4 2 9 4 5 4" xfId="31111"/>
    <cellStyle name="TotRow - Opmaakprofiel4 2 9 4 5 5" xfId="37147"/>
    <cellStyle name="TotRow - Opmaakprofiel4 2 9 4 5 6" xfId="51779"/>
    <cellStyle name="TotRow - Opmaakprofiel4 2 9 4 6" xfId="6898"/>
    <cellStyle name="TotRow - Opmaakprofiel4 2 9 4 6 2" xfId="12326"/>
    <cellStyle name="TotRow - Opmaakprofiel4 2 9 4 6 2 2" xfId="24625"/>
    <cellStyle name="TotRow - Opmaakprofiel4 2 9 4 6 2 3" xfId="36677"/>
    <cellStyle name="TotRow - Opmaakprofiel4 2 9 4 6 2 4" xfId="47400"/>
    <cellStyle name="TotRow - Opmaakprofiel4 2 9 4 6 2 5" xfId="57291"/>
    <cellStyle name="TotRow - Opmaakprofiel4 2 9 4 6 3" xfId="19060"/>
    <cellStyle name="TotRow - Opmaakprofiel4 2 9 4 6 4" xfId="31112"/>
    <cellStyle name="TotRow - Opmaakprofiel4 2 9 4 6 5" xfId="43770"/>
    <cellStyle name="TotRow - Opmaakprofiel4 2 9 4 6 6" xfId="51780"/>
    <cellStyle name="TotRow - Opmaakprofiel4 2 9 4 7" xfId="6899"/>
    <cellStyle name="TotRow - Opmaakprofiel4 2 9 4 7 2" xfId="19061"/>
    <cellStyle name="TotRow - Opmaakprofiel4 2 9 4 7 3" xfId="31113"/>
    <cellStyle name="TotRow - Opmaakprofiel4 2 9 4 7 4" xfId="37146"/>
    <cellStyle name="TotRow - Opmaakprofiel4 2 9 4 7 5" xfId="51781"/>
    <cellStyle name="TotRow - Opmaakprofiel4 2 9 4 8" xfId="7644"/>
    <cellStyle name="TotRow - Opmaakprofiel4 2 9 4 8 2" xfId="19942"/>
    <cellStyle name="TotRow - Opmaakprofiel4 2 9 4 8 3" xfId="41745"/>
    <cellStyle name="TotRow - Opmaakprofiel4 2 9 4 8 4" xfId="43423"/>
    <cellStyle name="TotRow - Opmaakprofiel4 2 9 4 8 5" xfId="52614"/>
    <cellStyle name="TotRow - Opmaakprofiel4 2 9 4 9" xfId="19055"/>
    <cellStyle name="TotRow - Opmaakprofiel4 2 9 5" xfId="1162"/>
    <cellStyle name="TotRow - Opmaakprofiel4 2 9 5 2" xfId="1606"/>
    <cellStyle name="TotRow - Opmaakprofiel4 2 9 5 2 2" xfId="12327"/>
    <cellStyle name="TotRow - Opmaakprofiel4 2 9 5 2 2 2" xfId="24626"/>
    <cellStyle name="TotRow - Opmaakprofiel4 2 9 5 2 2 3" xfId="36678"/>
    <cellStyle name="TotRow - Opmaakprofiel4 2 9 5 2 2 4" xfId="47401"/>
    <cellStyle name="TotRow - Opmaakprofiel4 2 9 5 2 2 5" xfId="57292"/>
    <cellStyle name="TotRow - Opmaakprofiel4 2 9 5 2 3" xfId="19063"/>
    <cellStyle name="TotRow - Opmaakprofiel4 2 9 5 2 4" xfId="31115"/>
    <cellStyle name="TotRow - Opmaakprofiel4 2 9 5 2 5" xfId="37145"/>
    <cellStyle name="TotRow - Opmaakprofiel4 2 9 5 2 6" xfId="51782"/>
    <cellStyle name="TotRow - Opmaakprofiel4 2 9 5 3" xfId="3173"/>
    <cellStyle name="TotRow - Opmaakprofiel4 2 9 5 3 2" xfId="12328"/>
    <cellStyle name="TotRow - Opmaakprofiel4 2 9 5 3 2 2" xfId="24627"/>
    <cellStyle name="TotRow - Opmaakprofiel4 2 9 5 3 2 3" xfId="36679"/>
    <cellStyle name="TotRow - Opmaakprofiel4 2 9 5 3 2 4" xfId="47402"/>
    <cellStyle name="TotRow - Opmaakprofiel4 2 9 5 3 2 5" xfId="57293"/>
    <cellStyle name="TotRow - Opmaakprofiel4 2 9 5 3 3" xfId="19064"/>
    <cellStyle name="TotRow - Opmaakprofiel4 2 9 5 3 4" xfId="31116"/>
    <cellStyle name="TotRow - Opmaakprofiel4 2 9 5 3 5" xfId="37144"/>
    <cellStyle name="TotRow - Opmaakprofiel4 2 9 5 3 6" xfId="51783"/>
    <cellStyle name="TotRow - Opmaakprofiel4 2 9 5 4" xfId="3995"/>
    <cellStyle name="TotRow - Opmaakprofiel4 2 9 5 4 2" xfId="12329"/>
    <cellStyle name="TotRow - Opmaakprofiel4 2 9 5 4 2 2" xfId="24628"/>
    <cellStyle name="TotRow - Opmaakprofiel4 2 9 5 4 2 3" xfId="36680"/>
    <cellStyle name="TotRow - Opmaakprofiel4 2 9 5 4 2 4" xfId="47403"/>
    <cellStyle name="TotRow - Opmaakprofiel4 2 9 5 4 2 5" xfId="57294"/>
    <cellStyle name="TotRow - Opmaakprofiel4 2 9 5 4 3" xfId="19065"/>
    <cellStyle name="TotRow - Opmaakprofiel4 2 9 5 4 4" xfId="31117"/>
    <cellStyle name="TotRow - Opmaakprofiel4 2 9 5 4 5" xfId="43769"/>
    <cellStyle name="TotRow - Opmaakprofiel4 2 9 5 4 6" xfId="51784"/>
    <cellStyle name="TotRow - Opmaakprofiel4 2 9 5 5" xfId="6900"/>
    <cellStyle name="TotRow - Opmaakprofiel4 2 9 5 5 2" xfId="12330"/>
    <cellStyle name="TotRow - Opmaakprofiel4 2 9 5 5 2 2" xfId="24629"/>
    <cellStyle name="TotRow - Opmaakprofiel4 2 9 5 5 2 3" xfId="36681"/>
    <cellStyle name="TotRow - Opmaakprofiel4 2 9 5 5 2 4" xfId="47404"/>
    <cellStyle name="TotRow - Opmaakprofiel4 2 9 5 5 2 5" xfId="57295"/>
    <cellStyle name="TotRow - Opmaakprofiel4 2 9 5 5 3" xfId="19066"/>
    <cellStyle name="TotRow - Opmaakprofiel4 2 9 5 5 4" xfId="31118"/>
    <cellStyle name="TotRow - Opmaakprofiel4 2 9 5 5 5" xfId="37143"/>
    <cellStyle name="TotRow - Opmaakprofiel4 2 9 5 5 6" xfId="51785"/>
    <cellStyle name="TotRow - Opmaakprofiel4 2 9 5 6" xfId="6901"/>
    <cellStyle name="TotRow - Opmaakprofiel4 2 9 5 6 2" xfId="12331"/>
    <cellStyle name="TotRow - Opmaakprofiel4 2 9 5 6 2 2" xfId="24630"/>
    <cellStyle name="TotRow - Opmaakprofiel4 2 9 5 6 2 3" xfId="36682"/>
    <cellStyle name="TotRow - Opmaakprofiel4 2 9 5 6 2 4" xfId="47405"/>
    <cellStyle name="TotRow - Opmaakprofiel4 2 9 5 6 2 5" xfId="57296"/>
    <cellStyle name="TotRow - Opmaakprofiel4 2 9 5 6 3" xfId="19067"/>
    <cellStyle name="TotRow - Opmaakprofiel4 2 9 5 6 4" xfId="31119"/>
    <cellStyle name="TotRow - Opmaakprofiel4 2 9 5 6 5" xfId="43768"/>
    <cellStyle name="TotRow - Opmaakprofiel4 2 9 5 6 6" xfId="51786"/>
    <cellStyle name="TotRow - Opmaakprofiel4 2 9 5 7" xfId="6902"/>
    <cellStyle name="TotRow - Opmaakprofiel4 2 9 5 7 2" xfId="19068"/>
    <cellStyle name="TotRow - Opmaakprofiel4 2 9 5 7 3" xfId="31120"/>
    <cellStyle name="TotRow - Opmaakprofiel4 2 9 5 7 4" xfId="37142"/>
    <cellStyle name="TotRow - Opmaakprofiel4 2 9 5 7 5" xfId="51787"/>
    <cellStyle name="TotRow - Opmaakprofiel4 2 9 5 8" xfId="9892"/>
    <cellStyle name="TotRow - Opmaakprofiel4 2 9 5 8 2" xfId="22190"/>
    <cellStyle name="TotRow - Opmaakprofiel4 2 9 5 8 3" xfId="43957"/>
    <cellStyle name="TotRow - Opmaakprofiel4 2 9 5 8 4" xfId="32121"/>
    <cellStyle name="TotRow - Opmaakprofiel4 2 9 5 8 5" xfId="54857"/>
    <cellStyle name="TotRow - Opmaakprofiel4 2 9 5 9" xfId="19062"/>
    <cellStyle name="TotRow - Opmaakprofiel4 2 9 6" xfId="571"/>
    <cellStyle name="TotRow - Opmaakprofiel4 2 9 6 2" xfId="2363"/>
    <cellStyle name="TotRow - Opmaakprofiel4 2 9 6 2 2" xfId="12332"/>
    <cellStyle name="TotRow - Opmaakprofiel4 2 9 6 2 2 2" xfId="24631"/>
    <cellStyle name="TotRow - Opmaakprofiel4 2 9 6 2 2 3" xfId="36683"/>
    <cellStyle name="TotRow - Opmaakprofiel4 2 9 6 2 2 4" xfId="47406"/>
    <cellStyle name="TotRow - Opmaakprofiel4 2 9 6 2 2 5" xfId="57297"/>
    <cellStyle name="TotRow - Opmaakprofiel4 2 9 6 2 3" xfId="19070"/>
    <cellStyle name="TotRow - Opmaakprofiel4 2 9 6 2 4" xfId="31122"/>
    <cellStyle name="TotRow - Opmaakprofiel4 2 9 6 2 5" xfId="37141"/>
    <cellStyle name="TotRow - Opmaakprofiel4 2 9 6 2 6" xfId="51788"/>
    <cellStyle name="TotRow - Opmaakprofiel4 2 9 6 3" xfId="2642"/>
    <cellStyle name="TotRow - Opmaakprofiel4 2 9 6 3 2" xfId="12333"/>
    <cellStyle name="TotRow - Opmaakprofiel4 2 9 6 3 2 2" xfId="24632"/>
    <cellStyle name="TotRow - Opmaakprofiel4 2 9 6 3 2 3" xfId="36684"/>
    <cellStyle name="TotRow - Opmaakprofiel4 2 9 6 3 2 4" xfId="47407"/>
    <cellStyle name="TotRow - Opmaakprofiel4 2 9 6 3 2 5" xfId="57298"/>
    <cellStyle name="TotRow - Opmaakprofiel4 2 9 6 3 3" xfId="19071"/>
    <cellStyle name="TotRow - Opmaakprofiel4 2 9 6 3 4" xfId="31123"/>
    <cellStyle name="TotRow - Opmaakprofiel4 2 9 6 3 5" xfId="43767"/>
    <cellStyle name="TotRow - Opmaakprofiel4 2 9 6 3 6" xfId="51789"/>
    <cellStyle name="TotRow - Opmaakprofiel4 2 9 6 4" xfId="3519"/>
    <cellStyle name="TotRow - Opmaakprofiel4 2 9 6 4 2" xfId="12334"/>
    <cellStyle name="TotRow - Opmaakprofiel4 2 9 6 4 2 2" xfId="24633"/>
    <cellStyle name="TotRow - Opmaakprofiel4 2 9 6 4 2 3" xfId="36685"/>
    <cellStyle name="TotRow - Opmaakprofiel4 2 9 6 4 2 4" xfId="47408"/>
    <cellStyle name="TotRow - Opmaakprofiel4 2 9 6 4 2 5" xfId="57299"/>
    <cellStyle name="TotRow - Opmaakprofiel4 2 9 6 4 3" xfId="19072"/>
    <cellStyle name="TotRow - Opmaakprofiel4 2 9 6 4 4" xfId="31124"/>
    <cellStyle name="TotRow - Opmaakprofiel4 2 9 6 4 5" xfId="37140"/>
    <cellStyle name="TotRow - Opmaakprofiel4 2 9 6 4 6" xfId="51790"/>
    <cellStyle name="TotRow - Opmaakprofiel4 2 9 6 5" xfId="6903"/>
    <cellStyle name="TotRow - Opmaakprofiel4 2 9 6 5 2" xfId="12335"/>
    <cellStyle name="TotRow - Opmaakprofiel4 2 9 6 5 2 2" xfId="24634"/>
    <cellStyle name="TotRow - Opmaakprofiel4 2 9 6 5 2 3" xfId="36686"/>
    <cellStyle name="TotRow - Opmaakprofiel4 2 9 6 5 2 4" xfId="47409"/>
    <cellStyle name="TotRow - Opmaakprofiel4 2 9 6 5 2 5" xfId="57300"/>
    <cellStyle name="TotRow - Opmaakprofiel4 2 9 6 5 3" xfId="19073"/>
    <cellStyle name="TotRow - Opmaakprofiel4 2 9 6 5 4" xfId="31125"/>
    <cellStyle name="TotRow - Opmaakprofiel4 2 9 6 5 5" xfId="43766"/>
    <cellStyle name="TotRow - Opmaakprofiel4 2 9 6 5 6" xfId="51791"/>
    <cellStyle name="TotRow - Opmaakprofiel4 2 9 6 6" xfId="6904"/>
    <cellStyle name="TotRow - Opmaakprofiel4 2 9 6 6 2" xfId="12336"/>
    <cellStyle name="TotRow - Opmaakprofiel4 2 9 6 6 2 2" xfId="24635"/>
    <cellStyle name="TotRow - Opmaakprofiel4 2 9 6 6 2 3" xfId="36687"/>
    <cellStyle name="TotRow - Opmaakprofiel4 2 9 6 6 2 4" xfId="47410"/>
    <cellStyle name="TotRow - Opmaakprofiel4 2 9 6 6 2 5" xfId="57301"/>
    <cellStyle name="TotRow - Opmaakprofiel4 2 9 6 6 3" xfId="19074"/>
    <cellStyle name="TotRow - Opmaakprofiel4 2 9 6 6 4" xfId="31126"/>
    <cellStyle name="TotRow - Opmaakprofiel4 2 9 6 6 5" xfId="37139"/>
    <cellStyle name="TotRow - Opmaakprofiel4 2 9 6 6 6" xfId="51792"/>
    <cellStyle name="TotRow - Opmaakprofiel4 2 9 6 7" xfId="6905"/>
    <cellStyle name="TotRow - Opmaakprofiel4 2 9 6 7 2" xfId="19075"/>
    <cellStyle name="TotRow - Opmaakprofiel4 2 9 6 7 3" xfId="31127"/>
    <cellStyle name="TotRow - Opmaakprofiel4 2 9 6 7 4" xfId="37138"/>
    <cellStyle name="TotRow - Opmaakprofiel4 2 9 6 7 5" xfId="51793"/>
    <cellStyle name="TotRow - Opmaakprofiel4 2 9 6 8" xfId="7601"/>
    <cellStyle name="TotRow - Opmaakprofiel4 2 9 6 8 2" xfId="19899"/>
    <cellStyle name="TotRow - Opmaakprofiel4 2 9 6 8 3" xfId="41702"/>
    <cellStyle name="TotRow - Opmaakprofiel4 2 9 6 8 4" xfId="24891"/>
    <cellStyle name="TotRow - Opmaakprofiel4 2 9 6 8 5" xfId="52571"/>
    <cellStyle name="TotRow - Opmaakprofiel4 2 9 6 9" xfId="19069"/>
    <cellStyle name="TotRow - Opmaakprofiel4 2 9 7" xfId="1473"/>
    <cellStyle name="TotRow - Opmaakprofiel4 2 9 7 2" xfId="12337"/>
    <cellStyle name="TotRow - Opmaakprofiel4 2 9 7 2 2" xfId="24636"/>
    <cellStyle name="TotRow - Opmaakprofiel4 2 9 7 2 3" xfId="36688"/>
    <cellStyle name="TotRow - Opmaakprofiel4 2 9 7 2 4" xfId="47411"/>
    <cellStyle name="TotRow - Opmaakprofiel4 2 9 7 2 5" xfId="57302"/>
    <cellStyle name="TotRow - Opmaakprofiel4 2 9 7 3" xfId="19076"/>
    <cellStyle name="TotRow - Opmaakprofiel4 2 9 7 4" xfId="31128"/>
    <cellStyle name="TotRow - Opmaakprofiel4 2 9 7 5" xfId="37137"/>
    <cellStyle name="TotRow - Opmaakprofiel4 2 9 7 6" xfId="51794"/>
    <cellStyle name="TotRow - Opmaakprofiel4 2 9 8" xfId="2774"/>
    <cellStyle name="TotRow - Opmaakprofiel4 2 9 8 2" xfId="12338"/>
    <cellStyle name="TotRow - Opmaakprofiel4 2 9 8 2 2" xfId="24637"/>
    <cellStyle name="TotRow - Opmaakprofiel4 2 9 8 2 3" xfId="36689"/>
    <cellStyle name="TotRow - Opmaakprofiel4 2 9 8 2 4" xfId="47412"/>
    <cellStyle name="TotRow - Opmaakprofiel4 2 9 8 2 5" xfId="57303"/>
    <cellStyle name="TotRow - Opmaakprofiel4 2 9 8 3" xfId="19077"/>
    <cellStyle name="TotRow - Opmaakprofiel4 2 9 8 4" xfId="31129"/>
    <cellStyle name="TotRow - Opmaakprofiel4 2 9 8 5" xfId="43765"/>
    <cellStyle name="TotRow - Opmaakprofiel4 2 9 8 6" xfId="51795"/>
    <cellStyle name="TotRow - Opmaakprofiel4 2 9 9" xfId="3636"/>
    <cellStyle name="TotRow - Opmaakprofiel4 2 9 9 2" xfId="12339"/>
    <cellStyle name="TotRow - Opmaakprofiel4 2 9 9 2 2" xfId="24638"/>
    <cellStyle name="TotRow - Opmaakprofiel4 2 9 9 2 3" xfId="36690"/>
    <cellStyle name="TotRow - Opmaakprofiel4 2 9 9 2 4" xfId="47413"/>
    <cellStyle name="TotRow - Opmaakprofiel4 2 9 9 2 5" xfId="57304"/>
    <cellStyle name="TotRow - Opmaakprofiel4 2 9 9 3" xfId="19078"/>
    <cellStyle name="TotRow - Opmaakprofiel4 2 9 9 4" xfId="31130"/>
    <cellStyle name="TotRow - Opmaakprofiel4 2 9 9 5" xfId="37136"/>
    <cellStyle name="TotRow - Opmaakprofiel4 2 9 9 6" xfId="51796"/>
    <cellStyle name="TotRow - Opmaakprofiel4 3" xfId="322"/>
    <cellStyle name="TotRow - Opmaakprofiel4 3 10" xfId="1366"/>
    <cellStyle name="TotRow - Opmaakprofiel4 3 10 2" xfId="1403"/>
    <cellStyle name="TotRow - Opmaakprofiel4 3 10 2 2" xfId="12340"/>
    <cellStyle name="TotRow - Opmaakprofiel4 3 10 2 2 2" xfId="24639"/>
    <cellStyle name="TotRow - Opmaakprofiel4 3 10 2 2 3" xfId="36691"/>
    <cellStyle name="TotRow - Opmaakprofiel4 3 10 2 2 4" xfId="47414"/>
    <cellStyle name="TotRow - Opmaakprofiel4 3 10 2 2 5" xfId="57305"/>
    <cellStyle name="TotRow - Opmaakprofiel4 3 10 2 3" xfId="19081"/>
    <cellStyle name="TotRow - Opmaakprofiel4 3 10 2 4" xfId="31133"/>
    <cellStyle name="TotRow - Opmaakprofiel4 3 10 2 5" xfId="43764"/>
    <cellStyle name="TotRow - Opmaakprofiel4 3 10 2 6" xfId="51797"/>
    <cellStyle name="TotRow - Opmaakprofiel4 3 10 3" xfId="3377"/>
    <cellStyle name="TotRow - Opmaakprofiel4 3 10 3 2" xfId="12341"/>
    <cellStyle name="TotRow - Opmaakprofiel4 3 10 3 2 2" xfId="24640"/>
    <cellStyle name="TotRow - Opmaakprofiel4 3 10 3 2 3" xfId="36692"/>
    <cellStyle name="TotRow - Opmaakprofiel4 3 10 3 2 4" xfId="47415"/>
    <cellStyle name="TotRow - Opmaakprofiel4 3 10 3 2 5" xfId="57306"/>
    <cellStyle name="TotRow - Opmaakprofiel4 3 10 3 3" xfId="19082"/>
    <cellStyle name="TotRow - Opmaakprofiel4 3 10 3 4" xfId="31134"/>
    <cellStyle name="TotRow - Opmaakprofiel4 3 10 3 5" xfId="37135"/>
    <cellStyle name="TotRow - Opmaakprofiel4 3 10 3 6" xfId="51798"/>
    <cellStyle name="TotRow - Opmaakprofiel4 3 10 4" xfId="4138"/>
    <cellStyle name="TotRow - Opmaakprofiel4 3 10 4 2" xfId="12342"/>
    <cellStyle name="TotRow - Opmaakprofiel4 3 10 4 2 2" xfId="24641"/>
    <cellStyle name="TotRow - Opmaakprofiel4 3 10 4 2 3" xfId="36693"/>
    <cellStyle name="TotRow - Opmaakprofiel4 3 10 4 2 4" xfId="47416"/>
    <cellStyle name="TotRow - Opmaakprofiel4 3 10 4 2 5" xfId="57307"/>
    <cellStyle name="TotRow - Opmaakprofiel4 3 10 4 3" xfId="19083"/>
    <cellStyle name="TotRow - Opmaakprofiel4 3 10 4 4" xfId="31135"/>
    <cellStyle name="TotRow - Opmaakprofiel4 3 10 4 5" xfId="43763"/>
    <cellStyle name="TotRow - Opmaakprofiel4 3 10 4 6" xfId="51799"/>
    <cellStyle name="TotRow - Opmaakprofiel4 3 10 5" xfId="6906"/>
    <cellStyle name="TotRow - Opmaakprofiel4 3 10 5 2" xfId="12343"/>
    <cellStyle name="TotRow - Opmaakprofiel4 3 10 5 2 2" xfId="24642"/>
    <cellStyle name="TotRow - Opmaakprofiel4 3 10 5 2 3" xfId="36694"/>
    <cellStyle name="TotRow - Opmaakprofiel4 3 10 5 2 4" xfId="47417"/>
    <cellStyle name="TotRow - Opmaakprofiel4 3 10 5 2 5" xfId="57308"/>
    <cellStyle name="TotRow - Opmaakprofiel4 3 10 5 3" xfId="19084"/>
    <cellStyle name="TotRow - Opmaakprofiel4 3 10 5 4" xfId="31136"/>
    <cellStyle name="TotRow - Opmaakprofiel4 3 10 5 5" xfId="37134"/>
    <cellStyle name="TotRow - Opmaakprofiel4 3 10 5 6" xfId="51800"/>
    <cellStyle name="TotRow - Opmaakprofiel4 3 10 6" xfId="6907"/>
    <cellStyle name="TotRow - Opmaakprofiel4 3 10 6 2" xfId="12344"/>
    <cellStyle name="TotRow - Opmaakprofiel4 3 10 6 2 2" xfId="24643"/>
    <cellStyle name="TotRow - Opmaakprofiel4 3 10 6 2 3" xfId="36695"/>
    <cellStyle name="TotRow - Opmaakprofiel4 3 10 6 2 4" xfId="47418"/>
    <cellStyle name="TotRow - Opmaakprofiel4 3 10 6 2 5" xfId="57309"/>
    <cellStyle name="TotRow - Opmaakprofiel4 3 10 6 3" xfId="19085"/>
    <cellStyle name="TotRow - Opmaakprofiel4 3 10 6 4" xfId="31137"/>
    <cellStyle name="TotRow - Opmaakprofiel4 3 10 6 5" xfId="43762"/>
    <cellStyle name="TotRow - Opmaakprofiel4 3 10 6 6" xfId="51801"/>
    <cellStyle name="TotRow - Opmaakprofiel4 3 10 7" xfId="6908"/>
    <cellStyle name="TotRow - Opmaakprofiel4 3 10 7 2" xfId="19086"/>
    <cellStyle name="TotRow - Opmaakprofiel4 3 10 7 3" xfId="31138"/>
    <cellStyle name="TotRow - Opmaakprofiel4 3 10 7 4" xfId="37133"/>
    <cellStyle name="TotRow - Opmaakprofiel4 3 10 7 5" xfId="51802"/>
    <cellStyle name="TotRow - Opmaakprofiel4 3 10 8" xfId="7019"/>
    <cellStyle name="TotRow - Opmaakprofiel4 3 10 8 2" xfId="19317"/>
    <cellStyle name="TotRow - Opmaakprofiel4 3 10 8 3" xfId="41120"/>
    <cellStyle name="TotRow - Opmaakprofiel4 3 10 8 4" xfId="43684"/>
    <cellStyle name="TotRow - Opmaakprofiel4 3 10 8 5" xfId="51990"/>
    <cellStyle name="TotRow - Opmaakprofiel4 3 10 9" xfId="19080"/>
    <cellStyle name="TotRow - Opmaakprofiel4 3 11" xfId="2030"/>
    <cellStyle name="TotRow - Opmaakprofiel4 3 11 2" xfId="12345"/>
    <cellStyle name="TotRow - Opmaakprofiel4 3 11 2 2" xfId="24644"/>
    <cellStyle name="TotRow - Opmaakprofiel4 3 11 2 3" xfId="36696"/>
    <cellStyle name="TotRow - Opmaakprofiel4 3 11 2 4" xfId="47419"/>
    <cellStyle name="TotRow - Opmaakprofiel4 3 11 2 5" xfId="57310"/>
    <cellStyle name="TotRow - Opmaakprofiel4 3 11 3" xfId="19087"/>
    <cellStyle name="TotRow - Opmaakprofiel4 3 11 4" xfId="31139"/>
    <cellStyle name="TotRow - Opmaakprofiel4 3 11 5" xfId="37132"/>
    <cellStyle name="TotRow - Opmaakprofiel4 3 11 6" xfId="51803"/>
    <cellStyle name="TotRow - Opmaakprofiel4 3 12" xfId="2178"/>
    <cellStyle name="TotRow - Opmaakprofiel4 3 12 2" xfId="12346"/>
    <cellStyle name="TotRow - Opmaakprofiel4 3 12 2 2" xfId="24645"/>
    <cellStyle name="TotRow - Opmaakprofiel4 3 12 2 3" xfId="36697"/>
    <cellStyle name="TotRow - Opmaakprofiel4 3 12 2 4" xfId="47420"/>
    <cellStyle name="TotRow - Opmaakprofiel4 3 12 2 5" xfId="57311"/>
    <cellStyle name="TotRow - Opmaakprofiel4 3 12 3" xfId="19088"/>
    <cellStyle name="TotRow - Opmaakprofiel4 3 12 4" xfId="31140"/>
    <cellStyle name="TotRow - Opmaakprofiel4 3 12 5" xfId="37131"/>
    <cellStyle name="TotRow - Opmaakprofiel4 3 12 6" xfId="51804"/>
    <cellStyle name="TotRow - Opmaakprofiel4 3 13" xfId="2192"/>
    <cellStyle name="TotRow - Opmaakprofiel4 3 13 2" xfId="12347"/>
    <cellStyle name="TotRow - Opmaakprofiel4 3 13 2 2" xfId="24646"/>
    <cellStyle name="TotRow - Opmaakprofiel4 3 13 2 3" xfId="36698"/>
    <cellStyle name="TotRow - Opmaakprofiel4 3 13 2 4" xfId="47421"/>
    <cellStyle name="TotRow - Opmaakprofiel4 3 13 2 5" xfId="57312"/>
    <cellStyle name="TotRow - Opmaakprofiel4 3 13 3" xfId="19089"/>
    <cellStyle name="TotRow - Opmaakprofiel4 3 13 4" xfId="31141"/>
    <cellStyle name="TotRow - Opmaakprofiel4 3 13 5" xfId="43761"/>
    <cellStyle name="TotRow - Opmaakprofiel4 3 13 6" xfId="51805"/>
    <cellStyle name="TotRow - Opmaakprofiel4 3 14" xfId="6909"/>
    <cellStyle name="TotRow - Opmaakprofiel4 3 14 2" xfId="12348"/>
    <cellStyle name="TotRow - Opmaakprofiel4 3 14 2 2" xfId="24647"/>
    <cellStyle name="TotRow - Opmaakprofiel4 3 14 2 3" xfId="36699"/>
    <cellStyle name="TotRow - Opmaakprofiel4 3 14 2 4" xfId="47422"/>
    <cellStyle name="TotRow - Opmaakprofiel4 3 14 2 5" xfId="57313"/>
    <cellStyle name="TotRow - Opmaakprofiel4 3 14 3" xfId="19090"/>
    <cellStyle name="TotRow - Opmaakprofiel4 3 14 4" xfId="31142"/>
    <cellStyle name="TotRow - Opmaakprofiel4 3 14 5" xfId="37130"/>
    <cellStyle name="TotRow - Opmaakprofiel4 3 14 6" xfId="51806"/>
    <cellStyle name="TotRow - Opmaakprofiel4 3 15" xfId="6910"/>
    <cellStyle name="TotRow - Opmaakprofiel4 3 15 2" xfId="12349"/>
    <cellStyle name="TotRow - Opmaakprofiel4 3 15 2 2" xfId="24648"/>
    <cellStyle name="TotRow - Opmaakprofiel4 3 15 2 3" xfId="36700"/>
    <cellStyle name="TotRow - Opmaakprofiel4 3 15 2 4" xfId="47423"/>
    <cellStyle name="TotRow - Opmaakprofiel4 3 15 2 5" xfId="57314"/>
    <cellStyle name="TotRow - Opmaakprofiel4 3 15 3" xfId="19091"/>
    <cellStyle name="TotRow - Opmaakprofiel4 3 15 4" xfId="31143"/>
    <cellStyle name="TotRow - Opmaakprofiel4 3 15 5" xfId="43760"/>
    <cellStyle name="TotRow - Opmaakprofiel4 3 15 6" xfId="51807"/>
    <cellStyle name="TotRow - Opmaakprofiel4 3 16" xfId="6911"/>
    <cellStyle name="TotRow - Opmaakprofiel4 3 16 2" xfId="19092"/>
    <cellStyle name="TotRow - Opmaakprofiel4 3 16 3" xfId="31144"/>
    <cellStyle name="TotRow - Opmaakprofiel4 3 16 4" xfId="37129"/>
    <cellStyle name="TotRow - Opmaakprofiel4 3 16 5" xfId="51808"/>
    <cellStyle name="TotRow - Opmaakprofiel4 3 17" xfId="7763"/>
    <cellStyle name="TotRow - Opmaakprofiel4 3 17 2" xfId="20061"/>
    <cellStyle name="TotRow - Opmaakprofiel4 3 17 3" xfId="41864"/>
    <cellStyle name="TotRow - Opmaakprofiel4 3 17 4" xfId="31806"/>
    <cellStyle name="TotRow - Opmaakprofiel4 3 17 5" xfId="52733"/>
    <cellStyle name="TotRow - Opmaakprofiel4 3 18" xfId="19079"/>
    <cellStyle name="TotRow - Opmaakprofiel4 3 2" xfId="336"/>
    <cellStyle name="TotRow - Opmaakprofiel4 3 2 10" xfId="1827"/>
    <cellStyle name="TotRow - Opmaakprofiel4 3 2 10 2" xfId="12350"/>
    <cellStyle name="TotRow - Opmaakprofiel4 3 2 10 2 2" xfId="24649"/>
    <cellStyle name="TotRow - Opmaakprofiel4 3 2 10 2 3" xfId="36701"/>
    <cellStyle name="TotRow - Opmaakprofiel4 3 2 10 2 4" xfId="47424"/>
    <cellStyle name="TotRow - Opmaakprofiel4 3 2 10 2 5" xfId="57315"/>
    <cellStyle name="TotRow - Opmaakprofiel4 3 2 10 3" xfId="19094"/>
    <cellStyle name="TotRow - Opmaakprofiel4 3 2 10 4" xfId="31146"/>
    <cellStyle name="TotRow - Opmaakprofiel4 3 2 10 5" xfId="37128"/>
    <cellStyle name="TotRow - Opmaakprofiel4 3 2 10 6" xfId="51809"/>
    <cellStyle name="TotRow - Opmaakprofiel4 3 2 11" xfId="1846"/>
    <cellStyle name="TotRow - Opmaakprofiel4 3 2 11 2" xfId="12351"/>
    <cellStyle name="TotRow - Opmaakprofiel4 3 2 11 2 2" xfId="24650"/>
    <cellStyle name="TotRow - Opmaakprofiel4 3 2 11 2 3" xfId="36702"/>
    <cellStyle name="TotRow - Opmaakprofiel4 3 2 11 2 4" xfId="47425"/>
    <cellStyle name="TotRow - Opmaakprofiel4 3 2 11 2 5" xfId="57316"/>
    <cellStyle name="TotRow - Opmaakprofiel4 3 2 11 3" xfId="19095"/>
    <cellStyle name="TotRow - Opmaakprofiel4 3 2 11 4" xfId="31147"/>
    <cellStyle name="TotRow - Opmaakprofiel4 3 2 11 5" xfId="43759"/>
    <cellStyle name="TotRow - Opmaakprofiel4 3 2 11 6" xfId="51810"/>
    <cellStyle name="TotRow - Opmaakprofiel4 3 2 12" xfId="1533"/>
    <cellStyle name="TotRow - Opmaakprofiel4 3 2 12 2" xfId="12352"/>
    <cellStyle name="TotRow - Opmaakprofiel4 3 2 12 2 2" xfId="24651"/>
    <cellStyle name="TotRow - Opmaakprofiel4 3 2 12 2 3" xfId="36703"/>
    <cellStyle name="TotRow - Opmaakprofiel4 3 2 12 2 4" xfId="47426"/>
    <cellStyle name="TotRow - Opmaakprofiel4 3 2 12 2 5" xfId="57317"/>
    <cellStyle name="TotRow - Opmaakprofiel4 3 2 12 3" xfId="19096"/>
    <cellStyle name="TotRow - Opmaakprofiel4 3 2 12 4" xfId="31148"/>
    <cellStyle name="TotRow - Opmaakprofiel4 3 2 12 5" xfId="37127"/>
    <cellStyle name="TotRow - Opmaakprofiel4 3 2 12 6" xfId="51811"/>
    <cellStyle name="TotRow - Opmaakprofiel4 3 2 13" xfId="6912"/>
    <cellStyle name="TotRow - Opmaakprofiel4 3 2 13 2" xfId="12353"/>
    <cellStyle name="TotRow - Opmaakprofiel4 3 2 13 2 2" xfId="24652"/>
    <cellStyle name="TotRow - Opmaakprofiel4 3 2 13 2 3" xfId="36704"/>
    <cellStyle name="TotRow - Opmaakprofiel4 3 2 13 2 4" xfId="47427"/>
    <cellStyle name="TotRow - Opmaakprofiel4 3 2 13 2 5" xfId="57318"/>
    <cellStyle name="TotRow - Opmaakprofiel4 3 2 13 3" xfId="19097"/>
    <cellStyle name="TotRow - Opmaakprofiel4 3 2 13 4" xfId="31149"/>
    <cellStyle name="TotRow - Opmaakprofiel4 3 2 13 5" xfId="43758"/>
    <cellStyle name="TotRow - Opmaakprofiel4 3 2 13 6" xfId="51812"/>
    <cellStyle name="TotRow - Opmaakprofiel4 3 2 14" xfId="6913"/>
    <cellStyle name="TotRow - Opmaakprofiel4 3 2 14 2" xfId="12354"/>
    <cellStyle name="TotRow - Opmaakprofiel4 3 2 14 2 2" xfId="24653"/>
    <cellStyle name="TotRow - Opmaakprofiel4 3 2 14 2 3" xfId="36705"/>
    <cellStyle name="TotRow - Opmaakprofiel4 3 2 14 2 4" xfId="47428"/>
    <cellStyle name="TotRow - Opmaakprofiel4 3 2 14 2 5" xfId="57319"/>
    <cellStyle name="TotRow - Opmaakprofiel4 3 2 14 3" xfId="19098"/>
    <cellStyle name="TotRow - Opmaakprofiel4 3 2 14 4" xfId="31150"/>
    <cellStyle name="TotRow - Opmaakprofiel4 3 2 14 5" xfId="37126"/>
    <cellStyle name="TotRow - Opmaakprofiel4 3 2 14 6" xfId="51813"/>
    <cellStyle name="TotRow - Opmaakprofiel4 3 2 15" xfId="6914"/>
    <cellStyle name="TotRow - Opmaakprofiel4 3 2 15 2" xfId="19099"/>
    <cellStyle name="TotRow - Opmaakprofiel4 3 2 15 3" xfId="31151"/>
    <cellStyle name="TotRow - Opmaakprofiel4 3 2 15 4" xfId="37125"/>
    <cellStyle name="TotRow - Opmaakprofiel4 3 2 15 5" xfId="51814"/>
    <cellStyle name="TotRow - Opmaakprofiel4 3 2 16" xfId="7762"/>
    <cellStyle name="TotRow - Opmaakprofiel4 3 2 16 2" xfId="20060"/>
    <cellStyle name="TotRow - Opmaakprofiel4 3 2 16 3" xfId="41863"/>
    <cellStyle name="TotRow - Opmaakprofiel4 3 2 16 4" xfId="43374"/>
    <cellStyle name="TotRow - Opmaakprofiel4 3 2 16 5" xfId="52732"/>
    <cellStyle name="TotRow - Opmaakprofiel4 3 2 17" xfId="19093"/>
    <cellStyle name="TotRow - Opmaakprofiel4 3 2 2" xfId="614"/>
    <cellStyle name="TotRow - Opmaakprofiel4 3 2 2 2" xfId="2270"/>
    <cellStyle name="TotRow - Opmaakprofiel4 3 2 2 2 2" xfId="12355"/>
    <cellStyle name="TotRow - Opmaakprofiel4 3 2 2 2 2 2" xfId="24654"/>
    <cellStyle name="TotRow - Opmaakprofiel4 3 2 2 2 2 3" xfId="36706"/>
    <cellStyle name="TotRow - Opmaakprofiel4 3 2 2 2 2 4" xfId="47429"/>
    <cellStyle name="TotRow - Opmaakprofiel4 3 2 2 2 2 5" xfId="57320"/>
    <cellStyle name="TotRow - Opmaakprofiel4 3 2 2 2 3" xfId="19101"/>
    <cellStyle name="TotRow - Opmaakprofiel4 3 2 2 2 4" xfId="31153"/>
    <cellStyle name="TotRow - Opmaakprofiel4 3 2 2 2 5" xfId="43757"/>
    <cellStyle name="TotRow - Opmaakprofiel4 3 2 2 2 6" xfId="51815"/>
    <cellStyle name="TotRow - Opmaakprofiel4 3 2 2 3" xfId="2685"/>
    <cellStyle name="TotRow - Opmaakprofiel4 3 2 2 3 2" xfId="12356"/>
    <cellStyle name="TotRow - Opmaakprofiel4 3 2 2 3 2 2" xfId="24655"/>
    <cellStyle name="TotRow - Opmaakprofiel4 3 2 2 3 2 3" xfId="36707"/>
    <cellStyle name="TotRow - Opmaakprofiel4 3 2 2 3 2 4" xfId="47430"/>
    <cellStyle name="TotRow - Opmaakprofiel4 3 2 2 3 2 5" xfId="57321"/>
    <cellStyle name="TotRow - Opmaakprofiel4 3 2 2 3 3" xfId="19102"/>
    <cellStyle name="TotRow - Opmaakprofiel4 3 2 2 3 4" xfId="31154"/>
    <cellStyle name="TotRow - Opmaakprofiel4 3 2 2 3 5" xfId="37124"/>
    <cellStyle name="TotRow - Opmaakprofiel4 3 2 2 3 6" xfId="51816"/>
    <cellStyle name="TotRow - Opmaakprofiel4 3 2 2 4" xfId="3557"/>
    <cellStyle name="TotRow - Opmaakprofiel4 3 2 2 4 2" xfId="12357"/>
    <cellStyle name="TotRow - Opmaakprofiel4 3 2 2 4 2 2" xfId="24656"/>
    <cellStyle name="TotRow - Opmaakprofiel4 3 2 2 4 2 3" xfId="36708"/>
    <cellStyle name="TotRow - Opmaakprofiel4 3 2 2 4 2 4" xfId="47431"/>
    <cellStyle name="TotRow - Opmaakprofiel4 3 2 2 4 2 5" xfId="57322"/>
    <cellStyle name="TotRow - Opmaakprofiel4 3 2 2 4 3" xfId="19103"/>
    <cellStyle name="TotRow - Opmaakprofiel4 3 2 2 4 4" xfId="31155"/>
    <cellStyle name="TotRow - Opmaakprofiel4 3 2 2 4 5" xfId="43756"/>
    <cellStyle name="TotRow - Opmaakprofiel4 3 2 2 4 6" xfId="51817"/>
    <cellStyle name="TotRow - Opmaakprofiel4 3 2 2 5" xfId="6915"/>
    <cellStyle name="TotRow - Opmaakprofiel4 3 2 2 5 2" xfId="12358"/>
    <cellStyle name="TotRow - Opmaakprofiel4 3 2 2 5 2 2" xfId="24657"/>
    <cellStyle name="TotRow - Opmaakprofiel4 3 2 2 5 2 3" xfId="36709"/>
    <cellStyle name="TotRow - Opmaakprofiel4 3 2 2 5 2 4" xfId="47432"/>
    <cellStyle name="TotRow - Opmaakprofiel4 3 2 2 5 2 5" xfId="57323"/>
    <cellStyle name="TotRow - Opmaakprofiel4 3 2 2 5 3" xfId="19104"/>
    <cellStyle name="TotRow - Opmaakprofiel4 3 2 2 5 4" xfId="31156"/>
    <cellStyle name="TotRow - Opmaakprofiel4 3 2 2 5 5" xfId="37123"/>
    <cellStyle name="TotRow - Opmaakprofiel4 3 2 2 5 6" xfId="51818"/>
    <cellStyle name="TotRow - Opmaakprofiel4 3 2 2 6" xfId="6916"/>
    <cellStyle name="TotRow - Opmaakprofiel4 3 2 2 6 2" xfId="12359"/>
    <cellStyle name="TotRow - Opmaakprofiel4 3 2 2 6 2 2" xfId="24658"/>
    <cellStyle name="TotRow - Opmaakprofiel4 3 2 2 6 2 3" xfId="36710"/>
    <cellStyle name="TotRow - Opmaakprofiel4 3 2 2 6 2 4" xfId="47433"/>
    <cellStyle name="TotRow - Opmaakprofiel4 3 2 2 6 2 5" xfId="57324"/>
    <cellStyle name="TotRow - Opmaakprofiel4 3 2 2 6 3" xfId="19105"/>
    <cellStyle name="TotRow - Opmaakprofiel4 3 2 2 6 4" xfId="31157"/>
    <cellStyle name="TotRow - Opmaakprofiel4 3 2 2 6 5" xfId="43755"/>
    <cellStyle name="TotRow - Opmaakprofiel4 3 2 2 6 6" xfId="51819"/>
    <cellStyle name="TotRow - Opmaakprofiel4 3 2 2 7" xfId="6917"/>
    <cellStyle name="TotRow - Opmaakprofiel4 3 2 2 7 2" xfId="19106"/>
    <cellStyle name="TotRow - Opmaakprofiel4 3 2 2 7 3" xfId="31158"/>
    <cellStyle name="TotRow - Opmaakprofiel4 3 2 2 7 4" xfId="37122"/>
    <cellStyle name="TotRow - Opmaakprofiel4 3 2 2 7 5" xfId="51820"/>
    <cellStyle name="TotRow - Opmaakprofiel4 3 2 2 8" xfId="10263"/>
    <cellStyle name="TotRow - Opmaakprofiel4 3 2 2 8 2" xfId="22561"/>
    <cellStyle name="TotRow - Opmaakprofiel4 3 2 2 8 3" xfId="44322"/>
    <cellStyle name="TotRow - Opmaakprofiel4 3 2 2 8 4" xfId="31982"/>
    <cellStyle name="TotRow - Opmaakprofiel4 3 2 2 8 5" xfId="55228"/>
    <cellStyle name="TotRow - Opmaakprofiel4 3 2 2 9" xfId="19100"/>
    <cellStyle name="TotRow - Opmaakprofiel4 3 2 3" xfId="449"/>
    <cellStyle name="TotRow - Opmaakprofiel4 3 2 3 2" xfId="1874"/>
    <cellStyle name="TotRow - Opmaakprofiel4 3 2 3 2 2" xfId="12360"/>
    <cellStyle name="TotRow - Opmaakprofiel4 3 2 3 2 2 2" xfId="24659"/>
    <cellStyle name="TotRow - Opmaakprofiel4 3 2 3 2 2 3" xfId="36711"/>
    <cellStyle name="TotRow - Opmaakprofiel4 3 2 3 2 2 4" xfId="47434"/>
    <cellStyle name="TotRow - Opmaakprofiel4 3 2 3 2 2 5" xfId="57325"/>
    <cellStyle name="TotRow - Opmaakprofiel4 3 2 3 2 3" xfId="19108"/>
    <cellStyle name="TotRow - Opmaakprofiel4 3 2 3 2 4" xfId="31160"/>
    <cellStyle name="TotRow - Opmaakprofiel4 3 2 3 2 5" xfId="37121"/>
    <cellStyle name="TotRow - Opmaakprofiel4 3 2 3 2 6" xfId="51821"/>
    <cellStyle name="TotRow - Opmaakprofiel4 3 2 3 3" xfId="2520"/>
    <cellStyle name="TotRow - Opmaakprofiel4 3 2 3 3 2" xfId="12361"/>
    <cellStyle name="TotRow - Opmaakprofiel4 3 2 3 3 2 2" xfId="24660"/>
    <cellStyle name="TotRow - Opmaakprofiel4 3 2 3 3 2 3" xfId="36712"/>
    <cellStyle name="TotRow - Opmaakprofiel4 3 2 3 3 2 4" xfId="47435"/>
    <cellStyle name="TotRow - Opmaakprofiel4 3 2 3 3 2 5" xfId="57326"/>
    <cellStyle name="TotRow - Opmaakprofiel4 3 2 3 3 3" xfId="19109"/>
    <cellStyle name="TotRow - Opmaakprofiel4 3 2 3 3 4" xfId="31161"/>
    <cellStyle name="TotRow - Opmaakprofiel4 3 2 3 3 5" xfId="43754"/>
    <cellStyle name="TotRow - Opmaakprofiel4 3 2 3 3 6" xfId="51822"/>
    <cellStyle name="TotRow - Opmaakprofiel4 3 2 3 4" xfId="3408"/>
    <cellStyle name="TotRow - Opmaakprofiel4 3 2 3 4 2" xfId="12362"/>
    <cellStyle name="TotRow - Opmaakprofiel4 3 2 3 4 2 2" xfId="24661"/>
    <cellStyle name="TotRow - Opmaakprofiel4 3 2 3 4 2 3" xfId="36713"/>
    <cellStyle name="TotRow - Opmaakprofiel4 3 2 3 4 2 4" xfId="47436"/>
    <cellStyle name="TotRow - Opmaakprofiel4 3 2 3 4 2 5" xfId="57327"/>
    <cellStyle name="TotRow - Opmaakprofiel4 3 2 3 4 3" xfId="19110"/>
    <cellStyle name="TotRow - Opmaakprofiel4 3 2 3 4 4" xfId="31162"/>
    <cellStyle name="TotRow - Opmaakprofiel4 3 2 3 4 5" xfId="37120"/>
    <cellStyle name="TotRow - Opmaakprofiel4 3 2 3 4 6" xfId="51823"/>
    <cellStyle name="TotRow - Opmaakprofiel4 3 2 3 5" xfId="6918"/>
    <cellStyle name="TotRow - Opmaakprofiel4 3 2 3 5 2" xfId="12363"/>
    <cellStyle name="TotRow - Opmaakprofiel4 3 2 3 5 2 2" xfId="24662"/>
    <cellStyle name="TotRow - Opmaakprofiel4 3 2 3 5 2 3" xfId="36714"/>
    <cellStyle name="TotRow - Opmaakprofiel4 3 2 3 5 2 4" xfId="47437"/>
    <cellStyle name="TotRow - Opmaakprofiel4 3 2 3 5 2 5" xfId="57328"/>
    <cellStyle name="TotRow - Opmaakprofiel4 3 2 3 5 3" xfId="19111"/>
    <cellStyle name="TotRow - Opmaakprofiel4 3 2 3 5 4" xfId="31163"/>
    <cellStyle name="TotRow - Opmaakprofiel4 3 2 3 5 5" xfId="37119"/>
    <cellStyle name="TotRow - Opmaakprofiel4 3 2 3 5 6" xfId="51824"/>
    <cellStyle name="TotRow - Opmaakprofiel4 3 2 3 6" xfId="6919"/>
    <cellStyle name="TotRow - Opmaakprofiel4 3 2 3 6 2" xfId="12364"/>
    <cellStyle name="TotRow - Opmaakprofiel4 3 2 3 6 2 2" xfId="24663"/>
    <cellStyle name="TotRow - Opmaakprofiel4 3 2 3 6 2 3" xfId="36715"/>
    <cellStyle name="TotRow - Opmaakprofiel4 3 2 3 6 2 4" xfId="47438"/>
    <cellStyle name="TotRow - Opmaakprofiel4 3 2 3 6 2 5" xfId="57329"/>
    <cellStyle name="TotRow - Opmaakprofiel4 3 2 3 6 3" xfId="19112"/>
    <cellStyle name="TotRow - Opmaakprofiel4 3 2 3 6 4" xfId="31164"/>
    <cellStyle name="TotRow - Opmaakprofiel4 3 2 3 6 5" xfId="37118"/>
    <cellStyle name="TotRow - Opmaakprofiel4 3 2 3 6 6" xfId="51825"/>
    <cellStyle name="TotRow - Opmaakprofiel4 3 2 3 7" xfId="6920"/>
    <cellStyle name="TotRow - Opmaakprofiel4 3 2 3 7 2" xfId="19113"/>
    <cellStyle name="TotRow - Opmaakprofiel4 3 2 3 7 3" xfId="31165"/>
    <cellStyle name="TotRow - Opmaakprofiel4 3 2 3 7 4" xfId="43753"/>
    <cellStyle name="TotRow - Opmaakprofiel4 3 2 3 7 5" xfId="51826"/>
    <cellStyle name="TotRow - Opmaakprofiel4 3 2 3 8" xfId="7684"/>
    <cellStyle name="TotRow - Opmaakprofiel4 3 2 3 8 2" xfId="19982"/>
    <cellStyle name="TotRow - Opmaakprofiel4 3 2 3 8 3" xfId="41785"/>
    <cellStyle name="TotRow - Opmaakprofiel4 3 2 3 8 4" xfId="43406"/>
    <cellStyle name="TotRow - Opmaakprofiel4 3 2 3 8 5" xfId="52654"/>
    <cellStyle name="TotRow - Opmaakprofiel4 3 2 3 9" xfId="19107"/>
    <cellStyle name="TotRow - Opmaakprofiel4 3 2 4" xfId="483"/>
    <cellStyle name="TotRow - Opmaakprofiel4 3 2 4 2" xfId="2088"/>
    <cellStyle name="TotRow - Opmaakprofiel4 3 2 4 2 2" xfId="12365"/>
    <cellStyle name="TotRow - Opmaakprofiel4 3 2 4 2 2 2" xfId="24664"/>
    <cellStyle name="TotRow - Opmaakprofiel4 3 2 4 2 2 3" xfId="36716"/>
    <cellStyle name="TotRow - Opmaakprofiel4 3 2 4 2 2 4" xfId="47439"/>
    <cellStyle name="TotRow - Opmaakprofiel4 3 2 4 2 2 5" xfId="57330"/>
    <cellStyle name="TotRow - Opmaakprofiel4 3 2 4 2 3" xfId="19115"/>
    <cellStyle name="TotRow - Opmaakprofiel4 3 2 4 2 4" xfId="31167"/>
    <cellStyle name="TotRow - Opmaakprofiel4 3 2 4 2 5" xfId="43752"/>
    <cellStyle name="TotRow - Opmaakprofiel4 3 2 4 2 6" xfId="51827"/>
    <cellStyle name="TotRow - Opmaakprofiel4 3 2 4 3" xfId="2554"/>
    <cellStyle name="TotRow - Opmaakprofiel4 3 2 4 3 2" xfId="12366"/>
    <cellStyle name="TotRow - Opmaakprofiel4 3 2 4 3 2 2" xfId="24665"/>
    <cellStyle name="TotRow - Opmaakprofiel4 3 2 4 3 2 3" xfId="36717"/>
    <cellStyle name="TotRow - Opmaakprofiel4 3 2 4 3 2 4" xfId="47440"/>
    <cellStyle name="TotRow - Opmaakprofiel4 3 2 4 3 2 5" xfId="57331"/>
    <cellStyle name="TotRow - Opmaakprofiel4 3 2 4 3 3" xfId="19116"/>
    <cellStyle name="TotRow - Opmaakprofiel4 3 2 4 3 4" xfId="31168"/>
    <cellStyle name="TotRow - Opmaakprofiel4 3 2 4 3 5" xfId="37117"/>
    <cellStyle name="TotRow - Opmaakprofiel4 3 2 4 3 6" xfId="51828"/>
    <cellStyle name="TotRow - Opmaakprofiel4 3 2 4 4" xfId="3439"/>
    <cellStyle name="TotRow - Opmaakprofiel4 3 2 4 4 2" xfId="12367"/>
    <cellStyle name="TotRow - Opmaakprofiel4 3 2 4 4 2 2" xfId="24666"/>
    <cellStyle name="TotRow - Opmaakprofiel4 3 2 4 4 2 3" xfId="36718"/>
    <cellStyle name="TotRow - Opmaakprofiel4 3 2 4 4 2 4" xfId="47441"/>
    <cellStyle name="TotRow - Opmaakprofiel4 3 2 4 4 2 5" xfId="57332"/>
    <cellStyle name="TotRow - Opmaakprofiel4 3 2 4 4 3" xfId="19117"/>
    <cellStyle name="TotRow - Opmaakprofiel4 3 2 4 4 4" xfId="31169"/>
    <cellStyle name="TotRow - Opmaakprofiel4 3 2 4 4 5" xfId="43751"/>
    <cellStyle name="TotRow - Opmaakprofiel4 3 2 4 4 6" xfId="51829"/>
    <cellStyle name="TotRow - Opmaakprofiel4 3 2 4 5" xfId="6921"/>
    <cellStyle name="TotRow - Opmaakprofiel4 3 2 4 5 2" xfId="12368"/>
    <cellStyle name="TotRow - Opmaakprofiel4 3 2 4 5 2 2" xfId="24667"/>
    <cellStyle name="TotRow - Opmaakprofiel4 3 2 4 5 2 3" xfId="36719"/>
    <cellStyle name="TotRow - Opmaakprofiel4 3 2 4 5 2 4" xfId="47442"/>
    <cellStyle name="TotRow - Opmaakprofiel4 3 2 4 5 2 5" xfId="57333"/>
    <cellStyle name="TotRow - Opmaakprofiel4 3 2 4 5 3" xfId="19118"/>
    <cellStyle name="TotRow - Opmaakprofiel4 3 2 4 5 4" xfId="31170"/>
    <cellStyle name="TotRow - Opmaakprofiel4 3 2 4 5 5" xfId="37116"/>
    <cellStyle name="TotRow - Opmaakprofiel4 3 2 4 5 6" xfId="51830"/>
    <cellStyle name="TotRow - Opmaakprofiel4 3 2 4 6" xfId="6922"/>
    <cellStyle name="TotRow - Opmaakprofiel4 3 2 4 6 2" xfId="12369"/>
    <cellStyle name="TotRow - Opmaakprofiel4 3 2 4 6 2 2" xfId="24668"/>
    <cellStyle name="TotRow - Opmaakprofiel4 3 2 4 6 2 3" xfId="36720"/>
    <cellStyle name="TotRow - Opmaakprofiel4 3 2 4 6 2 4" xfId="47443"/>
    <cellStyle name="TotRow - Opmaakprofiel4 3 2 4 6 2 5" xfId="57334"/>
    <cellStyle name="TotRow - Opmaakprofiel4 3 2 4 6 3" xfId="19119"/>
    <cellStyle name="TotRow - Opmaakprofiel4 3 2 4 6 4" xfId="31171"/>
    <cellStyle name="TotRow - Opmaakprofiel4 3 2 4 6 5" xfId="43750"/>
    <cellStyle name="TotRow - Opmaakprofiel4 3 2 4 6 6" xfId="51831"/>
    <cellStyle name="TotRow - Opmaakprofiel4 3 2 4 7" xfId="6923"/>
    <cellStyle name="TotRow - Opmaakprofiel4 3 2 4 7 2" xfId="19120"/>
    <cellStyle name="TotRow - Opmaakprofiel4 3 2 4 7 3" xfId="31172"/>
    <cellStyle name="TotRow - Opmaakprofiel4 3 2 4 7 4" xfId="37115"/>
    <cellStyle name="TotRow - Opmaakprofiel4 3 2 4 7 5" xfId="51832"/>
    <cellStyle name="TotRow - Opmaakprofiel4 3 2 4 8" xfId="7660"/>
    <cellStyle name="TotRow - Opmaakprofiel4 3 2 4 8 2" xfId="19958"/>
    <cellStyle name="TotRow - Opmaakprofiel4 3 2 4 8 3" xfId="41761"/>
    <cellStyle name="TotRow - Opmaakprofiel4 3 2 4 8 4" xfId="25014"/>
    <cellStyle name="TotRow - Opmaakprofiel4 3 2 4 8 5" xfId="52630"/>
    <cellStyle name="TotRow - Opmaakprofiel4 3 2 4 9" xfId="19114"/>
    <cellStyle name="TotRow - Opmaakprofiel4 3 2 5" xfId="905"/>
    <cellStyle name="TotRow - Opmaakprofiel4 3 2 5 2" xfId="1847"/>
    <cellStyle name="TotRow - Opmaakprofiel4 3 2 5 2 2" xfId="12370"/>
    <cellStyle name="TotRow - Opmaakprofiel4 3 2 5 2 2 2" xfId="24669"/>
    <cellStyle name="TotRow - Opmaakprofiel4 3 2 5 2 2 3" xfId="36721"/>
    <cellStyle name="TotRow - Opmaakprofiel4 3 2 5 2 2 4" xfId="47444"/>
    <cellStyle name="TotRow - Opmaakprofiel4 3 2 5 2 2 5" xfId="57335"/>
    <cellStyle name="TotRow - Opmaakprofiel4 3 2 5 2 3" xfId="19122"/>
    <cellStyle name="TotRow - Opmaakprofiel4 3 2 5 2 4" xfId="31174"/>
    <cellStyle name="TotRow - Opmaakprofiel4 3 2 5 2 5" xfId="37114"/>
    <cellStyle name="TotRow - Opmaakprofiel4 3 2 5 2 6" xfId="51833"/>
    <cellStyle name="TotRow - Opmaakprofiel4 3 2 5 3" xfId="2916"/>
    <cellStyle name="TotRow - Opmaakprofiel4 3 2 5 3 2" xfId="12371"/>
    <cellStyle name="TotRow - Opmaakprofiel4 3 2 5 3 2 2" xfId="24670"/>
    <cellStyle name="TotRow - Opmaakprofiel4 3 2 5 3 2 3" xfId="36722"/>
    <cellStyle name="TotRow - Opmaakprofiel4 3 2 5 3 2 4" xfId="47445"/>
    <cellStyle name="TotRow - Opmaakprofiel4 3 2 5 3 2 5" xfId="57336"/>
    <cellStyle name="TotRow - Opmaakprofiel4 3 2 5 3 3" xfId="19123"/>
    <cellStyle name="TotRow - Opmaakprofiel4 3 2 5 3 4" xfId="31175"/>
    <cellStyle name="TotRow - Opmaakprofiel4 3 2 5 3 5" xfId="37113"/>
    <cellStyle name="TotRow - Opmaakprofiel4 3 2 5 3 6" xfId="51834"/>
    <cellStyle name="TotRow - Opmaakprofiel4 3 2 5 4" xfId="3769"/>
    <cellStyle name="TotRow - Opmaakprofiel4 3 2 5 4 2" xfId="12372"/>
    <cellStyle name="TotRow - Opmaakprofiel4 3 2 5 4 2 2" xfId="24671"/>
    <cellStyle name="TotRow - Opmaakprofiel4 3 2 5 4 2 3" xfId="36723"/>
    <cellStyle name="TotRow - Opmaakprofiel4 3 2 5 4 2 4" xfId="47446"/>
    <cellStyle name="TotRow - Opmaakprofiel4 3 2 5 4 2 5" xfId="57337"/>
    <cellStyle name="TotRow - Opmaakprofiel4 3 2 5 4 3" xfId="19124"/>
    <cellStyle name="TotRow - Opmaakprofiel4 3 2 5 4 4" xfId="31176"/>
    <cellStyle name="TotRow - Opmaakprofiel4 3 2 5 4 5" xfId="37112"/>
    <cellStyle name="TotRow - Opmaakprofiel4 3 2 5 4 6" xfId="51835"/>
    <cellStyle name="TotRow - Opmaakprofiel4 3 2 5 5" xfId="6924"/>
    <cellStyle name="TotRow - Opmaakprofiel4 3 2 5 5 2" xfId="12373"/>
    <cellStyle name="TotRow - Opmaakprofiel4 3 2 5 5 2 2" xfId="24672"/>
    <cellStyle name="TotRow - Opmaakprofiel4 3 2 5 5 2 3" xfId="36724"/>
    <cellStyle name="TotRow - Opmaakprofiel4 3 2 5 5 2 4" xfId="47447"/>
    <cellStyle name="TotRow - Opmaakprofiel4 3 2 5 5 2 5" xfId="57338"/>
    <cellStyle name="TotRow - Opmaakprofiel4 3 2 5 5 3" xfId="19125"/>
    <cellStyle name="TotRow - Opmaakprofiel4 3 2 5 5 4" xfId="31177"/>
    <cellStyle name="TotRow - Opmaakprofiel4 3 2 5 5 5" xfId="43749"/>
    <cellStyle name="TotRow - Opmaakprofiel4 3 2 5 5 6" xfId="51836"/>
    <cellStyle name="TotRow - Opmaakprofiel4 3 2 5 6" xfId="6925"/>
    <cellStyle name="TotRow - Opmaakprofiel4 3 2 5 6 2" xfId="12374"/>
    <cellStyle name="TotRow - Opmaakprofiel4 3 2 5 6 2 2" xfId="24673"/>
    <cellStyle name="TotRow - Opmaakprofiel4 3 2 5 6 2 3" xfId="36725"/>
    <cellStyle name="TotRow - Opmaakprofiel4 3 2 5 6 2 4" xfId="47448"/>
    <cellStyle name="TotRow - Opmaakprofiel4 3 2 5 6 2 5" xfId="57339"/>
    <cellStyle name="TotRow - Opmaakprofiel4 3 2 5 6 3" xfId="19126"/>
    <cellStyle name="TotRow - Opmaakprofiel4 3 2 5 6 4" xfId="31178"/>
    <cellStyle name="TotRow - Opmaakprofiel4 3 2 5 6 5" xfId="37111"/>
    <cellStyle name="TotRow - Opmaakprofiel4 3 2 5 6 6" xfId="51837"/>
    <cellStyle name="TotRow - Opmaakprofiel4 3 2 5 7" xfId="6926"/>
    <cellStyle name="TotRow - Opmaakprofiel4 3 2 5 7 2" xfId="19127"/>
    <cellStyle name="TotRow - Opmaakprofiel4 3 2 5 7 3" xfId="31179"/>
    <cellStyle name="TotRow - Opmaakprofiel4 3 2 5 7 4" xfId="43748"/>
    <cellStyle name="TotRow - Opmaakprofiel4 3 2 5 7 5" xfId="51838"/>
    <cellStyle name="TotRow - Opmaakprofiel4 3 2 5 8" xfId="7376"/>
    <cellStyle name="TotRow - Opmaakprofiel4 3 2 5 8 2" xfId="19674"/>
    <cellStyle name="TotRow - Opmaakprofiel4 3 2 5 8 3" xfId="41477"/>
    <cellStyle name="TotRow - Opmaakprofiel4 3 2 5 8 4" xfId="17916"/>
    <cellStyle name="TotRow - Opmaakprofiel4 3 2 5 8 5" xfId="52346"/>
    <cellStyle name="TotRow - Opmaakprofiel4 3 2 5 9" xfId="19121"/>
    <cellStyle name="TotRow - Opmaakprofiel4 3 2 6" xfId="653"/>
    <cellStyle name="TotRow - Opmaakprofiel4 3 2 6 2" xfId="2429"/>
    <cellStyle name="TotRow - Opmaakprofiel4 3 2 6 2 2" xfId="12375"/>
    <cellStyle name="TotRow - Opmaakprofiel4 3 2 6 2 2 2" xfId="24674"/>
    <cellStyle name="TotRow - Opmaakprofiel4 3 2 6 2 2 3" xfId="36726"/>
    <cellStyle name="TotRow - Opmaakprofiel4 3 2 6 2 2 4" xfId="47449"/>
    <cellStyle name="TotRow - Opmaakprofiel4 3 2 6 2 2 5" xfId="57340"/>
    <cellStyle name="TotRow - Opmaakprofiel4 3 2 6 2 3" xfId="19129"/>
    <cellStyle name="TotRow - Opmaakprofiel4 3 2 6 2 4" xfId="31181"/>
    <cellStyle name="TotRow - Opmaakprofiel4 3 2 6 2 5" xfId="37110"/>
    <cellStyle name="TotRow - Opmaakprofiel4 3 2 6 2 6" xfId="51839"/>
    <cellStyle name="TotRow - Opmaakprofiel4 3 2 6 3" xfId="2719"/>
    <cellStyle name="TotRow - Opmaakprofiel4 3 2 6 3 2" xfId="12376"/>
    <cellStyle name="TotRow - Opmaakprofiel4 3 2 6 3 2 2" xfId="24675"/>
    <cellStyle name="TotRow - Opmaakprofiel4 3 2 6 3 2 3" xfId="36727"/>
    <cellStyle name="TotRow - Opmaakprofiel4 3 2 6 3 2 4" xfId="47450"/>
    <cellStyle name="TotRow - Opmaakprofiel4 3 2 6 3 2 5" xfId="57341"/>
    <cellStyle name="TotRow - Opmaakprofiel4 3 2 6 3 3" xfId="19130"/>
    <cellStyle name="TotRow - Opmaakprofiel4 3 2 6 3 4" xfId="31182"/>
    <cellStyle name="TotRow - Opmaakprofiel4 3 2 6 3 5" xfId="43747"/>
    <cellStyle name="TotRow - Opmaakprofiel4 3 2 6 3 6" xfId="51840"/>
    <cellStyle name="TotRow - Opmaakprofiel4 3 2 6 4" xfId="3586"/>
    <cellStyle name="TotRow - Opmaakprofiel4 3 2 6 4 2" xfId="12377"/>
    <cellStyle name="TotRow - Opmaakprofiel4 3 2 6 4 2 2" xfId="24676"/>
    <cellStyle name="TotRow - Opmaakprofiel4 3 2 6 4 2 3" xfId="36728"/>
    <cellStyle name="TotRow - Opmaakprofiel4 3 2 6 4 2 4" xfId="47451"/>
    <cellStyle name="TotRow - Opmaakprofiel4 3 2 6 4 2 5" xfId="57342"/>
    <cellStyle name="TotRow - Opmaakprofiel4 3 2 6 4 3" xfId="19131"/>
    <cellStyle name="TotRow - Opmaakprofiel4 3 2 6 4 4" xfId="31183"/>
    <cellStyle name="TotRow - Opmaakprofiel4 3 2 6 4 5" xfId="37109"/>
    <cellStyle name="TotRow - Opmaakprofiel4 3 2 6 4 6" xfId="51841"/>
    <cellStyle name="TotRow - Opmaakprofiel4 3 2 6 5" xfId="6927"/>
    <cellStyle name="TotRow - Opmaakprofiel4 3 2 6 5 2" xfId="12378"/>
    <cellStyle name="TotRow - Opmaakprofiel4 3 2 6 5 2 2" xfId="24677"/>
    <cellStyle name="TotRow - Opmaakprofiel4 3 2 6 5 2 3" xfId="36729"/>
    <cellStyle name="TotRow - Opmaakprofiel4 3 2 6 5 2 4" xfId="47452"/>
    <cellStyle name="TotRow - Opmaakprofiel4 3 2 6 5 2 5" xfId="57343"/>
    <cellStyle name="TotRow - Opmaakprofiel4 3 2 6 5 3" xfId="19132"/>
    <cellStyle name="TotRow - Opmaakprofiel4 3 2 6 5 4" xfId="31184"/>
    <cellStyle name="TotRow - Opmaakprofiel4 3 2 6 5 5" xfId="43746"/>
    <cellStyle name="TotRow - Opmaakprofiel4 3 2 6 5 6" xfId="51842"/>
    <cellStyle name="TotRow - Opmaakprofiel4 3 2 6 6" xfId="6928"/>
    <cellStyle name="TotRow - Opmaakprofiel4 3 2 6 6 2" xfId="12379"/>
    <cellStyle name="TotRow - Opmaakprofiel4 3 2 6 6 2 2" xfId="24678"/>
    <cellStyle name="TotRow - Opmaakprofiel4 3 2 6 6 2 3" xfId="36730"/>
    <cellStyle name="TotRow - Opmaakprofiel4 3 2 6 6 2 4" xfId="47453"/>
    <cellStyle name="TotRow - Opmaakprofiel4 3 2 6 6 2 5" xfId="57344"/>
    <cellStyle name="TotRow - Opmaakprofiel4 3 2 6 6 3" xfId="19133"/>
    <cellStyle name="TotRow - Opmaakprofiel4 3 2 6 6 4" xfId="31185"/>
    <cellStyle name="TotRow - Opmaakprofiel4 3 2 6 6 5" xfId="37108"/>
    <cellStyle name="TotRow - Opmaakprofiel4 3 2 6 6 6" xfId="51843"/>
    <cellStyle name="TotRow - Opmaakprofiel4 3 2 6 7" xfId="6929"/>
    <cellStyle name="TotRow - Opmaakprofiel4 3 2 6 7 2" xfId="19134"/>
    <cellStyle name="TotRow - Opmaakprofiel4 3 2 6 7 3" xfId="31186"/>
    <cellStyle name="TotRow - Opmaakprofiel4 3 2 6 7 4" xfId="43745"/>
    <cellStyle name="TotRow - Opmaakprofiel4 3 2 6 7 5" xfId="51844"/>
    <cellStyle name="TotRow - Opmaakprofiel4 3 2 6 8" xfId="7546"/>
    <cellStyle name="TotRow - Opmaakprofiel4 3 2 6 8 2" xfId="19844"/>
    <cellStyle name="TotRow - Opmaakprofiel4 3 2 6 8 3" xfId="41647"/>
    <cellStyle name="TotRow - Opmaakprofiel4 3 2 6 8 4" xfId="24779"/>
    <cellStyle name="TotRow - Opmaakprofiel4 3 2 6 8 5" xfId="52516"/>
    <cellStyle name="TotRow - Opmaakprofiel4 3 2 6 9" xfId="19128"/>
    <cellStyle name="TotRow - Opmaakprofiel4 3 2 7" xfId="639"/>
    <cellStyle name="TotRow - Opmaakprofiel4 3 2 7 2" xfId="1946"/>
    <cellStyle name="TotRow - Opmaakprofiel4 3 2 7 2 2" xfId="12380"/>
    <cellStyle name="TotRow - Opmaakprofiel4 3 2 7 2 2 2" xfId="24679"/>
    <cellStyle name="TotRow - Opmaakprofiel4 3 2 7 2 2 3" xfId="36731"/>
    <cellStyle name="TotRow - Opmaakprofiel4 3 2 7 2 2 4" xfId="47454"/>
    <cellStyle name="TotRow - Opmaakprofiel4 3 2 7 2 2 5" xfId="57345"/>
    <cellStyle name="TotRow - Opmaakprofiel4 3 2 7 2 3" xfId="19136"/>
    <cellStyle name="TotRow - Opmaakprofiel4 3 2 7 2 4" xfId="31188"/>
    <cellStyle name="TotRow - Opmaakprofiel4 3 2 7 2 5" xfId="37107"/>
    <cellStyle name="TotRow - Opmaakprofiel4 3 2 7 2 6" xfId="51845"/>
    <cellStyle name="TotRow - Opmaakprofiel4 3 2 7 3" xfId="2705"/>
    <cellStyle name="TotRow - Opmaakprofiel4 3 2 7 3 2" xfId="12381"/>
    <cellStyle name="TotRow - Opmaakprofiel4 3 2 7 3 2 2" xfId="24680"/>
    <cellStyle name="TotRow - Opmaakprofiel4 3 2 7 3 2 3" xfId="36732"/>
    <cellStyle name="TotRow - Opmaakprofiel4 3 2 7 3 2 4" xfId="47455"/>
    <cellStyle name="TotRow - Opmaakprofiel4 3 2 7 3 2 5" xfId="57346"/>
    <cellStyle name="TotRow - Opmaakprofiel4 3 2 7 3 3" xfId="19137"/>
    <cellStyle name="TotRow - Opmaakprofiel4 3 2 7 3 4" xfId="31189"/>
    <cellStyle name="TotRow - Opmaakprofiel4 3 2 7 3 5" xfId="43744"/>
    <cellStyle name="TotRow - Opmaakprofiel4 3 2 7 3 6" xfId="51846"/>
    <cellStyle name="TotRow - Opmaakprofiel4 3 2 7 4" xfId="3576"/>
    <cellStyle name="TotRow - Opmaakprofiel4 3 2 7 4 2" xfId="12382"/>
    <cellStyle name="TotRow - Opmaakprofiel4 3 2 7 4 2 2" xfId="24681"/>
    <cellStyle name="TotRow - Opmaakprofiel4 3 2 7 4 2 3" xfId="36733"/>
    <cellStyle name="TotRow - Opmaakprofiel4 3 2 7 4 2 4" xfId="47456"/>
    <cellStyle name="TotRow - Opmaakprofiel4 3 2 7 4 2 5" xfId="57347"/>
    <cellStyle name="TotRow - Opmaakprofiel4 3 2 7 4 3" xfId="19138"/>
    <cellStyle name="TotRow - Opmaakprofiel4 3 2 7 4 4" xfId="31190"/>
    <cellStyle name="TotRow - Opmaakprofiel4 3 2 7 4 5" xfId="37106"/>
    <cellStyle name="TotRow - Opmaakprofiel4 3 2 7 4 6" xfId="51847"/>
    <cellStyle name="TotRow - Opmaakprofiel4 3 2 7 5" xfId="6930"/>
    <cellStyle name="TotRow - Opmaakprofiel4 3 2 7 5 2" xfId="12383"/>
    <cellStyle name="TotRow - Opmaakprofiel4 3 2 7 5 2 2" xfId="24682"/>
    <cellStyle name="TotRow - Opmaakprofiel4 3 2 7 5 2 3" xfId="36734"/>
    <cellStyle name="TotRow - Opmaakprofiel4 3 2 7 5 2 4" xfId="47457"/>
    <cellStyle name="TotRow - Opmaakprofiel4 3 2 7 5 2 5" xfId="57348"/>
    <cellStyle name="TotRow - Opmaakprofiel4 3 2 7 5 3" xfId="19139"/>
    <cellStyle name="TotRow - Opmaakprofiel4 3 2 7 5 4" xfId="31191"/>
    <cellStyle name="TotRow - Opmaakprofiel4 3 2 7 5 5" xfId="43743"/>
    <cellStyle name="TotRow - Opmaakprofiel4 3 2 7 5 6" xfId="51848"/>
    <cellStyle name="TotRow - Opmaakprofiel4 3 2 7 6" xfId="6931"/>
    <cellStyle name="TotRow - Opmaakprofiel4 3 2 7 6 2" xfId="12384"/>
    <cellStyle name="TotRow - Opmaakprofiel4 3 2 7 6 2 2" xfId="24683"/>
    <cellStyle name="TotRow - Opmaakprofiel4 3 2 7 6 2 3" xfId="36735"/>
    <cellStyle name="TotRow - Opmaakprofiel4 3 2 7 6 2 4" xfId="47458"/>
    <cellStyle name="TotRow - Opmaakprofiel4 3 2 7 6 2 5" xfId="57349"/>
    <cellStyle name="TotRow - Opmaakprofiel4 3 2 7 6 3" xfId="19140"/>
    <cellStyle name="TotRow - Opmaakprofiel4 3 2 7 6 4" xfId="31192"/>
    <cellStyle name="TotRow - Opmaakprofiel4 3 2 7 6 5" xfId="37105"/>
    <cellStyle name="TotRow - Opmaakprofiel4 3 2 7 6 6" xfId="51849"/>
    <cellStyle name="TotRow - Opmaakprofiel4 3 2 7 7" xfId="6932"/>
    <cellStyle name="TotRow - Opmaakprofiel4 3 2 7 7 2" xfId="19141"/>
    <cellStyle name="TotRow - Opmaakprofiel4 3 2 7 7 3" xfId="31193"/>
    <cellStyle name="TotRow - Opmaakprofiel4 3 2 7 7 4" xfId="43742"/>
    <cellStyle name="TotRow - Opmaakprofiel4 3 2 7 7 5" xfId="51850"/>
    <cellStyle name="TotRow - Opmaakprofiel4 3 2 7 8" xfId="7556"/>
    <cellStyle name="TotRow - Opmaakprofiel4 3 2 7 8 2" xfId="19854"/>
    <cellStyle name="TotRow - Opmaakprofiel4 3 2 7 8 3" xfId="41657"/>
    <cellStyle name="TotRow - Opmaakprofiel4 3 2 7 8 4" xfId="43459"/>
    <cellStyle name="TotRow - Opmaakprofiel4 3 2 7 8 5" xfId="52526"/>
    <cellStyle name="TotRow - Opmaakprofiel4 3 2 7 9" xfId="19135"/>
    <cellStyle name="TotRow - Opmaakprofiel4 3 2 8" xfId="1312"/>
    <cellStyle name="TotRow - Opmaakprofiel4 3 2 8 2" xfId="1706"/>
    <cellStyle name="TotRow - Opmaakprofiel4 3 2 8 2 2" xfId="12385"/>
    <cellStyle name="TotRow - Opmaakprofiel4 3 2 8 2 2 2" xfId="24684"/>
    <cellStyle name="TotRow - Opmaakprofiel4 3 2 8 2 2 3" xfId="36736"/>
    <cellStyle name="TotRow - Opmaakprofiel4 3 2 8 2 2 4" xfId="47459"/>
    <cellStyle name="TotRow - Opmaakprofiel4 3 2 8 2 2 5" xfId="57350"/>
    <cellStyle name="TotRow - Opmaakprofiel4 3 2 8 2 3" xfId="19143"/>
    <cellStyle name="TotRow - Opmaakprofiel4 3 2 8 2 4" xfId="31195"/>
    <cellStyle name="TotRow - Opmaakprofiel4 3 2 8 2 5" xfId="43741"/>
    <cellStyle name="TotRow - Opmaakprofiel4 3 2 8 2 6" xfId="51851"/>
    <cellStyle name="TotRow - Opmaakprofiel4 3 2 8 3" xfId="3323"/>
    <cellStyle name="TotRow - Opmaakprofiel4 3 2 8 3 2" xfId="12386"/>
    <cellStyle name="TotRow - Opmaakprofiel4 3 2 8 3 2 2" xfId="24685"/>
    <cellStyle name="TotRow - Opmaakprofiel4 3 2 8 3 2 3" xfId="36737"/>
    <cellStyle name="TotRow - Opmaakprofiel4 3 2 8 3 2 4" xfId="47460"/>
    <cellStyle name="TotRow - Opmaakprofiel4 3 2 8 3 2 5" xfId="57351"/>
    <cellStyle name="TotRow - Opmaakprofiel4 3 2 8 3 3" xfId="19144"/>
    <cellStyle name="TotRow - Opmaakprofiel4 3 2 8 3 4" xfId="31196"/>
    <cellStyle name="TotRow - Opmaakprofiel4 3 2 8 3 5" xfId="37104"/>
    <cellStyle name="TotRow - Opmaakprofiel4 3 2 8 3 6" xfId="51852"/>
    <cellStyle name="TotRow - Opmaakprofiel4 3 2 8 4" xfId="4104"/>
    <cellStyle name="TotRow - Opmaakprofiel4 3 2 8 4 2" xfId="12387"/>
    <cellStyle name="TotRow - Opmaakprofiel4 3 2 8 4 2 2" xfId="24686"/>
    <cellStyle name="TotRow - Opmaakprofiel4 3 2 8 4 2 3" xfId="36738"/>
    <cellStyle name="TotRow - Opmaakprofiel4 3 2 8 4 2 4" xfId="47461"/>
    <cellStyle name="TotRow - Opmaakprofiel4 3 2 8 4 2 5" xfId="57352"/>
    <cellStyle name="TotRow - Opmaakprofiel4 3 2 8 4 3" xfId="19145"/>
    <cellStyle name="TotRow - Opmaakprofiel4 3 2 8 4 4" xfId="31197"/>
    <cellStyle name="TotRow - Opmaakprofiel4 3 2 8 4 5" xfId="43740"/>
    <cellStyle name="TotRow - Opmaakprofiel4 3 2 8 4 6" xfId="51853"/>
    <cellStyle name="TotRow - Opmaakprofiel4 3 2 8 5" xfId="6933"/>
    <cellStyle name="TotRow - Opmaakprofiel4 3 2 8 5 2" xfId="12388"/>
    <cellStyle name="TotRow - Opmaakprofiel4 3 2 8 5 2 2" xfId="24687"/>
    <cellStyle name="TotRow - Opmaakprofiel4 3 2 8 5 2 3" xfId="36739"/>
    <cellStyle name="TotRow - Opmaakprofiel4 3 2 8 5 2 4" xfId="47462"/>
    <cellStyle name="TotRow - Opmaakprofiel4 3 2 8 5 2 5" xfId="57353"/>
    <cellStyle name="TotRow - Opmaakprofiel4 3 2 8 5 3" xfId="19146"/>
    <cellStyle name="TotRow - Opmaakprofiel4 3 2 8 5 4" xfId="31198"/>
    <cellStyle name="TotRow - Opmaakprofiel4 3 2 8 5 5" xfId="37103"/>
    <cellStyle name="TotRow - Opmaakprofiel4 3 2 8 5 6" xfId="51854"/>
    <cellStyle name="TotRow - Opmaakprofiel4 3 2 8 6" xfId="6934"/>
    <cellStyle name="TotRow - Opmaakprofiel4 3 2 8 6 2" xfId="12389"/>
    <cellStyle name="TotRow - Opmaakprofiel4 3 2 8 6 2 2" xfId="24688"/>
    <cellStyle name="TotRow - Opmaakprofiel4 3 2 8 6 2 3" xfId="36740"/>
    <cellStyle name="TotRow - Opmaakprofiel4 3 2 8 6 2 4" xfId="47463"/>
    <cellStyle name="TotRow - Opmaakprofiel4 3 2 8 6 2 5" xfId="57354"/>
    <cellStyle name="TotRow - Opmaakprofiel4 3 2 8 6 3" xfId="19147"/>
    <cellStyle name="TotRow - Opmaakprofiel4 3 2 8 6 4" xfId="31199"/>
    <cellStyle name="TotRow - Opmaakprofiel4 3 2 8 6 5" xfId="37102"/>
    <cellStyle name="TotRow - Opmaakprofiel4 3 2 8 6 6" xfId="51855"/>
    <cellStyle name="TotRow - Opmaakprofiel4 3 2 8 7" xfId="6935"/>
    <cellStyle name="TotRow - Opmaakprofiel4 3 2 8 7 2" xfId="19148"/>
    <cellStyle name="TotRow - Opmaakprofiel4 3 2 8 7 3" xfId="31200"/>
    <cellStyle name="TotRow - Opmaakprofiel4 3 2 8 7 4" xfId="37101"/>
    <cellStyle name="TotRow - Opmaakprofiel4 3 2 8 7 5" xfId="51856"/>
    <cellStyle name="TotRow - Opmaakprofiel4 3 2 8 8" xfId="7065"/>
    <cellStyle name="TotRow - Opmaakprofiel4 3 2 8 8 2" xfId="19363"/>
    <cellStyle name="TotRow - Opmaakprofiel4 3 2 8 8 3" xfId="41166"/>
    <cellStyle name="TotRow - Opmaakprofiel4 3 2 8 8 4" xfId="36996"/>
    <cellStyle name="TotRow - Opmaakprofiel4 3 2 8 8 5" xfId="52036"/>
    <cellStyle name="TotRow - Opmaakprofiel4 3 2 8 9" xfId="19142"/>
    <cellStyle name="TotRow - Opmaakprofiel4 3 2 9" xfId="1368"/>
    <cellStyle name="TotRow - Opmaakprofiel4 3 2 9 2" xfId="1401"/>
    <cellStyle name="TotRow - Opmaakprofiel4 3 2 9 2 2" xfId="12390"/>
    <cellStyle name="TotRow - Opmaakprofiel4 3 2 9 2 2 2" xfId="24689"/>
    <cellStyle name="TotRow - Opmaakprofiel4 3 2 9 2 2 3" xfId="36741"/>
    <cellStyle name="TotRow - Opmaakprofiel4 3 2 9 2 2 4" xfId="47464"/>
    <cellStyle name="TotRow - Opmaakprofiel4 3 2 9 2 2 5" xfId="57355"/>
    <cellStyle name="TotRow - Opmaakprofiel4 3 2 9 2 3" xfId="19150"/>
    <cellStyle name="TotRow - Opmaakprofiel4 3 2 9 2 4" xfId="31202"/>
    <cellStyle name="TotRow - Opmaakprofiel4 3 2 9 2 5" xfId="37100"/>
    <cellStyle name="TotRow - Opmaakprofiel4 3 2 9 2 6" xfId="51857"/>
    <cellStyle name="TotRow - Opmaakprofiel4 3 2 9 3" xfId="3379"/>
    <cellStyle name="TotRow - Opmaakprofiel4 3 2 9 3 2" xfId="12391"/>
    <cellStyle name="TotRow - Opmaakprofiel4 3 2 9 3 2 2" xfId="24690"/>
    <cellStyle name="TotRow - Opmaakprofiel4 3 2 9 3 2 3" xfId="36742"/>
    <cellStyle name="TotRow - Opmaakprofiel4 3 2 9 3 2 4" xfId="47465"/>
    <cellStyle name="TotRow - Opmaakprofiel4 3 2 9 3 2 5" xfId="57356"/>
    <cellStyle name="TotRow - Opmaakprofiel4 3 2 9 3 3" xfId="19151"/>
    <cellStyle name="TotRow - Opmaakprofiel4 3 2 9 3 4" xfId="31203"/>
    <cellStyle name="TotRow - Opmaakprofiel4 3 2 9 3 5" xfId="43739"/>
    <cellStyle name="TotRow - Opmaakprofiel4 3 2 9 3 6" xfId="51858"/>
    <cellStyle name="TotRow - Opmaakprofiel4 3 2 9 4" xfId="4140"/>
    <cellStyle name="TotRow - Opmaakprofiel4 3 2 9 4 2" xfId="12392"/>
    <cellStyle name="TotRow - Opmaakprofiel4 3 2 9 4 2 2" xfId="24691"/>
    <cellStyle name="TotRow - Opmaakprofiel4 3 2 9 4 2 3" xfId="36743"/>
    <cellStyle name="TotRow - Opmaakprofiel4 3 2 9 4 2 4" xfId="47466"/>
    <cellStyle name="TotRow - Opmaakprofiel4 3 2 9 4 2 5" xfId="57357"/>
    <cellStyle name="TotRow - Opmaakprofiel4 3 2 9 4 3" xfId="19152"/>
    <cellStyle name="TotRow - Opmaakprofiel4 3 2 9 4 4" xfId="31204"/>
    <cellStyle name="TotRow - Opmaakprofiel4 3 2 9 4 5" xfId="37099"/>
    <cellStyle name="TotRow - Opmaakprofiel4 3 2 9 4 6" xfId="51859"/>
    <cellStyle name="TotRow - Opmaakprofiel4 3 2 9 5" xfId="6936"/>
    <cellStyle name="TotRow - Opmaakprofiel4 3 2 9 5 2" xfId="12393"/>
    <cellStyle name="TotRow - Opmaakprofiel4 3 2 9 5 2 2" xfId="24692"/>
    <cellStyle name="TotRow - Opmaakprofiel4 3 2 9 5 2 3" xfId="36744"/>
    <cellStyle name="TotRow - Opmaakprofiel4 3 2 9 5 2 4" xfId="47467"/>
    <cellStyle name="TotRow - Opmaakprofiel4 3 2 9 5 2 5" xfId="57358"/>
    <cellStyle name="TotRow - Opmaakprofiel4 3 2 9 5 3" xfId="19153"/>
    <cellStyle name="TotRow - Opmaakprofiel4 3 2 9 5 4" xfId="31205"/>
    <cellStyle name="TotRow - Opmaakprofiel4 3 2 9 5 5" xfId="43738"/>
    <cellStyle name="TotRow - Opmaakprofiel4 3 2 9 5 6" xfId="51860"/>
    <cellStyle name="TotRow - Opmaakprofiel4 3 2 9 6" xfId="6937"/>
    <cellStyle name="TotRow - Opmaakprofiel4 3 2 9 6 2" xfId="12394"/>
    <cellStyle name="TotRow - Opmaakprofiel4 3 2 9 6 2 2" xfId="24693"/>
    <cellStyle name="TotRow - Opmaakprofiel4 3 2 9 6 2 3" xfId="36745"/>
    <cellStyle name="TotRow - Opmaakprofiel4 3 2 9 6 2 4" xfId="47468"/>
    <cellStyle name="TotRow - Opmaakprofiel4 3 2 9 6 2 5" xfId="57359"/>
    <cellStyle name="TotRow - Opmaakprofiel4 3 2 9 6 3" xfId="19154"/>
    <cellStyle name="TotRow - Opmaakprofiel4 3 2 9 6 4" xfId="31206"/>
    <cellStyle name="TotRow - Opmaakprofiel4 3 2 9 6 5" xfId="37098"/>
    <cellStyle name="TotRow - Opmaakprofiel4 3 2 9 6 6" xfId="51861"/>
    <cellStyle name="TotRow - Opmaakprofiel4 3 2 9 7" xfId="6938"/>
    <cellStyle name="TotRow - Opmaakprofiel4 3 2 9 7 2" xfId="19155"/>
    <cellStyle name="TotRow - Opmaakprofiel4 3 2 9 7 3" xfId="31207"/>
    <cellStyle name="TotRow - Opmaakprofiel4 3 2 9 7 4" xfId="43737"/>
    <cellStyle name="TotRow - Opmaakprofiel4 3 2 9 7 5" xfId="51862"/>
    <cellStyle name="TotRow - Opmaakprofiel4 3 2 9 8" xfId="7017"/>
    <cellStyle name="TotRow - Opmaakprofiel4 3 2 9 8 2" xfId="19315"/>
    <cellStyle name="TotRow - Opmaakprofiel4 3 2 9 8 3" xfId="41118"/>
    <cellStyle name="TotRow - Opmaakprofiel4 3 2 9 8 4" xfId="37024"/>
    <cellStyle name="TotRow - Opmaakprofiel4 3 2 9 8 5" xfId="51988"/>
    <cellStyle name="TotRow - Opmaakprofiel4 3 2 9 9" xfId="19149"/>
    <cellStyle name="TotRow - Opmaakprofiel4 3 3" xfId="604"/>
    <cellStyle name="TotRow - Opmaakprofiel4 3 3 2" xfId="1652"/>
    <cellStyle name="TotRow - Opmaakprofiel4 3 3 2 2" xfId="12395"/>
    <cellStyle name="TotRow - Opmaakprofiel4 3 3 2 2 2" xfId="24694"/>
    <cellStyle name="TotRow - Opmaakprofiel4 3 3 2 2 3" xfId="36746"/>
    <cellStyle name="TotRow - Opmaakprofiel4 3 3 2 2 4" xfId="47469"/>
    <cellStyle name="TotRow - Opmaakprofiel4 3 3 2 2 5" xfId="57360"/>
    <cellStyle name="TotRow - Opmaakprofiel4 3 3 2 3" xfId="19157"/>
    <cellStyle name="TotRow - Opmaakprofiel4 3 3 2 4" xfId="31209"/>
    <cellStyle name="TotRow - Opmaakprofiel4 3 3 2 5" xfId="43736"/>
    <cellStyle name="TotRow - Opmaakprofiel4 3 3 2 6" xfId="51863"/>
    <cellStyle name="TotRow - Opmaakprofiel4 3 3 3" xfId="2675"/>
    <cellStyle name="TotRow - Opmaakprofiel4 3 3 3 2" xfId="12396"/>
    <cellStyle name="TotRow - Opmaakprofiel4 3 3 3 2 2" xfId="24695"/>
    <cellStyle name="TotRow - Opmaakprofiel4 3 3 3 2 3" xfId="36747"/>
    <cellStyle name="TotRow - Opmaakprofiel4 3 3 3 2 4" xfId="47470"/>
    <cellStyle name="TotRow - Opmaakprofiel4 3 3 3 2 5" xfId="57361"/>
    <cellStyle name="TotRow - Opmaakprofiel4 3 3 3 3" xfId="19158"/>
    <cellStyle name="TotRow - Opmaakprofiel4 3 3 3 4" xfId="31210"/>
    <cellStyle name="TotRow - Opmaakprofiel4 3 3 3 5" xfId="37097"/>
    <cellStyle name="TotRow - Opmaakprofiel4 3 3 3 6" xfId="51864"/>
    <cellStyle name="TotRow - Opmaakprofiel4 3 3 4" xfId="3547"/>
    <cellStyle name="TotRow - Opmaakprofiel4 3 3 4 2" xfId="12397"/>
    <cellStyle name="TotRow - Opmaakprofiel4 3 3 4 2 2" xfId="24696"/>
    <cellStyle name="TotRow - Opmaakprofiel4 3 3 4 2 3" xfId="36748"/>
    <cellStyle name="TotRow - Opmaakprofiel4 3 3 4 2 4" xfId="47471"/>
    <cellStyle name="TotRow - Opmaakprofiel4 3 3 4 2 5" xfId="57362"/>
    <cellStyle name="TotRow - Opmaakprofiel4 3 3 4 3" xfId="19159"/>
    <cellStyle name="TotRow - Opmaakprofiel4 3 3 4 4" xfId="31211"/>
    <cellStyle name="TotRow - Opmaakprofiel4 3 3 4 5" xfId="37096"/>
    <cellStyle name="TotRow - Opmaakprofiel4 3 3 4 6" xfId="51865"/>
    <cellStyle name="TotRow - Opmaakprofiel4 3 3 5" xfId="6939"/>
    <cellStyle name="TotRow - Opmaakprofiel4 3 3 5 2" xfId="12398"/>
    <cellStyle name="TotRow - Opmaakprofiel4 3 3 5 2 2" xfId="24697"/>
    <cellStyle name="TotRow - Opmaakprofiel4 3 3 5 2 3" xfId="36749"/>
    <cellStyle name="TotRow - Opmaakprofiel4 3 3 5 2 4" xfId="47472"/>
    <cellStyle name="TotRow - Opmaakprofiel4 3 3 5 2 5" xfId="57363"/>
    <cellStyle name="TotRow - Opmaakprofiel4 3 3 5 3" xfId="19160"/>
    <cellStyle name="TotRow - Opmaakprofiel4 3 3 5 4" xfId="31212"/>
    <cellStyle name="TotRow - Opmaakprofiel4 3 3 5 5" xfId="37095"/>
    <cellStyle name="TotRow - Opmaakprofiel4 3 3 5 6" xfId="51866"/>
    <cellStyle name="TotRow - Opmaakprofiel4 3 3 6" xfId="6940"/>
    <cellStyle name="TotRow - Opmaakprofiel4 3 3 6 2" xfId="12399"/>
    <cellStyle name="TotRow - Opmaakprofiel4 3 3 6 2 2" xfId="24698"/>
    <cellStyle name="TotRow - Opmaakprofiel4 3 3 6 2 3" xfId="36750"/>
    <cellStyle name="TotRow - Opmaakprofiel4 3 3 6 2 4" xfId="47473"/>
    <cellStyle name="TotRow - Opmaakprofiel4 3 3 6 2 5" xfId="57364"/>
    <cellStyle name="TotRow - Opmaakprofiel4 3 3 6 3" xfId="19161"/>
    <cellStyle name="TotRow - Opmaakprofiel4 3 3 6 4" xfId="31213"/>
    <cellStyle name="TotRow - Opmaakprofiel4 3 3 6 5" xfId="43735"/>
    <cellStyle name="TotRow - Opmaakprofiel4 3 3 6 6" xfId="51867"/>
    <cellStyle name="TotRow - Opmaakprofiel4 3 3 7" xfId="6941"/>
    <cellStyle name="TotRow - Opmaakprofiel4 3 3 7 2" xfId="19162"/>
    <cellStyle name="TotRow - Opmaakprofiel4 3 3 7 3" xfId="31214"/>
    <cellStyle name="TotRow - Opmaakprofiel4 3 3 7 4" xfId="37094"/>
    <cellStyle name="TotRow - Opmaakprofiel4 3 3 7 5" xfId="51868"/>
    <cellStyle name="TotRow - Opmaakprofiel4 3 3 8" xfId="7579"/>
    <cellStyle name="TotRow - Opmaakprofiel4 3 3 8 2" xfId="19877"/>
    <cellStyle name="TotRow - Opmaakprofiel4 3 3 8 3" xfId="41680"/>
    <cellStyle name="TotRow - Opmaakprofiel4 3 3 8 4" xfId="31807"/>
    <cellStyle name="TotRow - Opmaakprofiel4 3 3 8 5" xfId="52549"/>
    <cellStyle name="TotRow - Opmaakprofiel4 3 3 9" xfId="19156"/>
    <cellStyle name="TotRow - Opmaakprofiel4 3 4" xfId="557"/>
    <cellStyle name="TotRow - Opmaakprofiel4 3 4 2" xfId="1855"/>
    <cellStyle name="TotRow - Opmaakprofiel4 3 4 2 2" xfId="12400"/>
    <cellStyle name="TotRow - Opmaakprofiel4 3 4 2 2 2" xfId="24699"/>
    <cellStyle name="TotRow - Opmaakprofiel4 3 4 2 2 3" xfId="36751"/>
    <cellStyle name="TotRow - Opmaakprofiel4 3 4 2 2 4" xfId="47474"/>
    <cellStyle name="TotRow - Opmaakprofiel4 3 4 2 2 5" xfId="57365"/>
    <cellStyle name="TotRow - Opmaakprofiel4 3 4 2 3" xfId="19164"/>
    <cellStyle name="TotRow - Opmaakprofiel4 3 4 2 4" xfId="31216"/>
    <cellStyle name="TotRow - Opmaakprofiel4 3 4 2 5" xfId="37093"/>
    <cellStyle name="TotRow - Opmaakprofiel4 3 4 2 6" xfId="51869"/>
    <cellStyle name="TotRow - Opmaakprofiel4 3 4 3" xfId="2628"/>
    <cellStyle name="TotRow - Opmaakprofiel4 3 4 3 2" xfId="12401"/>
    <cellStyle name="TotRow - Opmaakprofiel4 3 4 3 2 2" xfId="24700"/>
    <cellStyle name="TotRow - Opmaakprofiel4 3 4 3 2 3" xfId="36752"/>
    <cellStyle name="TotRow - Opmaakprofiel4 3 4 3 2 4" xfId="47475"/>
    <cellStyle name="TotRow - Opmaakprofiel4 3 4 3 2 5" xfId="57366"/>
    <cellStyle name="TotRow - Opmaakprofiel4 3 4 3 3" xfId="19165"/>
    <cellStyle name="TotRow - Opmaakprofiel4 3 4 3 4" xfId="31217"/>
    <cellStyle name="TotRow - Opmaakprofiel4 3 4 3 5" xfId="43734"/>
    <cellStyle name="TotRow - Opmaakprofiel4 3 4 3 6" xfId="51870"/>
    <cellStyle name="TotRow - Opmaakprofiel4 3 4 4" xfId="3506"/>
    <cellStyle name="TotRow - Opmaakprofiel4 3 4 4 2" xfId="12402"/>
    <cellStyle name="TotRow - Opmaakprofiel4 3 4 4 2 2" xfId="24701"/>
    <cellStyle name="TotRow - Opmaakprofiel4 3 4 4 2 3" xfId="36753"/>
    <cellStyle name="TotRow - Opmaakprofiel4 3 4 4 2 4" xfId="47476"/>
    <cellStyle name="TotRow - Opmaakprofiel4 3 4 4 2 5" xfId="57367"/>
    <cellStyle name="TotRow - Opmaakprofiel4 3 4 4 3" xfId="19166"/>
    <cellStyle name="TotRow - Opmaakprofiel4 3 4 4 4" xfId="31218"/>
    <cellStyle name="TotRow - Opmaakprofiel4 3 4 4 5" xfId="37092"/>
    <cellStyle name="TotRow - Opmaakprofiel4 3 4 4 6" xfId="51871"/>
    <cellStyle name="TotRow - Opmaakprofiel4 3 4 5" xfId="6942"/>
    <cellStyle name="TotRow - Opmaakprofiel4 3 4 5 2" xfId="12403"/>
    <cellStyle name="TotRow - Opmaakprofiel4 3 4 5 2 2" xfId="24702"/>
    <cellStyle name="TotRow - Opmaakprofiel4 3 4 5 2 3" xfId="36754"/>
    <cellStyle name="TotRow - Opmaakprofiel4 3 4 5 2 4" xfId="47477"/>
    <cellStyle name="TotRow - Opmaakprofiel4 3 4 5 2 5" xfId="57368"/>
    <cellStyle name="TotRow - Opmaakprofiel4 3 4 5 3" xfId="19167"/>
    <cellStyle name="TotRow - Opmaakprofiel4 3 4 5 4" xfId="31219"/>
    <cellStyle name="TotRow - Opmaakprofiel4 3 4 5 5" xfId="43733"/>
    <cellStyle name="TotRow - Opmaakprofiel4 3 4 5 6" xfId="51872"/>
    <cellStyle name="TotRow - Opmaakprofiel4 3 4 6" xfId="6943"/>
    <cellStyle name="TotRow - Opmaakprofiel4 3 4 6 2" xfId="12404"/>
    <cellStyle name="TotRow - Opmaakprofiel4 3 4 6 2 2" xfId="24703"/>
    <cellStyle name="TotRow - Opmaakprofiel4 3 4 6 2 3" xfId="36755"/>
    <cellStyle name="TotRow - Opmaakprofiel4 3 4 6 2 4" xfId="47478"/>
    <cellStyle name="TotRow - Opmaakprofiel4 3 4 6 2 5" xfId="57369"/>
    <cellStyle name="TotRow - Opmaakprofiel4 3 4 6 3" xfId="19168"/>
    <cellStyle name="TotRow - Opmaakprofiel4 3 4 6 4" xfId="31220"/>
    <cellStyle name="TotRow - Opmaakprofiel4 3 4 6 5" xfId="37091"/>
    <cellStyle name="TotRow - Opmaakprofiel4 3 4 6 6" xfId="51873"/>
    <cellStyle name="TotRow - Opmaakprofiel4 3 4 7" xfId="6944"/>
    <cellStyle name="TotRow - Opmaakprofiel4 3 4 7 2" xfId="19169"/>
    <cellStyle name="TotRow - Opmaakprofiel4 3 4 7 3" xfId="31221"/>
    <cellStyle name="TotRow - Opmaakprofiel4 3 4 7 4" xfId="43732"/>
    <cellStyle name="TotRow - Opmaakprofiel4 3 4 7 5" xfId="51874"/>
    <cellStyle name="TotRow - Opmaakprofiel4 3 4 8" xfId="7610"/>
    <cellStyle name="TotRow - Opmaakprofiel4 3 4 8 2" xfId="19908"/>
    <cellStyle name="TotRow - Opmaakprofiel4 3 4 8 3" xfId="41711"/>
    <cellStyle name="TotRow - Opmaakprofiel4 3 4 8 4" xfId="43437"/>
    <cellStyle name="TotRow - Opmaakprofiel4 3 4 8 5" xfId="52580"/>
    <cellStyle name="TotRow - Opmaakprofiel4 3 4 9" xfId="19163"/>
    <cellStyle name="TotRow - Opmaakprofiel4 3 5" xfId="543"/>
    <cellStyle name="TotRow - Opmaakprofiel4 3 5 2" xfId="1660"/>
    <cellStyle name="TotRow - Opmaakprofiel4 3 5 2 2" xfId="12405"/>
    <cellStyle name="TotRow - Opmaakprofiel4 3 5 2 2 2" xfId="24704"/>
    <cellStyle name="TotRow - Opmaakprofiel4 3 5 2 2 3" xfId="36756"/>
    <cellStyle name="TotRow - Opmaakprofiel4 3 5 2 2 4" xfId="47479"/>
    <cellStyle name="TotRow - Opmaakprofiel4 3 5 2 2 5" xfId="57370"/>
    <cellStyle name="TotRow - Opmaakprofiel4 3 5 2 3" xfId="19171"/>
    <cellStyle name="TotRow - Opmaakprofiel4 3 5 2 4" xfId="31223"/>
    <cellStyle name="TotRow - Opmaakprofiel4 3 5 2 5" xfId="37090"/>
    <cellStyle name="TotRow - Opmaakprofiel4 3 5 2 6" xfId="51875"/>
    <cellStyle name="TotRow - Opmaakprofiel4 3 5 3" xfId="2614"/>
    <cellStyle name="TotRow - Opmaakprofiel4 3 5 3 2" xfId="12406"/>
    <cellStyle name="TotRow - Opmaakprofiel4 3 5 3 2 2" xfId="24705"/>
    <cellStyle name="TotRow - Opmaakprofiel4 3 5 3 2 3" xfId="36757"/>
    <cellStyle name="TotRow - Opmaakprofiel4 3 5 3 2 4" xfId="47480"/>
    <cellStyle name="TotRow - Opmaakprofiel4 3 5 3 2 5" xfId="57371"/>
    <cellStyle name="TotRow - Opmaakprofiel4 3 5 3 3" xfId="19172"/>
    <cellStyle name="TotRow - Opmaakprofiel4 3 5 3 4" xfId="31224"/>
    <cellStyle name="TotRow - Opmaakprofiel4 3 5 3 5" xfId="37089"/>
    <cellStyle name="TotRow - Opmaakprofiel4 3 5 3 6" xfId="51876"/>
    <cellStyle name="TotRow - Opmaakprofiel4 3 5 4" xfId="3493"/>
    <cellStyle name="TotRow - Opmaakprofiel4 3 5 4 2" xfId="12407"/>
    <cellStyle name="TotRow - Opmaakprofiel4 3 5 4 2 2" xfId="24706"/>
    <cellStyle name="TotRow - Opmaakprofiel4 3 5 4 2 3" xfId="36758"/>
    <cellStyle name="TotRow - Opmaakprofiel4 3 5 4 2 4" xfId="47481"/>
    <cellStyle name="TotRow - Opmaakprofiel4 3 5 4 2 5" xfId="57372"/>
    <cellStyle name="TotRow - Opmaakprofiel4 3 5 4 3" xfId="19173"/>
    <cellStyle name="TotRow - Opmaakprofiel4 3 5 4 4" xfId="31225"/>
    <cellStyle name="TotRow - Opmaakprofiel4 3 5 4 5" xfId="43731"/>
    <cellStyle name="TotRow - Opmaakprofiel4 3 5 4 6" xfId="51877"/>
    <cellStyle name="TotRow - Opmaakprofiel4 3 5 5" xfId="6945"/>
    <cellStyle name="TotRow - Opmaakprofiel4 3 5 5 2" xfId="12408"/>
    <cellStyle name="TotRow - Opmaakprofiel4 3 5 5 2 2" xfId="24707"/>
    <cellStyle name="TotRow - Opmaakprofiel4 3 5 5 2 3" xfId="36759"/>
    <cellStyle name="TotRow - Opmaakprofiel4 3 5 5 2 4" xfId="47482"/>
    <cellStyle name="TotRow - Opmaakprofiel4 3 5 5 2 5" xfId="57373"/>
    <cellStyle name="TotRow - Opmaakprofiel4 3 5 5 3" xfId="19174"/>
    <cellStyle name="TotRow - Opmaakprofiel4 3 5 5 4" xfId="31226"/>
    <cellStyle name="TotRow - Opmaakprofiel4 3 5 5 5" xfId="37088"/>
    <cellStyle name="TotRow - Opmaakprofiel4 3 5 5 6" xfId="51878"/>
    <cellStyle name="TotRow - Opmaakprofiel4 3 5 6" xfId="6946"/>
    <cellStyle name="TotRow - Opmaakprofiel4 3 5 6 2" xfId="12409"/>
    <cellStyle name="TotRow - Opmaakprofiel4 3 5 6 2 2" xfId="24708"/>
    <cellStyle name="TotRow - Opmaakprofiel4 3 5 6 2 3" xfId="36760"/>
    <cellStyle name="TotRow - Opmaakprofiel4 3 5 6 2 4" xfId="47483"/>
    <cellStyle name="TotRow - Opmaakprofiel4 3 5 6 2 5" xfId="57374"/>
    <cellStyle name="TotRow - Opmaakprofiel4 3 5 6 3" xfId="19175"/>
    <cellStyle name="TotRow - Opmaakprofiel4 3 5 6 4" xfId="31227"/>
    <cellStyle name="TotRow - Opmaakprofiel4 3 5 6 5" xfId="43730"/>
    <cellStyle name="TotRow - Opmaakprofiel4 3 5 6 6" xfId="51879"/>
    <cellStyle name="TotRow - Opmaakprofiel4 3 5 7" xfId="6947"/>
    <cellStyle name="TotRow - Opmaakprofiel4 3 5 7 2" xfId="19176"/>
    <cellStyle name="TotRow - Opmaakprofiel4 3 5 7 3" xfId="31228"/>
    <cellStyle name="TotRow - Opmaakprofiel4 3 5 7 4" xfId="37087"/>
    <cellStyle name="TotRow - Opmaakprofiel4 3 5 7 5" xfId="51880"/>
    <cellStyle name="TotRow - Opmaakprofiel4 3 5 8" xfId="7620"/>
    <cellStyle name="TotRow - Opmaakprofiel4 3 5 8 2" xfId="19918"/>
    <cellStyle name="TotRow - Opmaakprofiel4 3 5 8 3" xfId="41721"/>
    <cellStyle name="TotRow - Opmaakprofiel4 3 5 8 4" xfId="43433"/>
    <cellStyle name="TotRow - Opmaakprofiel4 3 5 8 5" xfId="52590"/>
    <cellStyle name="TotRow - Opmaakprofiel4 3 5 9" xfId="19170"/>
    <cellStyle name="TotRow - Opmaakprofiel4 3 6" xfId="562"/>
    <cellStyle name="TotRow - Opmaakprofiel4 3 6 2" xfId="1949"/>
    <cellStyle name="TotRow - Opmaakprofiel4 3 6 2 2" xfId="12410"/>
    <cellStyle name="TotRow - Opmaakprofiel4 3 6 2 2 2" xfId="24709"/>
    <cellStyle name="TotRow - Opmaakprofiel4 3 6 2 2 3" xfId="36761"/>
    <cellStyle name="TotRow - Opmaakprofiel4 3 6 2 2 4" xfId="47484"/>
    <cellStyle name="TotRow - Opmaakprofiel4 3 6 2 2 5" xfId="57375"/>
    <cellStyle name="TotRow - Opmaakprofiel4 3 6 2 3" xfId="19178"/>
    <cellStyle name="TotRow - Opmaakprofiel4 3 6 2 4" xfId="31230"/>
    <cellStyle name="TotRow - Opmaakprofiel4 3 6 2 5" xfId="37086"/>
    <cellStyle name="TotRow - Opmaakprofiel4 3 6 2 6" xfId="51881"/>
    <cellStyle name="TotRow - Opmaakprofiel4 3 6 3" xfId="2633"/>
    <cellStyle name="TotRow - Opmaakprofiel4 3 6 3 2" xfId="12411"/>
    <cellStyle name="TotRow - Opmaakprofiel4 3 6 3 2 2" xfId="24710"/>
    <cellStyle name="TotRow - Opmaakprofiel4 3 6 3 2 3" xfId="36762"/>
    <cellStyle name="TotRow - Opmaakprofiel4 3 6 3 2 4" xfId="47485"/>
    <cellStyle name="TotRow - Opmaakprofiel4 3 6 3 2 5" xfId="57376"/>
    <cellStyle name="TotRow - Opmaakprofiel4 3 6 3 3" xfId="19179"/>
    <cellStyle name="TotRow - Opmaakprofiel4 3 6 3 4" xfId="31231"/>
    <cellStyle name="TotRow - Opmaakprofiel4 3 6 3 5" xfId="43729"/>
    <cellStyle name="TotRow - Opmaakprofiel4 3 6 3 6" xfId="51882"/>
    <cellStyle name="TotRow - Opmaakprofiel4 3 6 4" xfId="3511"/>
    <cellStyle name="TotRow - Opmaakprofiel4 3 6 4 2" xfId="12412"/>
    <cellStyle name="TotRow - Opmaakprofiel4 3 6 4 2 2" xfId="24711"/>
    <cellStyle name="TotRow - Opmaakprofiel4 3 6 4 2 3" xfId="36763"/>
    <cellStyle name="TotRow - Opmaakprofiel4 3 6 4 2 4" xfId="47486"/>
    <cellStyle name="TotRow - Opmaakprofiel4 3 6 4 2 5" xfId="57377"/>
    <cellStyle name="TotRow - Opmaakprofiel4 3 6 4 3" xfId="19180"/>
    <cellStyle name="TotRow - Opmaakprofiel4 3 6 4 4" xfId="31232"/>
    <cellStyle name="TotRow - Opmaakprofiel4 3 6 4 5" xfId="37085"/>
    <cellStyle name="TotRow - Opmaakprofiel4 3 6 4 6" xfId="51883"/>
    <cellStyle name="TotRow - Opmaakprofiel4 3 6 5" xfId="6948"/>
    <cellStyle name="TotRow - Opmaakprofiel4 3 6 5 2" xfId="12413"/>
    <cellStyle name="TotRow - Opmaakprofiel4 3 6 5 2 2" xfId="24712"/>
    <cellStyle name="TotRow - Opmaakprofiel4 3 6 5 2 3" xfId="36764"/>
    <cellStyle name="TotRow - Opmaakprofiel4 3 6 5 2 4" xfId="47487"/>
    <cellStyle name="TotRow - Opmaakprofiel4 3 6 5 2 5" xfId="57378"/>
    <cellStyle name="TotRow - Opmaakprofiel4 3 6 5 3" xfId="19181"/>
    <cellStyle name="TotRow - Opmaakprofiel4 3 6 5 4" xfId="31233"/>
    <cellStyle name="TotRow - Opmaakprofiel4 3 6 5 5" xfId="43728"/>
    <cellStyle name="TotRow - Opmaakprofiel4 3 6 5 6" xfId="51884"/>
    <cellStyle name="TotRow - Opmaakprofiel4 3 6 6" xfId="6949"/>
    <cellStyle name="TotRow - Opmaakprofiel4 3 6 6 2" xfId="12414"/>
    <cellStyle name="TotRow - Opmaakprofiel4 3 6 6 2 2" xfId="24713"/>
    <cellStyle name="TotRow - Opmaakprofiel4 3 6 6 2 3" xfId="36765"/>
    <cellStyle name="TotRow - Opmaakprofiel4 3 6 6 2 4" xfId="47488"/>
    <cellStyle name="TotRow - Opmaakprofiel4 3 6 6 2 5" xfId="57379"/>
    <cellStyle name="TotRow - Opmaakprofiel4 3 6 6 3" xfId="19182"/>
    <cellStyle name="TotRow - Opmaakprofiel4 3 6 6 4" xfId="31234"/>
    <cellStyle name="TotRow - Opmaakprofiel4 3 6 6 5" xfId="37084"/>
    <cellStyle name="TotRow - Opmaakprofiel4 3 6 6 6" xfId="51885"/>
    <cellStyle name="TotRow - Opmaakprofiel4 3 6 7" xfId="6950"/>
    <cellStyle name="TotRow - Opmaakprofiel4 3 6 7 2" xfId="19183"/>
    <cellStyle name="TotRow - Opmaakprofiel4 3 6 7 3" xfId="31235"/>
    <cellStyle name="TotRow - Opmaakprofiel4 3 6 7 4" xfId="37083"/>
    <cellStyle name="TotRow - Opmaakprofiel4 3 6 7 5" xfId="51886"/>
    <cellStyle name="TotRow - Opmaakprofiel4 3 6 8" xfId="7607"/>
    <cellStyle name="TotRow - Opmaakprofiel4 3 6 8 2" xfId="19905"/>
    <cellStyle name="TotRow - Opmaakprofiel4 3 6 8 3" xfId="41708"/>
    <cellStyle name="TotRow - Opmaakprofiel4 3 6 8 4" xfId="24905"/>
    <cellStyle name="TotRow - Opmaakprofiel4 3 6 8 5" xfId="52577"/>
    <cellStyle name="TotRow - Opmaakprofiel4 3 6 9" xfId="19177"/>
    <cellStyle name="TotRow - Opmaakprofiel4 3 7" xfId="548"/>
    <cellStyle name="TotRow - Opmaakprofiel4 3 7 2" xfId="1608"/>
    <cellStyle name="TotRow - Opmaakprofiel4 3 7 2 2" xfId="12415"/>
    <cellStyle name="TotRow - Opmaakprofiel4 3 7 2 2 2" xfId="24714"/>
    <cellStyle name="TotRow - Opmaakprofiel4 3 7 2 2 3" xfId="36766"/>
    <cellStyle name="TotRow - Opmaakprofiel4 3 7 2 2 4" xfId="47489"/>
    <cellStyle name="TotRow - Opmaakprofiel4 3 7 2 2 5" xfId="57380"/>
    <cellStyle name="TotRow - Opmaakprofiel4 3 7 2 3" xfId="19185"/>
    <cellStyle name="TotRow - Opmaakprofiel4 3 7 2 4" xfId="31237"/>
    <cellStyle name="TotRow - Opmaakprofiel4 3 7 2 5" xfId="43727"/>
    <cellStyle name="TotRow - Opmaakprofiel4 3 7 2 6" xfId="51887"/>
    <cellStyle name="TotRow - Opmaakprofiel4 3 7 3" xfId="2619"/>
    <cellStyle name="TotRow - Opmaakprofiel4 3 7 3 2" xfId="12416"/>
    <cellStyle name="TotRow - Opmaakprofiel4 3 7 3 2 2" xfId="24715"/>
    <cellStyle name="TotRow - Opmaakprofiel4 3 7 3 2 3" xfId="36767"/>
    <cellStyle name="TotRow - Opmaakprofiel4 3 7 3 2 4" xfId="47490"/>
    <cellStyle name="TotRow - Opmaakprofiel4 3 7 3 2 5" xfId="57381"/>
    <cellStyle name="TotRow - Opmaakprofiel4 3 7 3 3" xfId="19186"/>
    <cellStyle name="TotRow - Opmaakprofiel4 3 7 3 4" xfId="31238"/>
    <cellStyle name="TotRow - Opmaakprofiel4 3 7 3 5" xfId="37082"/>
    <cellStyle name="TotRow - Opmaakprofiel4 3 7 3 6" xfId="51888"/>
    <cellStyle name="TotRow - Opmaakprofiel4 3 7 4" xfId="3497"/>
    <cellStyle name="TotRow - Opmaakprofiel4 3 7 4 2" xfId="12417"/>
    <cellStyle name="TotRow - Opmaakprofiel4 3 7 4 2 2" xfId="24716"/>
    <cellStyle name="TotRow - Opmaakprofiel4 3 7 4 2 3" xfId="36768"/>
    <cellStyle name="TotRow - Opmaakprofiel4 3 7 4 2 4" xfId="47491"/>
    <cellStyle name="TotRow - Opmaakprofiel4 3 7 4 2 5" xfId="57382"/>
    <cellStyle name="TotRow - Opmaakprofiel4 3 7 4 3" xfId="19187"/>
    <cellStyle name="TotRow - Opmaakprofiel4 3 7 4 4" xfId="31239"/>
    <cellStyle name="TotRow - Opmaakprofiel4 3 7 4 5" xfId="43726"/>
    <cellStyle name="TotRow - Opmaakprofiel4 3 7 4 6" xfId="51889"/>
    <cellStyle name="TotRow - Opmaakprofiel4 3 7 5" xfId="6951"/>
    <cellStyle name="TotRow - Opmaakprofiel4 3 7 5 2" xfId="12418"/>
    <cellStyle name="TotRow - Opmaakprofiel4 3 7 5 2 2" xfId="24717"/>
    <cellStyle name="TotRow - Opmaakprofiel4 3 7 5 2 3" xfId="36769"/>
    <cellStyle name="TotRow - Opmaakprofiel4 3 7 5 2 4" xfId="47492"/>
    <cellStyle name="TotRow - Opmaakprofiel4 3 7 5 2 5" xfId="57383"/>
    <cellStyle name="TotRow - Opmaakprofiel4 3 7 5 3" xfId="19188"/>
    <cellStyle name="TotRow - Opmaakprofiel4 3 7 5 4" xfId="31240"/>
    <cellStyle name="TotRow - Opmaakprofiel4 3 7 5 5" xfId="37081"/>
    <cellStyle name="TotRow - Opmaakprofiel4 3 7 5 6" xfId="51890"/>
    <cellStyle name="TotRow - Opmaakprofiel4 3 7 6" xfId="6952"/>
    <cellStyle name="TotRow - Opmaakprofiel4 3 7 6 2" xfId="12419"/>
    <cellStyle name="TotRow - Opmaakprofiel4 3 7 6 2 2" xfId="24718"/>
    <cellStyle name="TotRow - Opmaakprofiel4 3 7 6 2 3" xfId="36770"/>
    <cellStyle name="TotRow - Opmaakprofiel4 3 7 6 2 4" xfId="47493"/>
    <cellStyle name="TotRow - Opmaakprofiel4 3 7 6 2 5" xfId="57384"/>
    <cellStyle name="TotRow - Opmaakprofiel4 3 7 6 3" xfId="19189"/>
    <cellStyle name="TotRow - Opmaakprofiel4 3 7 6 4" xfId="31241"/>
    <cellStyle name="TotRow - Opmaakprofiel4 3 7 6 5" xfId="43725"/>
    <cellStyle name="TotRow - Opmaakprofiel4 3 7 6 6" xfId="51891"/>
    <cellStyle name="TotRow - Opmaakprofiel4 3 7 7" xfId="6953"/>
    <cellStyle name="TotRow - Opmaakprofiel4 3 7 7 2" xfId="19190"/>
    <cellStyle name="TotRow - Opmaakprofiel4 3 7 7 3" xfId="31242"/>
    <cellStyle name="TotRow - Opmaakprofiel4 3 7 7 4" xfId="37080"/>
    <cellStyle name="TotRow - Opmaakprofiel4 3 7 7 5" xfId="51892"/>
    <cellStyle name="TotRow - Opmaakprofiel4 3 7 8" xfId="10307"/>
    <cellStyle name="TotRow - Opmaakprofiel4 3 7 8 2" xfId="22605"/>
    <cellStyle name="TotRow - Opmaakprofiel4 3 7 8 3" xfId="44366"/>
    <cellStyle name="TotRow - Opmaakprofiel4 3 7 8 4" xfId="34362"/>
    <cellStyle name="TotRow - Opmaakprofiel4 3 7 8 5" xfId="55272"/>
    <cellStyle name="TotRow - Opmaakprofiel4 3 7 9" xfId="19184"/>
    <cellStyle name="TotRow - Opmaakprofiel4 3 8" xfId="584"/>
    <cellStyle name="TotRow - Opmaakprofiel4 3 8 2" xfId="1993"/>
    <cellStyle name="TotRow - Opmaakprofiel4 3 8 2 2" xfId="12420"/>
    <cellStyle name="TotRow - Opmaakprofiel4 3 8 2 2 2" xfId="24719"/>
    <cellStyle name="TotRow - Opmaakprofiel4 3 8 2 2 3" xfId="36771"/>
    <cellStyle name="TotRow - Opmaakprofiel4 3 8 2 2 4" xfId="47494"/>
    <cellStyle name="TotRow - Opmaakprofiel4 3 8 2 2 5" xfId="57385"/>
    <cellStyle name="TotRow - Opmaakprofiel4 3 8 2 3" xfId="19192"/>
    <cellStyle name="TotRow - Opmaakprofiel4 3 8 2 4" xfId="31244"/>
    <cellStyle name="TotRow - Opmaakprofiel4 3 8 2 5" xfId="37079"/>
    <cellStyle name="TotRow - Opmaakprofiel4 3 8 2 6" xfId="51893"/>
    <cellStyle name="TotRow - Opmaakprofiel4 3 8 3" xfId="2655"/>
    <cellStyle name="TotRow - Opmaakprofiel4 3 8 3 2" xfId="12421"/>
    <cellStyle name="TotRow - Opmaakprofiel4 3 8 3 2 2" xfId="24720"/>
    <cellStyle name="TotRow - Opmaakprofiel4 3 8 3 2 3" xfId="36772"/>
    <cellStyle name="TotRow - Opmaakprofiel4 3 8 3 2 4" xfId="47495"/>
    <cellStyle name="TotRow - Opmaakprofiel4 3 8 3 2 5" xfId="57386"/>
    <cellStyle name="TotRow - Opmaakprofiel4 3 8 3 3" xfId="19193"/>
    <cellStyle name="TotRow - Opmaakprofiel4 3 8 3 4" xfId="31245"/>
    <cellStyle name="TotRow - Opmaakprofiel4 3 8 3 5" xfId="43724"/>
    <cellStyle name="TotRow - Opmaakprofiel4 3 8 3 6" xfId="51894"/>
    <cellStyle name="TotRow - Opmaakprofiel4 3 8 4" xfId="3531"/>
    <cellStyle name="TotRow - Opmaakprofiel4 3 8 4 2" xfId="12422"/>
    <cellStyle name="TotRow - Opmaakprofiel4 3 8 4 2 2" xfId="24721"/>
    <cellStyle name="TotRow - Opmaakprofiel4 3 8 4 2 3" xfId="36773"/>
    <cellStyle name="TotRow - Opmaakprofiel4 3 8 4 2 4" xfId="47496"/>
    <cellStyle name="TotRow - Opmaakprofiel4 3 8 4 2 5" xfId="57387"/>
    <cellStyle name="TotRow - Opmaakprofiel4 3 8 4 3" xfId="19194"/>
    <cellStyle name="TotRow - Opmaakprofiel4 3 8 4 4" xfId="31246"/>
    <cellStyle name="TotRow - Opmaakprofiel4 3 8 4 5" xfId="37078"/>
    <cellStyle name="TotRow - Opmaakprofiel4 3 8 4 6" xfId="51895"/>
    <cellStyle name="TotRow - Opmaakprofiel4 3 8 5" xfId="6954"/>
    <cellStyle name="TotRow - Opmaakprofiel4 3 8 5 2" xfId="12423"/>
    <cellStyle name="TotRow - Opmaakprofiel4 3 8 5 2 2" xfId="24722"/>
    <cellStyle name="TotRow - Opmaakprofiel4 3 8 5 2 3" xfId="36774"/>
    <cellStyle name="TotRow - Opmaakprofiel4 3 8 5 2 4" xfId="47497"/>
    <cellStyle name="TotRow - Opmaakprofiel4 3 8 5 2 5" xfId="57388"/>
    <cellStyle name="TotRow - Opmaakprofiel4 3 8 5 3" xfId="19195"/>
    <cellStyle name="TotRow - Opmaakprofiel4 3 8 5 4" xfId="31247"/>
    <cellStyle name="TotRow - Opmaakprofiel4 3 8 5 5" xfId="37077"/>
    <cellStyle name="TotRow - Opmaakprofiel4 3 8 5 6" xfId="51896"/>
    <cellStyle name="TotRow - Opmaakprofiel4 3 8 6" xfId="6955"/>
    <cellStyle name="TotRow - Opmaakprofiel4 3 8 6 2" xfId="12424"/>
    <cellStyle name="TotRow - Opmaakprofiel4 3 8 6 2 2" xfId="24723"/>
    <cellStyle name="TotRow - Opmaakprofiel4 3 8 6 2 3" xfId="36775"/>
    <cellStyle name="TotRow - Opmaakprofiel4 3 8 6 2 4" xfId="47498"/>
    <cellStyle name="TotRow - Opmaakprofiel4 3 8 6 2 5" xfId="57389"/>
    <cellStyle name="TotRow - Opmaakprofiel4 3 8 6 3" xfId="19196"/>
    <cellStyle name="TotRow - Opmaakprofiel4 3 8 6 4" xfId="31248"/>
    <cellStyle name="TotRow - Opmaakprofiel4 3 8 6 5" xfId="37076"/>
    <cellStyle name="TotRow - Opmaakprofiel4 3 8 6 6" xfId="51897"/>
    <cellStyle name="TotRow - Opmaakprofiel4 3 8 7" xfId="6956"/>
    <cellStyle name="TotRow - Opmaakprofiel4 3 8 7 2" xfId="19197"/>
    <cellStyle name="TotRow - Opmaakprofiel4 3 8 7 3" xfId="31249"/>
    <cellStyle name="TotRow - Opmaakprofiel4 3 8 7 4" xfId="43723"/>
    <cellStyle name="TotRow - Opmaakprofiel4 3 8 7 5" xfId="51898"/>
    <cellStyle name="TotRow - Opmaakprofiel4 3 8 8" xfId="7593"/>
    <cellStyle name="TotRow - Opmaakprofiel4 3 8 8 2" xfId="19891"/>
    <cellStyle name="TotRow - Opmaakprofiel4 3 8 8 3" xfId="41694"/>
    <cellStyle name="TotRow - Opmaakprofiel4 3 8 8 4" xfId="43444"/>
    <cellStyle name="TotRow - Opmaakprofiel4 3 8 8 5" xfId="52563"/>
    <cellStyle name="TotRow - Opmaakprofiel4 3 8 9" xfId="19191"/>
    <cellStyle name="TotRow - Opmaakprofiel4 3 9" xfId="1310"/>
    <cellStyle name="TotRow - Opmaakprofiel4 3 9 2" xfId="1767"/>
    <cellStyle name="TotRow - Opmaakprofiel4 3 9 2 2" xfId="12425"/>
    <cellStyle name="TotRow - Opmaakprofiel4 3 9 2 2 2" xfId="24724"/>
    <cellStyle name="TotRow - Opmaakprofiel4 3 9 2 2 3" xfId="36776"/>
    <cellStyle name="TotRow - Opmaakprofiel4 3 9 2 2 4" xfId="47499"/>
    <cellStyle name="TotRow - Opmaakprofiel4 3 9 2 2 5" xfId="57390"/>
    <cellStyle name="TotRow - Opmaakprofiel4 3 9 2 3" xfId="19199"/>
    <cellStyle name="TotRow - Opmaakprofiel4 3 9 2 4" xfId="31251"/>
    <cellStyle name="TotRow - Opmaakprofiel4 3 9 2 5" xfId="43722"/>
    <cellStyle name="TotRow - Opmaakprofiel4 3 9 2 6" xfId="51899"/>
    <cellStyle name="TotRow - Opmaakprofiel4 3 9 3" xfId="3321"/>
    <cellStyle name="TotRow - Opmaakprofiel4 3 9 3 2" xfId="12426"/>
    <cellStyle name="TotRow - Opmaakprofiel4 3 9 3 2 2" xfId="24725"/>
    <cellStyle name="TotRow - Opmaakprofiel4 3 9 3 2 3" xfId="36777"/>
    <cellStyle name="TotRow - Opmaakprofiel4 3 9 3 2 4" xfId="47500"/>
    <cellStyle name="TotRow - Opmaakprofiel4 3 9 3 2 5" xfId="57391"/>
    <cellStyle name="TotRow - Opmaakprofiel4 3 9 3 3" xfId="19200"/>
    <cellStyle name="TotRow - Opmaakprofiel4 3 9 3 4" xfId="31252"/>
    <cellStyle name="TotRow - Opmaakprofiel4 3 9 3 5" xfId="37075"/>
    <cellStyle name="TotRow - Opmaakprofiel4 3 9 3 6" xfId="51900"/>
    <cellStyle name="TotRow - Opmaakprofiel4 3 9 4" xfId="4102"/>
    <cellStyle name="TotRow - Opmaakprofiel4 3 9 4 2" xfId="12427"/>
    <cellStyle name="TotRow - Opmaakprofiel4 3 9 4 2 2" xfId="24726"/>
    <cellStyle name="TotRow - Opmaakprofiel4 3 9 4 2 3" xfId="36778"/>
    <cellStyle name="TotRow - Opmaakprofiel4 3 9 4 2 4" xfId="47501"/>
    <cellStyle name="TotRow - Opmaakprofiel4 3 9 4 2 5" xfId="57392"/>
    <cellStyle name="TotRow - Opmaakprofiel4 3 9 4 3" xfId="19201"/>
    <cellStyle name="TotRow - Opmaakprofiel4 3 9 4 4" xfId="31253"/>
    <cellStyle name="TotRow - Opmaakprofiel4 3 9 4 5" xfId="37074"/>
    <cellStyle name="TotRow - Opmaakprofiel4 3 9 4 6" xfId="51901"/>
    <cellStyle name="TotRow - Opmaakprofiel4 3 9 5" xfId="6957"/>
    <cellStyle name="TotRow - Opmaakprofiel4 3 9 5 2" xfId="12428"/>
    <cellStyle name="TotRow - Opmaakprofiel4 3 9 5 2 2" xfId="24727"/>
    <cellStyle name="TotRow - Opmaakprofiel4 3 9 5 2 3" xfId="36779"/>
    <cellStyle name="TotRow - Opmaakprofiel4 3 9 5 2 4" xfId="47502"/>
    <cellStyle name="TotRow - Opmaakprofiel4 3 9 5 2 5" xfId="57393"/>
    <cellStyle name="TotRow - Opmaakprofiel4 3 9 5 3" xfId="19202"/>
    <cellStyle name="TotRow - Opmaakprofiel4 3 9 5 4" xfId="31254"/>
    <cellStyle name="TotRow - Opmaakprofiel4 3 9 5 5" xfId="43721"/>
    <cellStyle name="TotRow - Opmaakprofiel4 3 9 5 6" xfId="51902"/>
    <cellStyle name="TotRow - Opmaakprofiel4 3 9 6" xfId="6958"/>
    <cellStyle name="TotRow - Opmaakprofiel4 3 9 6 2" xfId="12429"/>
    <cellStyle name="TotRow - Opmaakprofiel4 3 9 6 2 2" xfId="24728"/>
    <cellStyle name="TotRow - Opmaakprofiel4 3 9 6 2 3" xfId="36780"/>
    <cellStyle name="TotRow - Opmaakprofiel4 3 9 6 2 4" xfId="47503"/>
    <cellStyle name="TotRow - Opmaakprofiel4 3 9 6 2 5" xfId="57394"/>
    <cellStyle name="TotRow - Opmaakprofiel4 3 9 6 3" xfId="19203"/>
    <cellStyle name="TotRow - Opmaakprofiel4 3 9 6 4" xfId="31255"/>
    <cellStyle name="TotRow - Opmaakprofiel4 3 9 6 5" xfId="37073"/>
    <cellStyle name="TotRow - Opmaakprofiel4 3 9 6 6" xfId="51903"/>
    <cellStyle name="TotRow - Opmaakprofiel4 3 9 7" xfId="6959"/>
    <cellStyle name="TotRow - Opmaakprofiel4 3 9 7 2" xfId="19204"/>
    <cellStyle name="TotRow - Opmaakprofiel4 3 9 7 3" xfId="31256"/>
    <cellStyle name="TotRow - Opmaakprofiel4 3 9 7 4" xfId="43720"/>
    <cellStyle name="TotRow - Opmaakprofiel4 3 9 7 5" xfId="51904"/>
    <cellStyle name="TotRow - Opmaakprofiel4 3 9 8" xfId="7067"/>
    <cellStyle name="TotRow - Opmaakprofiel4 3 9 8 2" xfId="19365"/>
    <cellStyle name="TotRow - Opmaakprofiel4 3 9 8 3" xfId="41168"/>
    <cellStyle name="TotRow - Opmaakprofiel4 3 9 8 4" xfId="36995"/>
    <cellStyle name="TotRow - Opmaakprofiel4 3 9 8 5" xfId="52038"/>
    <cellStyle name="TotRow - Opmaakprofiel4 3 9 9" xfId="19198"/>
    <cellStyle name="TotRow - Opmaakprofiel4 4" xfId="360"/>
    <cellStyle name="TotRow - Opmaakprofiel4 4 10" xfId="2164"/>
    <cellStyle name="TotRow - Opmaakprofiel4 4 10 2" xfId="12430"/>
    <cellStyle name="TotRow - Opmaakprofiel4 4 10 2 2" xfId="24729"/>
    <cellStyle name="TotRow - Opmaakprofiel4 4 10 2 3" xfId="36781"/>
    <cellStyle name="TotRow - Opmaakprofiel4 4 10 2 4" xfId="47504"/>
    <cellStyle name="TotRow - Opmaakprofiel4 4 10 2 5" xfId="57395"/>
    <cellStyle name="TotRow - Opmaakprofiel4 4 10 3" xfId="19206"/>
    <cellStyle name="TotRow - Opmaakprofiel4 4 10 4" xfId="31258"/>
    <cellStyle name="TotRow - Opmaakprofiel4 4 10 5" xfId="43719"/>
    <cellStyle name="TotRow - Opmaakprofiel4 4 10 6" xfId="51905"/>
    <cellStyle name="TotRow - Opmaakprofiel4 4 11" xfId="1599"/>
    <cellStyle name="TotRow - Opmaakprofiel4 4 11 2" xfId="12431"/>
    <cellStyle name="TotRow - Opmaakprofiel4 4 11 2 2" xfId="24730"/>
    <cellStyle name="TotRow - Opmaakprofiel4 4 11 2 3" xfId="36782"/>
    <cellStyle name="TotRow - Opmaakprofiel4 4 11 2 4" xfId="47505"/>
    <cellStyle name="TotRow - Opmaakprofiel4 4 11 2 5" xfId="57396"/>
    <cellStyle name="TotRow - Opmaakprofiel4 4 11 3" xfId="19207"/>
    <cellStyle name="TotRow - Opmaakprofiel4 4 11 4" xfId="31259"/>
    <cellStyle name="TotRow - Opmaakprofiel4 4 11 5" xfId="37072"/>
    <cellStyle name="TotRow - Opmaakprofiel4 4 11 6" xfId="51906"/>
    <cellStyle name="TotRow - Opmaakprofiel4 4 12" xfId="1598"/>
    <cellStyle name="TotRow - Opmaakprofiel4 4 12 2" xfId="12432"/>
    <cellStyle name="TotRow - Opmaakprofiel4 4 12 2 2" xfId="24731"/>
    <cellStyle name="TotRow - Opmaakprofiel4 4 12 2 3" xfId="36783"/>
    <cellStyle name="TotRow - Opmaakprofiel4 4 12 2 4" xfId="47506"/>
    <cellStyle name="TotRow - Opmaakprofiel4 4 12 2 5" xfId="57397"/>
    <cellStyle name="TotRow - Opmaakprofiel4 4 12 3" xfId="19208"/>
    <cellStyle name="TotRow - Opmaakprofiel4 4 12 4" xfId="31260"/>
    <cellStyle name="TotRow - Opmaakprofiel4 4 12 5" xfId="37071"/>
    <cellStyle name="TotRow - Opmaakprofiel4 4 12 6" xfId="51907"/>
    <cellStyle name="TotRow - Opmaakprofiel4 4 13" xfId="6960"/>
    <cellStyle name="TotRow - Opmaakprofiel4 4 13 2" xfId="12433"/>
    <cellStyle name="TotRow - Opmaakprofiel4 4 13 2 2" xfId="24732"/>
    <cellStyle name="TotRow - Opmaakprofiel4 4 13 2 3" xfId="36784"/>
    <cellStyle name="TotRow - Opmaakprofiel4 4 13 2 4" xfId="47507"/>
    <cellStyle name="TotRow - Opmaakprofiel4 4 13 2 5" xfId="57398"/>
    <cellStyle name="TotRow - Opmaakprofiel4 4 13 3" xfId="19209"/>
    <cellStyle name="TotRow - Opmaakprofiel4 4 13 4" xfId="31261"/>
    <cellStyle name="TotRow - Opmaakprofiel4 4 13 5" xfId="43718"/>
    <cellStyle name="TotRow - Opmaakprofiel4 4 13 6" xfId="51908"/>
    <cellStyle name="TotRow - Opmaakprofiel4 4 14" xfId="6961"/>
    <cellStyle name="TotRow - Opmaakprofiel4 4 14 2" xfId="12434"/>
    <cellStyle name="TotRow - Opmaakprofiel4 4 14 2 2" xfId="24733"/>
    <cellStyle name="TotRow - Opmaakprofiel4 4 14 2 3" xfId="36785"/>
    <cellStyle name="TotRow - Opmaakprofiel4 4 14 2 4" xfId="47508"/>
    <cellStyle name="TotRow - Opmaakprofiel4 4 14 2 5" xfId="57399"/>
    <cellStyle name="TotRow - Opmaakprofiel4 4 14 3" xfId="19210"/>
    <cellStyle name="TotRow - Opmaakprofiel4 4 14 4" xfId="31262"/>
    <cellStyle name="TotRow - Opmaakprofiel4 4 14 5" xfId="37070"/>
    <cellStyle name="TotRow - Opmaakprofiel4 4 14 6" xfId="51909"/>
    <cellStyle name="TotRow - Opmaakprofiel4 4 15" xfId="6962"/>
    <cellStyle name="TotRow - Opmaakprofiel4 4 15 2" xfId="19211"/>
    <cellStyle name="TotRow - Opmaakprofiel4 4 15 3" xfId="31263"/>
    <cellStyle name="TotRow - Opmaakprofiel4 4 15 4" xfId="43717"/>
    <cellStyle name="TotRow - Opmaakprofiel4 4 15 5" xfId="51910"/>
    <cellStyle name="TotRow - Opmaakprofiel4 4 16" xfId="7741"/>
    <cellStyle name="TotRow - Opmaakprofiel4 4 16 2" xfId="20039"/>
    <cellStyle name="TotRow - Opmaakprofiel4 4 16 3" xfId="41842"/>
    <cellStyle name="TotRow - Opmaakprofiel4 4 16 4" xfId="25181"/>
    <cellStyle name="TotRow - Opmaakprofiel4 4 16 5" xfId="52711"/>
    <cellStyle name="TotRow - Opmaakprofiel4 4 17" xfId="19205"/>
    <cellStyle name="TotRow - Opmaakprofiel4 4 2" xfId="637"/>
    <cellStyle name="TotRow - Opmaakprofiel4 4 2 2" xfId="1979"/>
    <cellStyle name="TotRow - Opmaakprofiel4 4 2 2 2" xfId="12435"/>
    <cellStyle name="TotRow - Opmaakprofiel4 4 2 2 2 2" xfId="24734"/>
    <cellStyle name="TotRow - Opmaakprofiel4 4 2 2 2 3" xfId="36786"/>
    <cellStyle name="TotRow - Opmaakprofiel4 4 2 2 2 4" xfId="47509"/>
    <cellStyle name="TotRow - Opmaakprofiel4 4 2 2 2 5" xfId="57400"/>
    <cellStyle name="TotRow - Opmaakprofiel4 4 2 2 3" xfId="19213"/>
    <cellStyle name="TotRow - Opmaakprofiel4 4 2 2 4" xfId="31265"/>
    <cellStyle name="TotRow - Opmaakprofiel4 4 2 2 5" xfId="43716"/>
    <cellStyle name="TotRow - Opmaakprofiel4 4 2 2 6" xfId="51911"/>
    <cellStyle name="TotRow - Opmaakprofiel4 4 2 3" xfId="2703"/>
    <cellStyle name="TotRow - Opmaakprofiel4 4 2 3 2" xfId="12436"/>
    <cellStyle name="TotRow - Opmaakprofiel4 4 2 3 2 2" xfId="24735"/>
    <cellStyle name="TotRow - Opmaakprofiel4 4 2 3 2 3" xfId="36787"/>
    <cellStyle name="TotRow - Opmaakprofiel4 4 2 3 2 4" xfId="47510"/>
    <cellStyle name="TotRow - Opmaakprofiel4 4 2 3 2 5" xfId="57401"/>
    <cellStyle name="TotRow - Opmaakprofiel4 4 2 3 3" xfId="19214"/>
    <cellStyle name="TotRow - Opmaakprofiel4 4 2 3 4" xfId="31266"/>
    <cellStyle name="TotRow - Opmaakprofiel4 4 2 3 5" xfId="37069"/>
    <cellStyle name="TotRow - Opmaakprofiel4 4 2 3 6" xfId="51912"/>
    <cellStyle name="TotRow - Opmaakprofiel4 4 2 4" xfId="3574"/>
    <cellStyle name="TotRow - Opmaakprofiel4 4 2 4 2" xfId="12437"/>
    <cellStyle name="TotRow - Opmaakprofiel4 4 2 4 2 2" xfId="24736"/>
    <cellStyle name="TotRow - Opmaakprofiel4 4 2 4 2 3" xfId="36788"/>
    <cellStyle name="TotRow - Opmaakprofiel4 4 2 4 2 4" xfId="47511"/>
    <cellStyle name="TotRow - Opmaakprofiel4 4 2 4 2 5" xfId="57402"/>
    <cellStyle name="TotRow - Opmaakprofiel4 4 2 4 3" xfId="19215"/>
    <cellStyle name="TotRow - Opmaakprofiel4 4 2 4 4" xfId="31267"/>
    <cellStyle name="TotRow - Opmaakprofiel4 4 2 4 5" xfId="43715"/>
    <cellStyle name="TotRow - Opmaakprofiel4 4 2 4 6" xfId="51913"/>
    <cellStyle name="TotRow - Opmaakprofiel4 4 2 5" xfId="6963"/>
    <cellStyle name="TotRow - Opmaakprofiel4 4 2 5 2" xfId="12438"/>
    <cellStyle name="TotRow - Opmaakprofiel4 4 2 5 2 2" xfId="24737"/>
    <cellStyle name="TotRow - Opmaakprofiel4 4 2 5 2 3" xfId="36789"/>
    <cellStyle name="TotRow - Opmaakprofiel4 4 2 5 2 4" xfId="47512"/>
    <cellStyle name="TotRow - Opmaakprofiel4 4 2 5 2 5" xfId="57403"/>
    <cellStyle name="TotRow - Opmaakprofiel4 4 2 5 3" xfId="19216"/>
    <cellStyle name="TotRow - Opmaakprofiel4 4 2 5 4" xfId="31268"/>
    <cellStyle name="TotRow - Opmaakprofiel4 4 2 5 5" xfId="37068"/>
    <cellStyle name="TotRow - Opmaakprofiel4 4 2 5 6" xfId="51914"/>
    <cellStyle name="TotRow - Opmaakprofiel4 4 2 6" xfId="6964"/>
    <cellStyle name="TotRow - Opmaakprofiel4 4 2 6 2" xfId="12439"/>
    <cellStyle name="TotRow - Opmaakprofiel4 4 2 6 2 2" xfId="24738"/>
    <cellStyle name="TotRow - Opmaakprofiel4 4 2 6 2 3" xfId="36790"/>
    <cellStyle name="TotRow - Opmaakprofiel4 4 2 6 2 4" xfId="47513"/>
    <cellStyle name="TotRow - Opmaakprofiel4 4 2 6 2 5" xfId="57404"/>
    <cellStyle name="TotRow - Opmaakprofiel4 4 2 6 3" xfId="19217"/>
    <cellStyle name="TotRow - Opmaakprofiel4 4 2 6 4" xfId="31269"/>
    <cellStyle name="TotRow - Opmaakprofiel4 4 2 6 5" xfId="43714"/>
    <cellStyle name="TotRow - Opmaakprofiel4 4 2 6 6" xfId="51915"/>
    <cellStyle name="TotRow - Opmaakprofiel4 4 2 7" xfId="6965"/>
    <cellStyle name="TotRow - Opmaakprofiel4 4 2 7 2" xfId="19218"/>
    <cellStyle name="TotRow - Opmaakprofiel4 4 2 7 3" xfId="31270"/>
    <cellStyle name="TotRow - Opmaakprofiel4 4 2 7 4" xfId="37067"/>
    <cellStyle name="TotRow - Opmaakprofiel4 4 2 7 5" xfId="51916"/>
    <cellStyle name="TotRow - Opmaakprofiel4 4 2 8" xfId="7557"/>
    <cellStyle name="TotRow - Opmaakprofiel4 4 2 8 2" xfId="19855"/>
    <cellStyle name="TotRow - Opmaakprofiel4 4 2 8 3" xfId="41658"/>
    <cellStyle name="TotRow - Opmaakprofiel4 4 2 8 4" xfId="24803"/>
    <cellStyle name="TotRow - Opmaakprofiel4 4 2 8 5" xfId="52527"/>
    <cellStyle name="TotRow - Opmaakprofiel4 4 2 9" xfId="19212"/>
    <cellStyle name="TotRow - Opmaakprofiel4 4 3" xfId="429"/>
    <cellStyle name="TotRow - Opmaakprofiel4 4 3 2" xfId="2075"/>
    <cellStyle name="TotRow - Opmaakprofiel4 4 3 2 2" xfId="12440"/>
    <cellStyle name="TotRow - Opmaakprofiel4 4 3 2 2 2" xfId="24739"/>
    <cellStyle name="TotRow - Opmaakprofiel4 4 3 2 2 3" xfId="36791"/>
    <cellStyle name="TotRow - Opmaakprofiel4 4 3 2 2 4" xfId="47514"/>
    <cellStyle name="TotRow - Opmaakprofiel4 4 3 2 2 5" xfId="57405"/>
    <cellStyle name="TotRow - Opmaakprofiel4 4 3 2 3" xfId="19220"/>
    <cellStyle name="TotRow - Opmaakprofiel4 4 3 2 4" xfId="31272"/>
    <cellStyle name="TotRow - Opmaakprofiel4 4 3 2 5" xfId="37066"/>
    <cellStyle name="TotRow - Opmaakprofiel4 4 3 2 6" xfId="51917"/>
    <cellStyle name="TotRow - Opmaakprofiel4 4 3 3" xfId="2500"/>
    <cellStyle name="TotRow - Opmaakprofiel4 4 3 3 2" xfId="12441"/>
    <cellStyle name="TotRow - Opmaakprofiel4 4 3 3 2 2" xfId="24740"/>
    <cellStyle name="TotRow - Opmaakprofiel4 4 3 3 2 3" xfId="36792"/>
    <cellStyle name="TotRow - Opmaakprofiel4 4 3 3 2 4" xfId="47515"/>
    <cellStyle name="TotRow - Opmaakprofiel4 4 3 3 2 5" xfId="57406"/>
    <cellStyle name="TotRow - Opmaakprofiel4 4 3 3 3" xfId="19221"/>
    <cellStyle name="TotRow - Opmaakprofiel4 4 3 3 4" xfId="31273"/>
    <cellStyle name="TotRow - Opmaakprofiel4 4 3 3 5" xfId="43713"/>
    <cellStyle name="TotRow - Opmaakprofiel4 4 3 3 6" xfId="51918"/>
    <cellStyle name="TotRow - Opmaakprofiel4 4 3 4" xfId="1484"/>
    <cellStyle name="TotRow - Opmaakprofiel4 4 3 4 2" xfId="12442"/>
    <cellStyle name="TotRow - Opmaakprofiel4 4 3 4 2 2" xfId="24741"/>
    <cellStyle name="TotRow - Opmaakprofiel4 4 3 4 2 3" xfId="36793"/>
    <cellStyle name="TotRow - Opmaakprofiel4 4 3 4 2 4" xfId="47516"/>
    <cellStyle name="TotRow - Opmaakprofiel4 4 3 4 2 5" xfId="57407"/>
    <cellStyle name="TotRow - Opmaakprofiel4 4 3 4 3" xfId="19222"/>
    <cellStyle name="TotRow - Opmaakprofiel4 4 3 4 4" xfId="31274"/>
    <cellStyle name="TotRow - Opmaakprofiel4 4 3 4 5" xfId="37065"/>
    <cellStyle name="TotRow - Opmaakprofiel4 4 3 4 6" xfId="51919"/>
    <cellStyle name="TotRow - Opmaakprofiel4 4 3 5" xfId="6966"/>
    <cellStyle name="TotRow - Opmaakprofiel4 4 3 5 2" xfId="12443"/>
    <cellStyle name="TotRow - Opmaakprofiel4 4 3 5 2 2" xfId="24742"/>
    <cellStyle name="TotRow - Opmaakprofiel4 4 3 5 2 3" xfId="36794"/>
    <cellStyle name="TotRow - Opmaakprofiel4 4 3 5 2 4" xfId="47517"/>
    <cellStyle name="TotRow - Opmaakprofiel4 4 3 5 2 5" xfId="57408"/>
    <cellStyle name="TotRow - Opmaakprofiel4 4 3 5 3" xfId="19223"/>
    <cellStyle name="TotRow - Opmaakprofiel4 4 3 5 4" xfId="31275"/>
    <cellStyle name="TotRow - Opmaakprofiel4 4 3 5 5" xfId="43712"/>
    <cellStyle name="TotRow - Opmaakprofiel4 4 3 5 6" xfId="51920"/>
    <cellStyle name="TotRow - Opmaakprofiel4 4 3 6" xfId="6967"/>
    <cellStyle name="TotRow - Opmaakprofiel4 4 3 6 2" xfId="12444"/>
    <cellStyle name="TotRow - Opmaakprofiel4 4 3 6 2 2" xfId="24743"/>
    <cellStyle name="TotRow - Opmaakprofiel4 4 3 6 2 3" xfId="36795"/>
    <cellStyle name="TotRow - Opmaakprofiel4 4 3 6 2 4" xfId="47518"/>
    <cellStyle name="TotRow - Opmaakprofiel4 4 3 6 2 5" xfId="57409"/>
    <cellStyle name="TotRow - Opmaakprofiel4 4 3 6 3" xfId="19224"/>
    <cellStyle name="TotRow - Opmaakprofiel4 4 3 6 4" xfId="31276"/>
    <cellStyle name="TotRow - Opmaakprofiel4 4 3 6 5" xfId="37064"/>
    <cellStyle name="TotRow - Opmaakprofiel4 4 3 6 6" xfId="51921"/>
    <cellStyle name="TotRow - Opmaakprofiel4 4 3 7" xfId="6968"/>
    <cellStyle name="TotRow - Opmaakprofiel4 4 3 7 2" xfId="19225"/>
    <cellStyle name="TotRow - Opmaakprofiel4 4 3 7 3" xfId="31277"/>
    <cellStyle name="TotRow - Opmaakprofiel4 4 3 7 4" xfId="43711"/>
    <cellStyle name="TotRow - Opmaakprofiel4 4 3 7 5" xfId="51922"/>
    <cellStyle name="TotRow - Opmaakprofiel4 4 3 8" xfId="10381"/>
    <cellStyle name="TotRow - Opmaakprofiel4 4 3 8 2" xfId="22679"/>
    <cellStyle name="TotRow - Opmaakprofiel4 4 3 8 3" xfId="44439"/>
    <cellStyle name="TotRow - Opmaakprofiel4 4 3 8 4" xfId="29186"/>
    <cellStyle name="TotRow - Opmaakprofiel4 4 3 8 5" xfId="55346"/>
    <cellStyle name="TotRow - Opmaakprofiel4 4 3 9" xfId="19219"/>
    <cellStyle name="TotRow - Opmaakprofiel4 4 4" xfId="461"/>
    <cellStyle name="TotRow - Opmaakprofiel4 4 4 2" xfId="2221"/>
    <cellStyle name="TotRow - Opmaakprofiel4 4 4 2 2" xfId="12445"/>
    <cellStyle name="TotRow - Opmaakprofiel4 4 4 2 2 2" xfId="24744"/>
    <cellStyle name="TotRow - Opmaakprofiel4 4 4 2 2 3" xfId="36796"/>
    <cellStyle name="TotRow - Opmaakprofiel4 4 4 2 2 4" xfId="47519"/>
    <cellStyle name="TotRow - Opmaakprofiel4 4 4 2 2 5" xfId="57410"/>
    <cellStyle name="TotRow - Opmaakprofiel4 4 4 2 3" xfId="19227"/>
    <cellStyle name="TotRow - Opmaakprofiel4 4 4 2 4" xfId="31279"/>
    <cellStyle name="TotRow - Opmaakprofiel4 4 4 2 5" xfId="43710"/>
    <cellStyle name="TotRow - Opmaakprofiel4 4 4 2 6" xfId="51923"/>
    <cellStyle name="TotRow - Opmaakprofiel4 4 4 3" xfId="2532"/>
    <cellStyle name="TotRow - Opmaakprofiel4 4 4 3 2" xfId="12446"/>
    <cellStyle name="TotRow - Opmaakprofiel4 4 4 3 2 2" xfId="24745"/>
    <cellStyle name="TotRow - Opmaakprofiel4 4 4 3 2 3" xfId="36797"/>
    <cellStyle name="TotRow - Opmaakprofiel4 4 4 3 2 4" xfId="47520"/>
    <cellStyle name="TotRow - Opmaakprofiel4 4 4 3 2 5" xfId="57411"/>
    <cellStyle name="TotRow - Opmaakprofiel4 4 4 3 3" xfId="19228"/>
    <cellStyle name="TotRow - Opmaakprofiel4 4 4 3 4" xfId="31280"/>
    <cellStyle name="TotRow - Opmaakprofiel4 4 4 3 5" xfId="37063"/>
    <cellStyle name="TotRow - Opmaakprofiel4 4 4 3 6" xfId="51924"/>
    <cellStyle name="TotRow - Opmaakprofiel4 4 4 4" xfId="3420"/>
    <cellStyle name="TotRow - Opmaakprofiel4 4 4 4 2" xfId="12447"/>
    <cellStyle name="TotRow - Opmaakprofiel4 4 4 4 2 2" xfId="24746"/>
    <cellStyle name="TotRow - Opmaakprofiel4 4 4 4 2 3" xfId="36798"/>
    <cellStyle name="TotRow - Opmaakprofiel4 4 4 4 2 4" xfId="47521"/>
    <cellStyle name="TotRow - Opmaakprofiel4 4 4 4 2 5" xfId="57412"/>
    <cellStyle name="TotRow - Opmaakprofiel4 4 4 4 3" xfId="19229"/>
    <cellStyle name="TotRow - Opmaakprofiel4 4 4 4 4" xfId="31281"/>
    <cellStyle name="TotRow - Opmaakprofiel4 4 4 4 5" xfId="43709"/>
    <cellStyle name="TotRow - Opmaakprofiel4 4 4 4 6" xfId="51925"/>
    <cellStyle name="TotRow - Opmaakprofiel4 4 4 5" xfId="6969"/>
    <cellStyle name="TotRow - Opmaakprofiel4 4 4 5 2" xfId="12448"/>
    <cellStyle name="TotRow - Opmaakprofiel4 4 4 5 2 2" xfId="24747"/>
    <cellStyle name="TotRow - Opmaakprofiel4 4 4 5 2 3" xfId="36799"/>
    <cellStyle name="TotRow - Opmaakprofiel4 4 4 5 2 4" xfId="47522"/>
    <cellStyle name="TotRow - Opmaakprofiel4 4 4 5 2 5" xfId="57413"/>
    <cellStyle name="TotRow - Opmaakprofiel4 4 4 5 3" xfId="19230"/>
    <cellStyle name="TotRow - Opmaakprofiel4 4 4 5 4" xfId="31282"/>
    <cellStyle name="TotRow - Opmaakprofiel4 4 4 5 5" xfId="37062"/>
    <cellStyle name="TotRow - Opmaakprofiel4 4 4 5 6" xfId="51926"/>
    <cellStyle name="TotRow - Opmaakprofiel4 4 4 6" xfId="6970"/>
    <cellStyle name="TotRow - Opmaakprofiel4 4 4 6 2" xfId="12449"/>
    <cellStyle name="TotRow - Opmaakprofiel4 4 4 6 2 2" xfId="24748"/>
    <cellStyle name="TotRow - Opmaakprofiel4 4 4 6 2 3" xfId="36800"/>
    <cellStyle name="TotRow - Opmaakprofiel4 4 4 6 2 4" xfId="47523"/>
    <cellStyle name="TotRow - Opmaakprofiel4 4 4 6 2 5" xfId="57414"/>
    <cellStyle name="TotRow - Opmaakprofiel4 4 4 6 3" xfId="19231"/>
    <cellStyle name="TotRow - Opmaakprofiel4 4 4 6 4" xfId="31283"/>
    <cellStyle name="TotRow - Opmaakprofiel4 4 4 6 5" xfId="37061"/>
    <cellStyle name="TotRow - Opmaakprofiel4 4 4 6 6" xfId="51927"/>
    <cellStyle name="TotRow - Opmaakprofiel4 4 4 7" xfId="6971"/>
    <cellStyle name="TotRow - Opmaakprofiel4 4 4 7 2" xfId="19232"/>
    <cellStyle name="TotRow - Opmaakprofiel4 4 4 7 3" xfId="31284"/>
    <cellStyle name="TotRow - Opmaakprofiel4 4 4 7 4" xfId="37060"/>
    <cellStyle name="TotRow - Opmaakprofiel4 4 4 7 5" xfId="51928"/>
    <cellStyle name="TotRow - Opmaakprofiel4 4 4 8" xfId="7675"/>
    <cellStyle name="TotRow - Opmaakprofiel4 4 4 8 2" xfId="19973"/>
    <cellStyle name="TotRow - Opmaakprofiel4 4 4 8 3" xfId="41776"/>
    <cellStyle name="TotRow - Opmaakprofiel4 4 4 8 4" xfId="32037"/>
    <cellStyle name="TotRow - Opmaakprofiel4 4 4 8 5" xfId="52645"/>
    <cellStyle name="TotRow - Opmaakprofiel4 4 4 9" xfId="19226"/>
    <cellStyle name="TotRow - Opmaakprofiel4 4 5" xfId="1136"/>
    <cellStyle name="TotRow - Opmaakprofiel4 4 5 2" xfId="2471"/>
    <cellStyle name="TotRow - Opmaakprofiel4 4 5 2 2" xfId="12450"/>
    <cellStyle name="TotRow - Opmaakprofiel4 4 5 2 2 2" xfId="24749"/>
    <cellStyle name="TotRow - Opmaakprofiel4 4 5 2 2 3" xfId="36801"/>
    <cellStyle name="TotRow - Opmaakprofiel4 4 5 2 2 4" xfId="47524"/>
    <cellStyle name="TotRow - Opmaakprofiel4 4 5 2 2 5" xfId="57415"/>
    <cellStyle name="TotRow - Opmaakprofiel4 4 5 2 3" xfId="19234"/>
    <cellStyle name="TotRow - Opmaakprofiel4 4 5 2 4" xfId="31286"/>
    <cellStyle name="TotRow - Opmaakprofiel4 4 5 2 5" xfId="37059"/>
    <cellStyle name="TotRow - Opmaakprofiel4 4 5 2 6" xfId="51929"/>
    <cellStyle name="TotRow - Opmaakprofiel4 4 5 3" xfId="3147"/>
    <cellStyle name="TotRow - Opmaakprofiel4 4 5 3 2" xfId="12451"/>
    <cellStyle name="TotRow - Opmaakprofiel4 4 5 3 2 2" xfId="24750"/>
    <cellStyle name="TotRow - Opmaakprofiel4 4 5 3 2 3" xfId="36802"/>
    <cellStyle name="TotRow - Opmaakprofiel4 4 5 3 2 4" xfId="47525"/>
    <cellStyle name="TotRow - Opmaakprofiel4 4 5 3 2 5" xfId="57416"/>
    <cellStyle name="TotRow - Opmaakprofiel4 4 5 3 3" xfId="19235"/>
    <cellStyle name="TotRow - Opmaakprofiel4 4 5 3 4" xfId="31287"/>
    <cellStyle name="TotRow - Opmaakprofiel4 4 5 3 5" xfId="43708"/>
    <cellStyle name="TotRow - Opmaakprofiel4 4 5 3 6" xfId="51930"/>
    <cellStyle name="TotRow - Opmaakprofiel4 4 5 4" xfId="3975"/>
    <cellStyle name="TotRow - Opmaakprofiel4 4 5 4 2" xfId="12452"/>
    <cellStyle name="TotRow - Opmaakprofiel4 4 5 4 2 2" xfId="24751"/>
    <cellStyle name="TotRow - Opmaakprofiel4 4 5 4 2 3" xfId="36803"/>
    <cellStyle name="TotRow - Opmaakprofiel4 4 5 4 2 4" xfId="47526"/>
    <cellStyle name="TotRow - Opmaakprofiel4 4 5 4 2 5" xfId="57417"/>
    <cellStyle name="TotRow - Opmaakprofiel4 4 5 4 3" xfId="19236"/>
    <cellStyle name="TotRow - Opmaakprofiel4 4 5 4 4" xfId="31288"/>
    <cellStyle name="TotRow - Opmaakprofiel4 4 5 4 5" xfId="37058"/>
    <cellStyle name="TotRow - Opmaakprofiel4 4 5 4 6" xfId="51931"/>
    <cellStyle name="TotRow - Opmaakprofiel4 4 5 5" xfId="6972"/>
    <cellStyle name="TotRow - Opmaakprofiel4 4 5 5 2" xfId="12453"/>
    <cellStyle name="TotRow - Opmaakprofiel4 4 5 5 2 2" xfId="24752"/>
    <cellStyle name="TotRow - Opmaakprofiel4 4 5 5 2 3" xfId="36804"/>
    <cellStyle name="TotRow - Opmaakprofiel4 4 5 5 2 4" xfId="47527"/>
    <cellStyle name="TotRow - Opmaakprofiel4 4 5 5 2 5" xfId="57418"/>
    <cellStyle name="TotRow - Opmaakprofiel4 4 5 5 3" xfId="19237"/>
    <cellStyle name="TotRow - Opmaakprofiel4 4 5 5 4" xfId="31289"/>
    <cellStyle name="TotRow - Opmaakprofiel4 4 5 5 5" xfId="43707"/>
    <cellStyle name="TotRow - Opmaakprofiel4 4 5 5 6" xfId="51932"/>
    <cellStyle name="TotRow - Opmaakprofiel4 4 5 6" xfId="6973"/>
    <cellStyle name="TotRow - Opmaakprofiel4 4 5 6 2" xfId="12454"/>
    <cellStyle name="TotRow - Opmaakprofiel4 4 5 6 2 2" xfId="24753"/>
    <cellStyle name="TotRow - Opmaakprofiel4 4 5 6 2 3" xfId="36805"/>
    <cellStyle name="TotRow - Opmaakprofiel4 4 5 6 2 4" xfId="47528"/>
    <cellStyle name="TotRow - Opmaakprofiel4 4 5 6 2 5" xfId="57419"/>
    <cellStyle name="TotRow - Opmaakprofiel4 4 5 6 3" xfId="19238"/>
    <cellStyle name="TotRow - Opmaakprofiel4 4 5 6 4" xfId="31290"/>
    <cellStyle name="TotRow - Opmaakprofiel4 4 5 6 5" xfId="37057"/>
    <cellStyle name="TotRow - Opmaakprofiel4 4 5 6 6" xfId="51933"/>
    <cellStyle name="TotRow - Opmaakprofiel4 4 5 7" xfId="6974"/>
    <cellStyle name="TotRow - Opmaakprofiel4 4 5 7 2" xfId="19239"/>
    <cellStyle name="TotRow - Opmaakprofiel4 4 5 7 3" xfId="31291"/>
    <cellStyle name="TotRow - Opmaakprofiel4 4 5 7 4" xfId="43706"/>
    <cellStyle name="TotRow - Opmaakprofiel4 4 5 7 5" xfId="51934"/>
    <cellStyle name="TotRow - Opmaakprofiel4 4 5 8" xfId="9909"/>
    <cellStyle name="TotRow - Opmaakprofiel4 4 5 8 2" xfId="22207"/>
    <cellStyle name="TotRow - Opmaakprofiel4 4 5 8 3" xfId="43974"/>
    <cellStyle name="TotRow - Opmaakprofiel4 4 5 8 4" xfId="28343"/>
    <cellStyle name="TotRow - Opmaakprofiel4 4 5 8 5" xfId="54874"/>
    <cellStyle name="TotRow - Opmaakprofiel4 4 5 9" xfId="19233"/>
    <cellStyle name="TotRow - Opmaakprofiel4 4 6" xfId="666"/>
    <cellStyle name="TotRow - Opmaakprofiel4 4 6 2" xfId="1923"/>
    <cellStyle name="TotRow - Opmaakprofiel4 4 6 2 2" xfId="12455"/>
    <cellStyle name="TotRow - Opmaakprofiel4 4 6 2 2 2" xfId="24754"/>
    <cellStyle name="TotRow - Opmaakprofiel4 4 6 2 2 3" xfId="36806"/>
    <cellStyle name="TotRow - Opmaakprofiel4 4 6 2 2 4" xfId="47529"/>
    <cellStyle name="TotRow - Opmaakprofiel4 4 6 2 2 5" xfId="57420"/>
    <cellStyle name="TotRow - Opmaakprofiel4 4 6 2 3" xfId="19241"/>
    <cellStyle name="TotRow - Opmaakprofiel4 4 6 2 4" xfId="31293"/>
    <cellStyle name="TotRow - Opmaakprofiel4 4 6 2 5" xfId="43705"/>
    <cellStyle name="TotRow - Opmaakprofiel4 4 6 2 6" xfId="51935"/>
    <cellStyle name="TotRow - Opmaakprofiel4 4 6 3" xfId="2732"/>
    <cellStyle name="TotRow - Opmaakprofiel4 4 6 3 2" xfId="12456"/>
    <cellStyle name="TotRow - Opmaakprofiel4 4 6 3 2 2" xfId="24755"/>
    <cellStyle name="TotRow - Opmaakprofiel4 4 6 3 2 3" xfId="36807"/>
    <cellStyle name="TotRow - Opmaakprofiel4 4 6 3 2 4" xfId="47530"/>
    <cellStyle name="TotRow - Opmaakprofiel4 4 6 3 2 5" xfId="57421"/>
    <cellStyle name="TotRow - Opmaakprofiel4 4 6 3 3" xfId="19242"/>
    <cellStyle name="TotRow - Opmaakprofiel4 4 6 3 4" xfId="31294"/>
    <cellStyle name="TotRow - Opmaakprofiel4 4 6 3 5" xfId="37056"/>
    <cellStyle name="TotRow - Opmaakprofiel4 4 6 3 6" xfId="51936"/>
    <cellStyle name="TotRow - Opmaakprofiel4 4 6 4" xfId="3599"/>
    <cellStyle name="TotRow - Opmaakprofiel4 4 6 4 2" xfId="12457"/>
    <cellStyle name="TotRow - Opmaakprofiel4 4 6 4 2 2" xfId="24756"/>
    <cellStyle name="TotRow - Opmaakprofiel4 4 6 4 2 3" xfId="36808"/>
    <cellStyle name="TotRow - Opmaakprofiel4 4 6 4 2 4" xfId="47531"/>
    <cellStyle name="TotRow - Opmaakprofiel4 4 6 4 2 5" xfId="57422"/>
    <cellStyle name="TotRow - Opmaakprofiel4 4 6 4 3" xfId="19243"/>
    <cellStyle name="TotRow - Opmaakprofiel4 4 6 4 4" xfId="31295"/>
    <cellStyle name="TotRow - Opmaakprofiel4 4 6 4 5" xfId="37055"/>
    <cellStyle name="TotRow - Opmaakprofiel4 4 6 4 6" xfId="51937"/>
    <cellStyle name="TotRow - Opmaakprofiel4 4 6 5" xfId="6975"/>
    <cellStyle name="TotRow - Opmaakprofiel4 4 6 5 2" xfId="12458"/>
    <cellStyle name="TotRow - Opmaakprofiel4 4 6 5 2 2" xfId="24757"/>
    <cellStyle name="TotRow - Opmaakprofiel4 4 6 5 2 3" xfId="36809"/>
    <cellStyle name="TotRow - Opmaakprofiel4 4 6 5 2 4" xfId="47532"/>
    <cellStyle name="TotRow - Opmaakprofiel4 4 6 5 2 5" xfId="57423"/>
    <cellStyle name="TotRow - Opmaakprofiel4 4 6 5 3" xfId="19244"/>
    <cellStyle name="TotRow - Opmaakprofiel4 4 6 5 4" xfId="31296"/>
    <cellStyle name="TotRow - Opmaakprofiel4 4 6 5 5" xfId="37054"/>
    <cellStyle name="TotRow - Opmaakprofiel4 4 6 5 6" xfId="51938"/>
    <cellStyle name="TotRow - Opmaakprofiel4 4 6 6" xfId="6976"/>
    <cellStyle name="TotRow - Opmaakprofiel4 4 6 6 2" xfId="12459"/>
    <cellStyle name="TotRow - Opmaakprofiel4 4 6 6 2 2" xfId="24758"/>
    <cellStyle name="TotRow - Opmaakprofiel4 4 6 6 2 3" xfId="36810"/>
    <cellStyle name="TotRow - Opmaakprofiel4 4 6 6 2 4" xfId="47533"/>
    <cellStyle name="TotRow - Opmaakprofiel4 4 6 6 2 5" xfId="57424"/>
    <cellStyle name="TotRow - Opmaakprofiel4 4 6 6 3" xfId="19245"/>
    <cellStyle name="TotRow - Opmaakprofiel4 4 6 6 4" xfId="31297"/>
    <cellStyle name="TotRow - Opmaakprofiel4 4 6 6 5" xfId="43704"/>
    <cellStyle name="TotRow - Opmaakprofiel4 4 6 6 6" xfId="51939"/>
    <cellStyle name="TotRow - Opmaakprofiel4 4 6 7" xfId="6977"/>
    <cellStyle name="TotRow - Opmaakprofiel4 4 6 7 2" xfId="19246"/>
    <cellStyle name="TotRow - Opmaakprofiel4 4 6 7 3" xfId="31298"/>
    <cellStyle name="TotRow - Opmaakprofiel4 4 6 7 4" xfId="37053"/>
    <cellStyle name="TotRow - Opmaakprofiel4 4 6 7 5" xfId="51940"/>
    <cellStyle name="TotRow - Opmaakprofiel4 4 6 8" xfId="7538"/>
    <cellStyle name="TotRow - Opmaakprofiel4 4 6 8 2" xfId="19836"/>
    <cellStyle name="TotRow - Opmaakprofiel4 4 6 8 3" xfId="41639"/>
    <cellStyle name="TotRow - Opmaakprofiel4 4 6 8 4" xfId="43467"/>
    <cellStyle name="TotRow - Opmaakprofiel4 4 6 8 5" xfId="52508"/>
    <cellStyle name="TotRow - Opmaakprofiel4 4 6 9" xfId="19240"/>
    <cellStyle name="TotRow - Opmaakprofiel4 4 7" xfId="418"/>
    <cellStyle name="TotRow - Opmaakprofiel4 4 7 2" xfId="1902"/>
    <cellStyle name="TotRow - Opmaakprofiel4 4 7 2 2" xfId="12460"/>
    <cellStyle name="TotRow - Opmaakprofiel4 4 7 2 2 2" xfId="24759"/>
    <cellStyle name="TotRow - Opmaakprofiel4 4 7 2 2 3" xfId="36811"/>
    <cellStyle name="TotRow - Opmaakprofiel4 4 7 2 2 4" xfId="47534"/>
    <cellStyle name="TotRow - Opmaakprofiel4 4 7 2 2 5" xfId="57425"/>
    <cellStyle name="TotRow - Opmaakprofiel4 4 7 2 3" xfId="19248"/>
    <cellStyle name="TotRow - Opmaakprofiel4 4 7 2 4" xfId="31300"/>
    <cellStyle name="TotRow - Opmaakprofiel4 4 7 2 5" xfId="37052"/>
    <cellStyle name="TotRow - Opmaakprofiel4 4 7 2 6" xfId="51941"/>
    <cellStyle name="TotRow - Opmaakprofiel4 4 7 3" xfId="2489"/>
    <cellStyle name="TotRow - Opmaakprofiel4 4 7 3 2" xfId="12461"/>
    <cellStyle name="TotRow - Opmaakprofiel4 4 7 3 2 2" xfId="24760"/>
    <cellStyle name="TotRow - Opmaakprofiel4 4 7 3 2 3" xfId="36812"/>
    <cellStyle name="TotRow - Opmaakprofiel4 4 7 3 2 4" xfId="47535"/>
    <cellStyle name="TotRow - Opmaakprofiel4 4 7 3 2 5" xfId="57426"/>
    <cellStyle name="TotRow - Opmaakprofiel4 4 7 3 3" xfId="19249"/>
    <cellStyle name="TotRow - Opmaakprofiel4 4 7 3 4" xfId="31301"/>
    <cellStyle name="TotRow - Opmaakprofiel4 4 7 3 5" xfId="43703"/>
    <cellStyle name="TotRow - Opmaakprofiel4 4 7 3 6" xfId="51942"/>
    <cellStyle name="TotRow - Opmaakprofiel4 4 7 4" xfId="1982"/>
    <cellStyle name="TotRow - Opmaakprofiel4 4 7 4 2" xfId="12462"/>
    <cellStyle name="TotRow - Opmaakprofiel4 4 7 4 2 2" xfId="24761"/>
    <cellStyle name="TotRow - Opmaakprofiel4 4 7 4 2 3" xfId="36813"/>
    <cellStyle name="TotRow - Opmaakprofiel4 4 7 4 2 4" xfId="47536"/>
    <cellStyle name="TotRow - Opmaakprofiel4 4 7 4 2 5" xfId="57427"/>
    <cellStyle name="TotRow - Opmaakprofiel4 4 7 4 3" xfId="19250"/>
    <cellStyle name="TotRow - Opmaakprofiel4 4 7 4 4" xfId="31302"/>
    <cellStyle name="TotRow - Opmaakprofiel4 4 7 4 5" xfId="37051"/>
    <cellStyle name="TotRow - Opmaakprofiel4 4 7 4 6" xfId="51943"/>
    <cellStyle name="TotRow - Opmaakprofiel4 4 7 5" xfId="6978"/>
    <cellStyle name="TotRow - Opmaakprofiel4 4 7 5 2" xfId="12463"/>
    <cellStyle name="TotRow - Opmaakprofiel4 4 7 5 2 2" xfId="24762"/>
    <cellStyle name="TotRow - Opmaakprofiel4 4 7 5 2 3" xfId="36814"/>
    <cellStyle name="TotRow - Opmaakprofiel4 4 7 5 2 4" xfId="47537"/>
    <cellStyle name="TotRow - Opmaakprofiel4 4 7 5 2 5" xfId="57428"/>
    <cellStyle name="TotRow - Opmaakprofiel4 4 7 5 3" xfId="19251"/>
    <cellStyle name="TotRow - Opmaakprofiel4 4 7 5 4" xfId="31303"/>
    <cellStyle name="TotRow - Opmaakprofiel4 4 7 5 5" xfId="43702"/>
    <cellStyle name="TotRow - Opmaakprofiel4 4 7 5 6" xfId="51944"/>
    <cellStyle name="TotRow - Opmaakprofiel4 4 7 6" xfId="6979"/>
    <cellStyle name="TotRow - Opmaakprofiel4 4 7 6 2" xfId="12464"/>
    <cellStyle name="TotRow - Opmaakprofiel4 4 7 6 2 2" xfId="24763"/>
    <cellStyle name="TotRow - Opmaakprofiel4 4 7 6 2 3" xfId="36815"/>
    <cellStyle name="TotRow - Opmaakprofiel4 4 7 6 2 4" xfId="47538"/>
    <cellStyle name="TotRow - Opmaakprofiel4 4 7 6 2 5" xfId="57429"/>
    <cellStyle name="TotRow - Opmaakprofiel4 4 7 6 3" xfId="19252"/>
    <cellStyle name="TotRow - Opmaakprofiel4 4 7 6 4" xfId="31304"/>
    <cellStyle name="TotRow - Opmaakprofiel4 4 7 6 5" xfId="37050"/>
    <cellStyle name="TotRow - Opmaakprofiel4 4 7 6 6" xfId="51945"/>
    <cellStyle name="TotRow - Opmaakprofiel4 4 7 7" xfId="6980"/>
    <cellStyle name="TotRow - Opmaakprofiel4 4 7 7 2" xfId="19253"/>
    <cellStyle name="TotRow - Opmaakprofiel4 4 7 7 3" xfId="31305"/>
    <cellStyle name="TotRow - Opmaakprofiel4 4 7 7 4" xfId="43701"/>
    <cellStyle name="TotRow - Opmaakprofiel4 4 7 7 5" xfId="51946"/>
    <cellStyle name="TotRow - Opmaakprofiel4 4 7 8" xfId="10392"/>
    <cellStyle name="TotRow - Opmaakprofiel4 4 7 8 2" xfId="22690"/>
    <cellStyle name="TotRow - Opmaakprofiel4 4 7 8 3" xfId="44450"/>
    <cellStyle name="TotRow - Opmaakprofiel4 4 7 8 4" xfId="42294"/>
    <cellStyle name="TotRow - Opmaakprofiel4 4 7 8 5" xfId="55357"/>
    <cellStyle name="TotRow - Opmaakprofiel4 4 7 9" xfId="19247"/>
    <cellStyle name="TotRow - Opmaakprofiel4 4 8" xfId="1326"/>
    <cellStyle name="TotRow - Opmaakprofiel4 4 8 2" xfId="2076"/>
    <cellStyle name="TotRow - Opmaakprofiel4 4 8 2 2" xfId="12465"/>
    <cellStyle name="TotRow - Opmaakprofiel4 4 8 2 2 2" xfId="24764"/>
    <cellStyle name="TotRow - Opmaakprofiel4 4 8 2 2 3" xfId="36816"/>
    <cellStyle name="TotRow - Opmaakprofiel4 4 8 2 2 4" xfId="47539"/>
    <cellStyle name="TotRow - Opmaakprofiel4 4 8 2 2 5" xfId="57430"/>
    <cellStyle name="TotRow - Opmaakprofiel4 4 8 2 3" xfId="19255"/>
    <cellStyle name="TotRow - Opmaakprofiel4 4 8 2 4" xfId="31307"/>
    <cellStyle name="TotRow - Opmaakprofiel4 4 8 2 5" xfId="37049"/>
    <cellStyle name="TotRow - Opmaakprofiel4 4 8 2 6" xfId="51947"/>
    <cellStyle name="TotRow - Opmaakprofiel4 4 8 3" xfId="3337"/>
    <cellStyle name="TotRow - Opmaakprofiel4 4 8 3 2" xfId="12466"/>
    <cellStyle name="TotRow - Opmaakprofiel4 4 8 3 2 2" xfId="24765"/>
    <cellStyle name="TotRow - Opmaakprofiel4 4 8 3 2 3" xfId="36817"/>
    <cellStyle name="TotRow - Opmaakprofiel4 4 8 3 2 4" xfId="47540"/>
    <cellStyle name="TotRow - Opmaakprofiel4 4 8 3 2 5" xfId="57431"/>
    <cellStyle name="TotRow - Opmaakprofiel4 4 8 3 3" xfId="19256"/>
    <cellStyle name="TotRow - Opmaakprofiel4 4 8 3 4" xfId="31308"/>
    <cellStyle name="TotRow - Opmaakprofiel4 4 8 3 5" xfId="37048"/>
    <cellStyle name="TotRow - Opmaakprofiel4 4 8 3 6" xfId="51948"/>
    <cellStyle name="TotRow - Opmaakprofiel4 4 8 4" xfId="4118"/>
    <cellStyle name="TotRow - Opmaakprofiel4 4 8 4 2" xfId="12467"/>
    <cellStyle name="TotRow - Opmaakprofiel4 4 8 4 2 2" xfId="24766"/>
    <cellStyle name="TotRow - Opmaakprofiel4 4 8 4 2 3" xfId="36818"/>
    <cellStyle name="TotRow - Opmaakprofiel4 4 8 4 2 4" xfId="47541"/>
    <cellStyle name="TotRow - Opmaakprofiel4 4 8 4 2 5" xfId="57432"/>
    <cellStyle name="TotRow - Opmaakprofiel4 4 8 4 3" xfId="19257"/>
    <cellStyle name="TotRow - Opmaakprofiel4 4 8 4 4" xfId="31309"/>
    <cellStyle name="TotRow - Opmaakprofiel4 4 8 4 5" xfId="43700"/>
    <cellStyle name="TotRow - Opmaakprofiel4 4 8 4 6" xfId="51949"/>
    <cellStyle name="TotRow - Opmaakprofiel4 4 8 5" xfId="6981"/>
    <cellStyle name="TotRow - Opmaakprofiel4 4 8 5 2" xfId="12468"/>
    <cellStyle name="TotRow - Opmaakprofiel4 4 8 5 2 2" xfId="24767"/>
    <cellStyle name="TotRow - Opmaakprofiel4 4 8 5 2 3" xfId="36819"/>
    <cellStyle name="TotRow - Opmaakprofiel4 4 8 5 2 4" xfId="47542"/>
    <cellStyle name="TotRow - Opmaakprofiel4 4 8 5 2 5" xfId="57433"/>
    <cellStyle name="TotRow - Opmaakprofiel4 4 8 5 3" xfId="19258"/>
    <cellStyle name="TotRow - Opmaakprofiel4 4 8 5 4" xfId="31310"/>
    <cellStyle name="TotRow - Opmaakprofiel4 4 8 5 5" xfId="37047"/>
    <cellStyle name="TotRow - Opmaakprofiel4 4 8 5 6" xfId="51950"/>
    <cellStyle name="TotRow - Opmaakprofiel4 4 8 6" xfId="6982"/>
    <cellStyle name="TotRow - Opmaakprofiel4 4 8 6 2" xfId="12469"/>
    <cellStyle name="TotRow - Opmaakprofiel4 4 8 6 2 2" xfId="24768"/>
    <cellStyle name="TotRow - Opmaakprofiel4 4 8 6 2 3" xfId="36820"/>
    <cellStyle name="TotRow - Opmaakprofiel4 4 8 6 2 4" xfId="47543"/>
    <cellStyle name="TotRow - Opmaakprofiel4 4 8 6 2 5" xfId="57434"/>
    <cellStyle name="TotRow - Opmaakprofiel4 4 8 6 3" xfId="19259"/>
    <cellStyle name="TotRow - Opmaakprofiel4 4 8 6 4" xfId="31311"/>
    <cellStyle name="TotRow - Opmaakprofiel4 4 8 6 5" xfId="43699"/>
    <cellStyle name="TotRow - Opmaakprofiel4 4 8 6 6" xfId="51951"/>
    <cellStyle name="TotRow - Opmaakprofiel4 4 8 7" xfId="6983"/>
    <cellStyle name="TotRow - Opmaakprofiel4 4 8 7 2" xfId="19260"/>
    <cellStyle name="TotRow - Opmaakprofiel4 4 8 7 3" xfId="31312"/>
    <cellStyle name="TotRow - Opmaakprofiel4 4 8 7 4" xfId="37046"/>
    <cellStyle name="TotRow - Opmaakprofiel4 4 8 7 5" xfId="51952"/>
    <cellStyle name="TotRow - Opmaakprofiel4 4 8 8" xfId="7053"/>
    <cellStyle name="TotRow - Opmaakprofiel4 4 8 8 2" xfId="19351"/>
    <cellStyle name="TotRow - Opmaakprofiel4 4 8 8 3" xfId="41154"/>
    <cellStyle name="TotRow - Opmaakprofiel4 4 8 8 4" xfId="43670"/>
    <cellStyle name="TotRow - Opmaakprofiel4 4 8 8 5" xfId="52024"/>
    <cellStyle name="TotRow - Opmaakprofiel4 4 8 9" xfId="19254"/>
    <cellStyle name="TotRow - Opmaakprofiel4 4 9" xfId="1382"/>
    <cellStyle name="TotRow - Opmaakprofiel4 4 9 2" xfId="183"/>
    <cellStyle name="TotRow - Opmaakprofiel4 4 9 2 2" xfId="12470"/>
    <cellStyle name="TotRow - Opmaakprofiel4 4 9 2 2 2" xfId="24769"/>
    <cellStyle name="TotRow - Opmaakprofiel4 4 9 2 2 3" xfId="36821"/>
    <cellStyle name="TotRow - Opmaakprofiel4 4 9 2 2 4" xfId="47544"/>
    <cellStyle name="TotRow - Opmaakprofiel4 4 9 2 2 5" xfId="57435"/>
    <cellStyle name="TotRow - Opmaakprofiel4 4 9 2 3" xfId="19262"/>
    <cellStyle name="TotRow - Opmaakprofiel4 4 9 2 4" xfId="31314"/>
    <cellStyle name="TotRow - Opmaakprofiel4 4 9 2 5" xfId="37045"/>
    <cellStyle name="TotRow - Opmaakprofiel4 4 9 2 6" xfId="51953"/>
    <cellStyle name="TotRow - Opmaakprofiel4 4 9 3" xfId="3393"/>
    <cellStyle name="TotRow - Opmaakprofiel4 4 9 3 2" xfId="12471"/>
    <cellStyle name="TotRow - Opmaakprofiel4 4 9 3 2 2" xfId="24770"/>
    <cellStyle name="TotRow - Opmaakprofiel4 4 9 3 2 3" xfId="36822"/>
    <cellStyle name="TotRow - Opmaakprofiel4 4 9 3 2 4" xfId="47545"/>
    <cellStyle name="TotRow - Opmaakprofiel4 4 9 3 2 5" xfId="57436"/>
    <cellStyle name="TotRow - Opmaakprofiel4 4 9 3 3" xfId="19263"/>
    <cellStyle name="TotRow - Opmaakprofiel4 4 9 3 4" xfId="31315"/>
    <cellStyle name="TotRow - Opmaakprofiel4 4 9 3 5" xfId="43698"/>
    <cellStyle name="TotRow - Opmaakprofiel4 4 9 3 6" xfId="51954"/>
    <cellStyle name="TotRow - Opmaakprofiel4 4 9 4" xfId="4154"/>
    <cellStyle name="TotRow - Opmaakprofiel4 4 9 4 2" xfId="12472"/>
    <cellStyle name="TotRow - Opmaakprofiel4 4 9 4 2 2" xfId="24771"/>
    <cellStyle name="TotRow - Opmaakprofiel4 4 9 4 2 3" xfId="36823"/>
    <cellStyle name="TotRow - Opmaakprofiel4 4 9 4 2 4" xfId="47546"/>
    <cellStyle name="TotRow - Opmaakprofiel4 4 9 4 2 5" xfId="57437"/>
    <cellStyle name="TotRow - Opmaakprofiel4 4 9 4 3" xfId="19264"/>
    <cellStyle name="TotRow - Opmaakprofiel4 4 9 4 4" xfId="31316"/>
    <cellStyle name="TotRow - Opmaakprofiel4 4 9 4 5" xfId="37044"/>
    <cellStyle name="TotRow - Opmaakprofiel4 4 9 4 6" xfId="51955"/>
    <cellStyle name="TotRow - Opmaakprofiel4 4 9 5" xfId="6984"/>
    <cellStyle name="TotRow - Opmaakprofiel4 4 9 5 2" xfId="12473"/>
    <cellStyle name="TotRow - Opmaakprofiel4 4 9 5 2 2" xfId="24772"/>
    <cellStyle name="TotRow - Opmaakprofiel4 4 9 5 2 3" xfId="36824"/>
    <cellStyle name="TotRow - Opmaakprofiel4 4 9 5 2 4" xfId="47547"/>
    <cellStyle name="TotRow - Opmaakprofiel4 4 9 5 2 5" xfId="57438"/>
    <cellStyle name="TotRow - Opmaakprofiel4 4 9 5 3" xfId="19265"/>
    <cellStyle name="TotRow - Opmaakprofiel4 4 9 5 4" xfId="31317"/>
    <cellStyle name="TotRow - Opmaakprofiel4 4 9 5 5" xfId="43697"/>
    <cellStyle name="TotRow - Opmaakprofiel4 4 9 5 6" xfId="51956"/>
    <cellStyle name="TotRow - Opmaakprofiel4 4 9 6" xfId="6985"/>
    <cellStyle name="TotRow - Opmaakprofiel4 4 9 6 2" xfId="12474"/>
    <cellStyle name="TotRow - Opmaakprofiel4 4 9 6 2 2" xfId="24773"/>
    <cellStyle name="TotRow - Opmaakprofiel4 4 9 6 2 3" xfId="36825"/>
    <cellStyle name="TotRow - Opmaakprofiel4 4 9 6 2 4" xfId="47548"/>
    <cellStyle name="TotRow - Opmaakprofiel4 4 9 6 2 5" xfId="57439"/>
    <cellStyle name="TotRow - Opmaakprofiel4 4 9 6 3" xfId="19266"/>
    <cellStyle name="TotRow - Opmaakprofiel4 4 9 6 4" xfId="31318"/>
    <cellStyle name="TotRow - Opmaakprofiel4 4 9 6 5" xfId="37043"/>
    <cellStyle name="TotRow - Opmaakprofiel4 4 9 6 6" xfId="51957"/>
    <cellStyle name="TotRow - Opmaakprofiel4 4 9 7" xfId="6986"/>
    <cellStyle name="TotRow - Opmaakprofiel4 4 9 7 2" xfId="19267"/>
    <cellStyle name="TotRow - Opmaakprofiel4 4 9 7 3" xfId="31319"/>
    <cellStyle name="TotRow - Opmaakprofiel4 4 9 7 4" xfId="37042"/>
    <cellStyle name="TotRow - Opmaakprofiel4 4 9 7 5" xfId="51958"/>
    <cellStyle name="TotRow - Opmaakprofiel4 4 9 8" xfId="7005"/>
    <cellStyle name="TotRow - Opmaakprofiel4 4 9 8 2" xfId="19303"/>
    <cellStyle name="TotRow - Opmaakprofiel4 4 9 8 3" xfId="41106"/>
    <cellStyle name="TotRow - Opmaakprofiel4 4 9 8 4" xfId="37031"/>
    <cellStyle name="TotRow - Opmaakprofiel4 4 9 8 5" xfId="51976"/>
    <cellStyle name="TotRow - Opmaakprofiel4 4 9 9" xfId="19261"/>
    <cellStyle name="TotRow - Opmaakprofiel4 5" xfId="6987"/>
    <cellStyle name="TotRow - Opmaakprofiel4 5 2" xfId="12475"/>
    <cellStyle name="TotRow - Opmaakprofiel4 5 2 2" xfId="24774"/>
    <cellStyle name="TotRow - Opmaakprofiel4 5 2 3" xfId="36826"/>
    <cellStyle name="TotRow - Opmaakprofiel4 5 2 4" xfId="47549"/>
    <cellStyle name="TotRow - Opmaakprofiel4 5 2 5" xfId="57440"/>
    <cellStyle name="TotRow - Opmaakprofiel4 5 3" xfId="19268"/>
    <cellStyle name="TotRow - Opmaakprofiel4 5 4" xfId="31320"/>
    <cellStyle name="TotRow - Opmaakprofiel4 5 5" xfId="37041"/>
    <cellStyle name="TotRow - Opmaakprofiel4 5 6" xfId="51959"/>
    <cellStyle name="TotRow - Opmaakprofiel4 6" xfId="6988"/>
    <cellStyle name="TotRow - Opmaakprofiel4 6 2" xfId="12476"/>
    <cellStyle name="TotRow - Opmaakprofiel4 6 2 2" xfId="24775"/>
    <cellStyle name="TotRow - Opmaakprofiel4 6 2 3" xfId="36827"/>
    <cellStyle name="TotRow - Opmaakprofiel4 6 2 4" xfId="47550"/>
    <cellStyle name="TotRow - Opmaakprofiel4 6 2 5" xfId="57441"/>
    <cellStyle name="TotRow - Opmaakprofiel4 6 3" xfId="19269"/>
    <cellStyle name="TotRow - Opmaakprofiel4 6 4" xfId="31321"/>
    <cellStyle name="TotRow - Opmaakprofiel4 6 5" xfId="43696"/>
    <cellStyle name="TotRow - Opmaakprofiel4 6 6" xfId="51960"/>
    <cellStyle name="TotRow - Opmaakprofiel4 7" xfId="6989"/>
    <cellStyle name="TotRow - Opmaakprofiel4 7 2" xfId="19270"/>
    <cellStyle name="TotRow - Opmaakprofiel4 7 3" xfId="31322"/>
    <cellStyle name="TotRow - Opmaakprofiel4 7 4" xfId="37040"/>
    <cellStyle name="TotRow - Opmaakprofiel4 7 5" xfId="51961"/>
    <cellStyle name="TotRow - Opmaakprofiel4 8" xfId="6990"/>
    <cellStyle name="TotRow - Opmaakprofiel4 8 2" xfId="19271"/>
    <cellStyle name="TotRow - Opmaakprofiel4 8 3" xfId="31323"/>
    <cellStyle name="TotRow - Opmaakprofiel4 8 4" xfId="43695"/>
    <cellStyle name="TotRow - Opmaakprofiel4 8 5" xfId="51962"/>
    <cellStyle name="TotRow - Opmaakprofiel4 9" xfId="6991"/>
    <cellStyle name="TotRow - Opmaakprofiel4 9 2" xfId="19272"/>
    <cellStyle name="TotRow - Opmaakprofiel4 9 3" xfId="31324"/>
    <cellStyle name="TotRow - Opmaakprofiel4 9 4" xfId="37039"/>
    <cellStyle name="TotRow - Opmaakprofiel4 9 5" xfId="51963"/>
    <cellStyle name="Valuta" xfId="1" builtinId="4"/>
    <cellStyle name="Valuta 2" xfId="127"/>
    <cellStyle name="Valuta 2 2" xfId="324"/>
    <cellStyle name="Valuta 2 2 2" xfId="325"/>
    <cellStyle name="Valuta 2 2 3" xfId="326"/>
    <cellStyle name="Valuta 2 3" xfId="327"/>
    <cellStyle name="Valuta 2 4" xfId="390"/>
    <cellStyle name="Valuta 2 5" xfId="323"/>
    <cellStyle name="Valuta 3" xfId="128"/>
    <cellStyle name="Valuta 3 2" xfId="329"/>
    <cellStyle name="Valuta 3 3" xfId="391"/>
    <cellStyle name="Valuta 3 4" xfId="328"/>
    <cellStyle name="Valuta 4" xfId="129"/>
    <cellStyle name="Valuta 4 2" xfId="204"/>
    <cellStyle name="Valuta 5" xfId="210"/>
    <cellStyle name="Valuta 5 2" xfId="330"/>
    <cellStyle name="Valuta 6" xfId="331"/>
    <cellStyle name="Valuta 7" xfId="332"/>
    <cellStyle name="Valuta 8" xfId="333"/>
    <cellStyle name="Valuta 9" xfId="167"/>
    <cellStyle name="Warning Text" xfId="334"/>
  </cellStyles>
  <dxfs count="181">
    <dxf>
      <font>
        <b/>
        <i val="0"/>
        <color rgb="FFFF0000"/>
      </font>
    </dxf>
    <dxf>
      <font>
        <b/>
        <i val="0"/>
        <color rgb="FFFF0000"/>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rgb="FF002060"/>
      </font>
      <fill>
        <patternFill>
          <bgColor theme="0" tint="-0.14996795556505021"/>
        </patternFill>
      </fill>
    </dxf>
    <dxf>
      <font>
        <color rgb="FF002060"/>
      </font>
      <fill>
        <patternFill>
          <bgColor theme="0" tint="-0.14996795556505021"/>
        </patternFill>
      </fill>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3399"/>
      </font>
      <fill>
        <patternFill patternType="none">
          <bgColor auto="1"/>
        </patternFill>
      </fill>
    </dxf>
    <dxf>
      <font>
        <color theme="0"/>
      </font>
    </dxf>
    <dxf>
      <font>
        <color rgb="FF002060"/>
      </font>
    </dxf>
    <dxf>
      <font>
        <color theme="0"/>
      </font>
    </dxf>
    <dxf>
      <font>
        <color rgb="FFCC0066"/>
      </font>
    </dxf>
    <dxf>
      <font>
        <color rgb="FFCC0066"/>
      </font>
    </dxf>
    <dxf>
      <font>
        <color rgb="FF002060"/>
      </font>
    </dxf>
    <dxf>
      <font>
        <color theme="0"/>
      </font>
    </dxf>
    <dxf>
      <font>
        <color rgb="FF002060"/>
      </font>
      <fill>
        <patternFill>
          <bgColor theme="0" tint="-0.14996795556505021"/>
        </patternFill>
      </fill>
    </dxf>
    <dxf>
      <font>
        <color rgb="FF002060"/>
      </font>
      <fill>
        <patternFill>
          <bgColor theme="0" tint="-0.14996795556505021"/>
        </patternFill>
      </fill>
    </dxf>
    <dxf>
      <font>
        <color theme="0"/>
      </font>
    </dxf>
    <dxf>
      <font>
        <color theme="0"/>
      </font>
    </dxf>
    <dxf>
      <font>
        <color theme="0"/>
      </font>
    </dxf>
    <dxf>
      <font>
        <color rgb="FF002060"/>
      </font>
    </dxf>
    <dxf>
      <font>
        <color rgb="FF002060"/>
      </font>
      <fill>
        <patternFill>
          <bgColor theme="0" tint="-0.14996795556505021"/>
        </patternFill>
      </fill>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theme="1"/>
      </font>
      <fill>
        <patternFill>
          <bgColor theme="0" tint="-0.14996795556505021"/>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rgb="FF2B413C"/>
      </font>
    </dxf>
    <dxf>
      <fill>
        <patternFill>
          <bgColor theme="0"/>
        </patternFill>
      </fill>
    </dxf>
    <dxf>
      <font>
        <color theme="0"/>
      </font>
    </dxf>
    <dxf>
      <font>
        <color theme="0"/>
      </font>
    </dxf>
    <dxf>
      <font>
        <color theme="3" tint="-0.2499465926084170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theme="0"/>
      </font>
    </dxf>
    <dxf>
      <font>
        <color theme="0"/>
      </font>
    </dxf>
    <dxf>
      <font>
        <color theme="0"/>
      </font>
    </dxf>
    <dxf>
      <font>
        <b/>
        <i val="0"/>
        <color theme="1"/>
      </font>
    </dxf>
    <dxf>
      <font>
        <color theme="1"/>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font>
      <fill>
        <patternFill>
          <bgColor theme="0"/>
        </patternFill>
      </fill>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theme="0"/>
      </font>
    </dxf>
    <dxf>
      <font>
        <color rgb="FFFF0000"/>
      </font>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theme="0"/>
      </font>
    </dxf>
    <dxf>
      <font>
        <color theme="0"/>
      </font>
    </dxf>
    <dxf>
      <font>
        <color theme="0"/>
      </font>
    </dxf>
    <dxf>
      <font>
        <color theme="0"/>
      </font>
    </dxf>
    <dxf>
      <fill>
        <patternFill>
          <bgColor theme="0"/>
        </patternFill>
      </fill>
    </dxf>
    <dxf>
      <font>
        <color theme="0"/>
      </font>
    </dxf>
    <dxf>
      <font>
        <color rgb="FF2B413C"/>
      </font>
    </dxf>
  </dxfs>
  <tableStyles count="0" defaultTableStyle="TableStyleMedium2" defaultPivotStyle="PivotStyleLight16"/>
  <colors>
    <mruColors>
      <color rgb="FFFF3399"/>
      <color rgb="FFCC0066"/>
      <color rgb="FFF2951A"/>
      <color rgb="FF2B413C"/>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545353</xdr:colOff>
      <xdr:row>0</xdr:row>
      <xdr:rowOff>48291</xdr:rowOff>
    </xdr:from>
    <xdr:to>
      <xdr:col>19</xdr:col>
      <xdr:colOff>0</xdr:colOff>
      <xdr:row>5</xdr:row>
      <xdr:rowOff>141600</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427824" y="48291"/>
          <a:ext cx="2823882" cy="1288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rgb="FFCC0066"/>
  </sheetPr>
  <dimension ref="A1:W151"/>
  <sheetViews>
    <sheetView zoomScale="130" zoomScaleNormal="130" workbookViewId="0">
      <selection activeCell="A3" sqref="A3:M3"/>
    </sheetView>
  </sheetViews>
  <sheetFormatPr defaultColWidth="0" defaultRowHeight="15" zeroHeight="1"/>
  <cols>
    <col min="1" max="1" width="4.7109375" style="10" customWidth="1"/>
    <col min="2" max="2" width="4" style="10" customWidth="1"/>
    <col min="3" max="3" width="1.28515625" style="10" customWidth="1"/>
    <col min="4" max="4" width="3.7109375" style="10" customWidth="1"/>
    <col min="5" max="5" width="1.28515625" style="10" customWidth="1"/>
    <col min="6" max="6" width="9.28515625" style="10" customWidth="1"/>
    <col min="7" max="7" width="3.28515625" style="10" customWidth="1"/>
    <col min="8" max="8" width="14.28515625" style="10" customWidth="1"/>
    <col min="9" max="9" width="9.28515625" style="10" customWidth="1"/>
    <col min="10" max="10" width="7.42578125" style="10" customWidth="1"/>
    <col min="11" max="11" width="11.42578125" style="10" customWidth="1"/>
    <col min="12" max="12" width="5.42578125" style="10" customWidth="1"/>
    <col min="13" max="13" width="15.28515625" style="10" customWidth="1"/>
    <col min="14" max="23" width="0" style="10" hidden="1" customWidth="1"/>
    <col min="24" max="16384" width="9.28515625" style="10" hidden="1"/>
  </cols>
  <sheetData>
    <row r="1" spans="1:23" ht="26.25">
      <c r="A1" s="471" t="s">
        <v>1222</v>
      </c>
      <c r="B1" s="472"/>
      <c r="C1" s="472"/>
      <c r="D1" s="472"/>
      <c r="E1" s="472"/>
      <c r="F1" s="472"/>
      <c r="G1" s="472"/>
      <c r="H1" s="472"/>
      <c r="I1" s="472"/>
      <c r="J1" s="472"/>
      <c r="K1" s="472"/>
      <c r="L1" s="472"/>
      <c r="M1" s="473"/>
    </row>
    <row r="2" spans="1:23" ht="15" customHeight="1">
      <c r="A2" s="11"/>
      <c r="B2" s="12"/>
      <c r="C2" s="12"/>
      <c r="D2" s="12"/>
      <c r="E2" s="12"/>
      <c r="F2" s="12"/>
      <c r="G2" s="12"/>
      <c r="H2" s="12"/>
      <c r="I2" s="12"/>
      <c r="J2" s="12"/>
      <c r="K2" s="478" t="s">
        <v>1752</v>
      </c>
      <c r="L2" s="479"/>
      <c r="M2" s="461"/>
    </row>
    <row r="3" spans="1:23" ht="26.25" customHeight="1">
      <c r="A3" s="452" t="s">
        <v>1223</v>
      </c>
      <c r="B3" s="465"/>
      <c r="C3" s="465"/>
      <c r="D3" s="465"/>
      <c r="E3" s="465"/>
      <c r="F3" s="465"/>
      <c r="G3" s="465"/>
      <c r="H3" s="465"/>
      <c r="I3" s="465"/>
      <c r="J3" s="465"/>
      <c r="K3" s="465"/>
      <c r="L3" s="465"/>
      <c r="M3" s="453"/>
      <c r="O3" s="287" t="s">
        <v>1236</v>
      </c>
      <c r="Q3" s="22"/>
      <c r="R3" s="23"/>
      <c r="S3" s="23"/>
      <c r="T3" s="23"/>
      <c r="U3" s="23"/>
    </row>
    <row r="4" spans="1:23" s="287" customFormat="1" ht="27.75" customHeight="1">
      <c r="A4" s="285" t="s">
        <v>523</v>
      </c>
      <c r="B4" s="286"/>
      <c r="C4" s="286"/>
      <c r="D4" s="286"/>
      <c r="E4" s="286"/>
      <c r="F4" s="286"/>
      <c r="G4" s="286"/>
      <c r="H4" s="286"/>
      <c r="I4" s="286"/>
      <c r="J4" s="286"/>
      <c r="K4" s="286"/>
      <c r="L4" s="286"/>
      <c r="M4" s="286"/>
      <c r="O4" s="287" t="s">
        <v>1241</v>
      </c>
    </row>
    <row r="5" spans="1:23" ht="17.25" customHeight="1">
      <c r="A5" s="474" t="s">
        <v>524</v>
      </c>
      <c r="B5" s="475"/>
      <c r="C5" s="475"/>
      <c r="D5" s="475"/>
      <c r="E5" s="287"/>
      <c r="F5" s="476" t="s">
        <v>533</v>
      </c>
      <c r="G5" s="476"/>
      <c r="H5" s="477"/>
      <c r="I5" s="477"/>
      <c r="J5" s="477"/>
      <c r="K5" s="477"/>
      <c r="L5" s="20"/>
      <c r="M5" s="14"/>
      <c r="O5" s="10" t="s">
        <v>1237</v>
      </c>
      <c r="W5" s="10">
        <f>IF(F5="Klik hier om een tekst in te voeren",1,2)</f>
        <v>2</v>
      </c>
    </row>
    <row r="6" spans="1:23" ht="17.25" customHeight="1">
      <c r="A6" s="452" t="s">
        <v>525</v>
      </c>
      <c r="B6" s="453"/>
      <c r="C6" s="453"/>
      <c r="D6" s="453"/>
      <c r="E6" s="19"/>
      <c r="F6" s="467" t="s">
        <v>533</v>
      </c>
      <c r="G6" s="467"/>
      <c r="H6" s="470"/>
      <c r="I6" s="470"/>
      <c r="J6" s="470"/>
      <c r="K6" s="470"/>
      <c r="L6" s="281"/>
      <c r="M6" s="14"/>
      <c r="O6" s="10" t="s">
        <v>1240</v>
      </c>
    </row>
    <row r="7" spans="1:23" s="296" customFormat="1" ht="17.25" customHeight="1">
      <c r="A7" s="452" t="s">
        <v>1235</v>
      </c>
      <c r="B7" s="461"/>
      <c r="C7" s="461"/>
      <c r="D7" s="461"/>
      <c r="E7" s="298"/>
      <c r="F7" s="467" t="s">
        <v>1239</v>
      </c>
      <c r="G7" s="468"/>
      <c r="H7" s="468"/>
      <c r="I7" s="468"/>
      <c r="J7" s="468"/>
      <c r="K7" s="468"/>
      <c r="L7" s="299"/>
      <c r="M7" s="297"/>
      <c r="O7" s="296" t="s">
        <v>1238</v>
      </c>
    </row>
    <row r="8" spans="1:23" ht="17.25" customHeight="1">
      <c r="L8" s="20"/>
      <c r="M8" s="14"/>
      <c r="O8" s="296" t="s">
        <v>1239</v>
      </c>
    </row>
    <row r="9" spans="1:23" s="287" customFormat="1" ht="27.75" customHeight="1">
      <c r="A9" s="285" t="s">
        <v>1224</v>
      </c>
      <c r="B9" s="286"/>
      <c r="C9" s="286"/>
      <c r="D9" s="286"/>
      <c r="E9" s="286"/>
      <c r="F9" s="286"/>
      <c r="G9" s="286"/>
      <c r="H9" s="286"/>
      <c r="I9" s="286"/>
      <c r="J9" s="286"/>
      <c r="K9" s="286"/>
      <c r="L9" s="286"/>
      <c r="M9" s="286"/>
    </row>
    <row r="10" spans="1:23">
      <c r="A10" s="480" t="s">
        <v>506</v>
      </c>
      <c r="B10" s="465"/>
      <c r="C10" s="465"/>
      <c r="D10" s="465"/>
      <c r="E10" s="465"/>
      <c r="F10" s="465"/>
      <c r="G10" s="453"/>
      <c r="H10" s="469" t="s">
        <v>532</v>
      </c>
      <c r="I10" s="454"/>
      <c r="J10" s="454"/>
      <c r="K10" s="454"/>
      <c r="L10" s="454"/>
      <c r="M10" s="14"/>
    </row>
    <row r="11" spans="1:23">
      <c r="A11" s="465" t="s">
        <v>507</v>
      </c>
      <c r="B11" s="465"/>
      <c r="C11" s="465"/>
      <c r="D11" s="465"/>
      <c r="E11" s="465"/>
      <c r="F11" s="465"/>
      <c r="G11" s="453"/>
      <c r="H11" s="467" t="s">
        <v>532</v>
      </c>
      <c r="I11" s="470"/>
      <c r="J11" s="470"/>
      <c r="K11" s="470"/>
      <c r="L11" s="470"/>
      <c r="M11" s="14"/>
    </row>
    <row r="12" spans="1:23">
      <c r="A12" s="465" t="s">
        <v>508</v>
      </c>
      <c r="B12" s="465"/>
      <c r="C12" s="465"/>
      <c r="D12" s="465"/>
      <c r="E12" s="465"/>
      <c r="F12" s="465"/>
      <c r="G12" s="453"/>
      <c r="H12" s="467" t="s">
        <v>532</v>
      </c>
      <c r="I12" s="470"/>
      <c r="J12" s="470"/>
      <c r="K12" s="470"/>
      <c r="L12" s="470"/>
      <c r="M12" s="14"/>
    </row>
    <row r="13" spans="1:23">
      <c r="A13" s="465" t="s">
        <v>575</v>
      </c>
      <c r="B13" s="465"/>
      <c r="C13" s="465"/>
      <c r="D13" s="465"/>
      <c r="E13" s="465"/>
      <c r="F13" s="465"/>
      <c r="G13" s="453"/>
      <c r="H13" s="469" t="s">
        <v>532</v>
      </c>
      <c r="I13" s="454"/>
      <c r="J13" s="454"/>
      <c r="K13" s="454"/>
      <c r="L13" s="454"/>
      <c r="M13" s="14"/>
    </row>
    <row r="14" spans="1:23"/>
    <row r="15" spans="1:23" ht="27.75" customHeight="1">
      <c r="A15" s="288" t="s">
        <v>1419</v>
      </c>
      <c r="B15" s="13"/>
      <c r="C15" s="13"/>
      <c r="D15" s="13"/>
      <c r="E15" s="13"/>
      <c r="F15" s="13"/>
      <c r="G15" s="13"/>
      <c r="H15" s="13"/>
      <c r="I15" s="13"/>
      <c r="J15" s="13"/>
      <c r="K15" s="13"/>
      <c r="L15" s="13"/>
      <c r="M15" s="13"/>
    </row>
    <row r="16" spans="1:23">
      <c r="A16" s="17" t="s">
        <v>501</v>
      </c>
      <c r="B16" s="17" t="s">
        <v>576</v>
      </c>
      <c r="C16" s="17"/>
      <c r="D16" s="14"/>
      <c r="E16" s="14"/>
      <c r="F16" s="14"/>
      <c r="G16" s="14"/>
      <c r="H16" s="14"/>
      <c r="I16" s="14"/>
      <c r="J16" s="14"/>
      <c r="K16" s="14"/>
      <c r="L16" s="14"/>
      <c r="M16" s="14"/>
    </row>
    <row r="17" spans="1:18">
      <c r="A17" s="14"/>
      <c r="B17" s="8"/>
      <c r="C17" s="9"/>
      <c r="D17" s="14" t="s">
        <v>1420</v>
      </c>
      <c r="E17" s="14"/>
      <c r="F17" s="14"/>
      <c r="G17" s="14"/>
      <c r="H17" s="14"/>
      <c r="I17" s="14"/>
      <c r="J17" s="14"/>
      <c r="K17" s="14"/>
      <c r="L17" s="14"/>
      <c r="M17" s="14"/>
      <c r="O17" s="10">
        <f>IF(B17="x",1,0)</f>
        <v>0</v>
      </c>
    </row>
    <row r="18" spans="1:18">
      <c r="A18" s="14"/>
      <c r="B18" s="8"/>
      <c r="C18" s="14"/>
      <c r="D18" s="14" t="s">
        <v>1421</v>
      </c>
      <c r="E18" s="14"/>
      <c r="F18" s="14"/>
      <c r="G18" s="14"/>
      <c r="H18" s="14"/>
      <c r="I18" s="14"/>
      <c r="J18" s="14"/>
      <c r="K18" s="14"/>
      <c r="L18" s="14"/>
      <c r="M18" s="14"/>
      <c r="O18" s="10">
        <f>IF(B18="x",1,0)</f>
        <v>0</v>
      </c>
      <c r="Q18" s="10">
        <f>SUM(O17:O21)</f>
        <v>0</v>
      </c>
      <c r="R18" s="10" t="str">
        <f>IF(Q18=0,"X","")</f>
        <v>X</v>
      </c>
    </row>
    <row r="19" spans="1:18">
      <c r="A19" s="14"/>
      <c r="B19" s="8"/>
      <c r="C19" s="14"/>
      <c r="D19" s="14" t="s">
        <v>1422</v>
      </c>
      <c r="E19" s="14"/>
      <c r="F19" s="14"/>
      <c r="G19" s="14"/>
      <c r="H19" s="14"/>
      <c r="I19" s="14"/>
      <c r="J19" s="14"/>
      <c r="K19" s="14"/>
      <c r="L19" s="14"/>
      <c r="M19" s="14"/>
      <c r="O19" s="10">
        <f>IF(B19="x",1,0)</f>
        <v>0</v>
      </c>
    </row>
    <row r="20" spans="1:18">
      <c r="A20" s="14"/>
      <c r="B20" s="8"/>
      <c r="C20" s="14"/>
      <c r="D20" s="14" t="s">
        <v>1423</v>
      </c>
      <c r="E20" s="14"/>
      <c r="F20" s="14"/>
      <c r="G20" s="14"/>
      <c r="H20" s="14"/>
      <c r="I20" s="14"/>
      <c r="J20" s="14"/>
      <c r="K20" s="14"/>
      <c r="L20" s="14"/>
      <c r="M20" s="14"/>
      <c r="O20" s="10">
        <f>IF(B20="x",1,0)</f>
        <v>0</v>
      </c>
    </row>
    <row r="21" spans="1:18" ht="15" customHeight="1">
      <c r="A21" s="21"/>
      <c r="B21" s="293"/>
      <c r="C21" s="18"/>
      <c r="D21" s="452" t="s">
        <v>1242</v>
      </c>
      <c r="E21" s="451"/>
      <c r="F21" s="451"/>
      <c r="G21" s="451"/>
      <c r="H21" s="451"/>
      <c r="I21" s="451"/>
      <c r="J21" s="451"/>
      <c r="K21" s="451"/>
      <c r="L21" s="451"/>
      <c r="M21" s="19"/>
      <c r="O21" s="10">
        <f>IF(B21="x",1,0)</f>
        <v>0</v>
      </c>
    </row>
    <row r="22" spans="1:18" ht="12" customHeight="1">
      <c r="A22" s="283"/>
      <c r="B22" s="290"/>
      <c r="C22" s="280"/>
      <c r="D22" s="280"/>
      <c r="E22" s="284"/>
      <c r="F22" s="284"/>
      <c r="G22" s="284"/>
      <c r="H22" s="284"/>
      <c r="I22" s="284"/>
      <c r="J22" s="284"/>
      <c r="K22" s="284"/>
      <c r="L22" s="280"/>
      <c r="M22" s="282"/>
    </row>
    <row r="23" spans="1:18" ht="12" customHeight="1">
      <c r="A23" s="460" t="s">
        <v>1226</v>
      </c>
      <c r="B23" s="461"/>
      <c r="C23" s="461"/>
      <c r="D23" s="461"/>
      <c r="E23" s="461"/>
      <c r="F23" s="461"/>
      <c r="G23" s="461"/>
      <c r="H23" s="461"/>
      <c r="I23" s="461"/>
      <c r="J23" s="461"/>
      <c r="K23" s="461"/>
      <c r="L23" s="461"/>
      <c r="M23" s="461"/>
    </row>
    <row r="24" spans="1:18" ht="12" customHeight="1"/>
    <row r="25" spans="1:18" ht="29.25" customHeight="1">
      <c r="A25" s="15" t="s">
        <v>509</v>
      </c>
      <c r="B25" s="450" t="s">
        <v>1227</v>
      </c>
      <c r="C25" s="450"/>
      <c r="D25" s="450"/>
      <c r="E25" s="450"/>
      <c r="F25" s="450"/>
      <c r="G25" s="450"/>
      <c r="H25" s="450"/>
      <c r="I25" s="450"/>
      <c r="J25" s="450"/>
      <c r="K25" s="450"/>
      <c r="L25" s="450"/>
      <c r="M25" s="461"/>
    </row>
    <row r="26" spans="1:18">
      <c r="A26" s="14"/>
      <c r="B26" s="8"/>
      <c r="C26" s="14"/>
      <c r="D26" s="289" t="s">
        <v>1225</v>
      </c>
      <c r="E26" s="14"/>
      <c r="F26" s="14"/>
      <c r="G26" s="14"/>
      <c r="H26" s="14"/>
      <c r="I26" s="14"/>
      <c r="J26" s="14"/>
      <c r="K26" s="14"/>
      <c r="L26" s="14"/>
      <c r="M26" s="14"/>
      <c r="O26" s="10">
        <f>IF(B26="x",1,0)</f>
        <v>0</v>
      </c>
      <c r="Q26" s="10">
        <f>SUM(O25:O28)</f>
        <v>0</v>
      </c>
      <c r="R26" s="10" t="str">
        <f>IF(Q26=0,"X","")</f>
        <v>X</v>
      </c>
    </row>
    <row r="27" spans="1:18">
      <c r="A27" s="389"/>
      <c r="B27" s="8"/>
      <c r="C27" s="14"/>
      <c r="D27" s="14" t="s">
        <v>510</v>
      </c>
      <c r="E27" s="14"/>
      <c r="F27" s="14"/>
      <c r="G27" s="14"/>
      <c r="H27" s="14"/>
      <c r="I27" s="14"/>
      <c r="J27" s="14"/>
      <c r="K27" s="14"/>
      <c r="L27" s="14"/>
      <c r="M27" s="14"/>
      <c r="O27" s="10">
        <f>IF(B27="x",1,0)</f>
        <v>0</v>
      </c>
    </row>
    <row r="28" spans="1:18">
      <c r="A28" s="14"/>
      <c r="B28" s="8"/>
      <c r="C28" s="14"/>
      <c r="D28" s="14" t="s">
        <v>511</v>
      </c>
      <c r="E28" s="14"/>
      <c r="F28" s="14"/>
      <c r="G28" s="14"/>
      <c r="H28" s="14"/>
      <c r="I28" s="14"/>
      <c r="J28" s="14"/>
      <c r="K28" s="14"/>
      <c r="L28" s="14"/>
      <c r="M28" s="14"/>
      <c r="O28" s="10">
        <f>IF(B28="X",1,0)</f>
        <v>0</v>
      </c>
    </row>
    <row r="29" spans="1:18">
      <c r="A29" s="14"/>
      <c r="B29" s="9"/>
      <c r="C29" s="14"/>
      <c r="D29" s="14" t="s">
        <v>531</v>
      </c>
      <c r="E29" s="14"/>
      <c r="F29" s="14"/>
      <c r="G29" s="454"/>
      <c r="H29" s="455"/>
      <c r="I29" s="455"/>
      <c r="J29" s="455"/>
      <c r="K29" s="455"/>
      <c r="L29" s="455"/>
      <c r="M29" s="455"/>
    </row>
    <row r="30" spans="1:18">
      <c r="A30" s="14"/>
      <c r="B30" s="14"/>
      <c r="C30" s="14"/>
      <c r="D30" s="14"/>
      <c r="E30" s="14"/>
      <c r="F30" s="14"/>
      <c r="G30" s="455"/>
      <c r="H30" s="455"/>
      <c r="I30" s="455"/>
      <c r="J30" s="455"/>
      <c r="K30" s="455"/>
      <c r="L30" s="455"/>
      <c r="M30" s="455"/>
    </row>
    <row r="31" spans="1:18">
      <c r="A31" s="14"/>
      <c r="B31" s="14"/>
      <c r="C31" s="14"/>
      <c r="D31" s="14"/>
      <c r="E31" s="14"/>
      <c r="F31" s="14"/>
      <c r="G31" s="455"/>
      <c r="H31" s="455"/>
      <c r="I31" s="455"/>
      <c r="J31" s="455"/>
      <c r="K31" s="455"/>
      <c r="L31" s="455"/>
      <c r="M31" s="455"/>
    </row>
    <row r="32" spans="1:18">
      <c r="A32" s="17" t="s">
        <v>513</v>
      </c>
      <c r="B32" s="466" t="s">
        <v>512</v>
      </c>
      <c r="C32" s="466"/>
      <c r="D32" s="466"/>
      <c r="E32" s="466"/>
      <c r="F32" s="466"/>
      <c r="G32" s="466"/>
      <c r="H32" s="466"/>
      <c r="I32" s="466"/>
      <c r="J32" s="466"/>
      <c r="K32" s="466"/>
      <c r="L32" s="466"/>
      <c r="M32" s="465"/>
    </row>
    <row r="33" spans="1:21">
      <c r="A33" s="14"/>
      <c r="B33" s="8"/>
      <c r="C33" s="14"/>
      <c r="D33" s="14" t="s">
        <v>432</v>
      </c>
      <c r="E33" s="14"/>
      <c r="F33" s="14"/>
      <c r="G33" s="14"/>
      <c r="H33" s="14"/>
      <c r="I33" s="14"/>
      <c r="J33" s="14"/>
      <c r="K33" s="14"/>
      <c r="L33" s="14"/>
      <c r="M33" s="14"/>
      <c r="O33" s="10">
        <f>IF(B33="x",1,0)</f>
        <v>0</v>
      </c>
      <c r="Q33" s="10">
        <f>SUM(O32:O35)</f>
        <v>0</v>
      </c>
      <c r="R33" s="10" t="str">
        <f>IF(Q33=0,"X","")</f>
        <v>X</v>
      </c>
    </row>
    <row r="34" spans="1:21">
      <c r="A34" s="14"/>
      <c r="B34" s="8"/>
      <c r="C34" s="14"/>
      <c r="D34" s="14" t="s">
        <v>1243</v>
      </c>
      <c r="E34" s="14"/>
      <c r="F34" s="14"/>
      <c r="G34" s="14"/>
      <c r="H34" s="14"/>
      <c r="I34" s="14"/>
      <c r="J34" s="14"/>
      <c r="K34" s="14"/>
      <c r="L34" s="14"/>
      <c r="M34" s="14"/>
      <c r="O34" s="10">
        <f>IF(B34="x",1,0)</f>
        <v>0</v>
      </c>
    </row>
    <row r="35" spans="1:21">
      <c r="A35" s="14"/>
      <c r="B35" s="9"/>
      <c r="C35" s="14"/>
      <c r="D35" s="8"/>
      <c r="E35" s="14"/>
      <c r="F35" s="452" t="s">
        <v>1233</v>
      </c>
      <c r="G35" s="452"/>
      <c r="H35" s="453"/>
      <c r="I35" s="453"/>
      <c r="J35" s="453"/>
      <c r="K35" s="453"/>
      <c r="L35" s="453"/>
      <c r="M35" s="14"/>
      <c r="R35" s="10">
        <f>IF(B34="X",1,0)</f>
        <v>0</v>
      </c>
      <c r="S35" s="10">
        <f>IF(D35="X",0,1)</f>
        <v>1</v>
      </c>
      <c r="U35" s="10" t="str">
        <f>IF(R35+S44=7,"X","")</f>
        <v/>
      </c>
    </row>
    <row r="36" spans="1:21" ht="13.5" customHeight="1">
      <c r="A36" s="14"/>
      <c r="B36" s="14"/>
      <c r="C36" s="14"/>
      <c r="D36" s="14"/>
      <c r="E36" s="14"/>
      <c r="F36" s="453"/>
      <c r="G36" s="453"/>
      <c r="H36" s="453"/>
      <c r="I36" s="453"/>
      <c r="J36" s="453"/>
      <c r="K36" s="453"/>
      <c r="L36" s="453"/>
      <c r="M36" s="14"/>
    </row>
    <row r="37" spans="1:21" ht="13.5" customHeight="1">
      <c r="A37" s="14"/>
      <c r="B37" s="14"/>
      <c r="C37" s="14"/>
      <c r="D37" s="8"/>
      <c r="E37" s="14"/>
      <c r="F37" s="452" t="s">
        <v>1234</v>
      </c>
      <c r="G37" s="452"/>
      <c r="H37" s="453"/>
      <c r="I37" s="453"/>
      <c r="J37" s="453"/>
      <c r="K37" s="453"/>
      <c r="L37" s="453"/>
      <c r="M37" s="14"/>
      <c r="S37" s="10">
        <f>IF(D37="X",0,1)</f>
        <v>1</v>
      </c>
    </row>
    <row r="38" spans="1:21" ht="14.25" customHeight="1">
      <c r="A38" s="14"/>
      <c r="B38" s="14"/>
      <c r="C38" s="14"/>
      <c r="D38" s="14"/>
      <c r="E38" s="14"/>
      <c r="F38" s="453"/>
      <c r="G38" s="453"/>
      <c r="H38" s="453"/>
      <c r="I38" s="453"/>
      <c r="J38" s="453"/>
      <c r="K38" s="453"/>
      <c r="L38" s="453"/>
      <c r="M38" s="14"/>
    </row>
    <row r="39" spans="1:21" ht="15" customHeight="1">
      <c r="A39" s="14"/>
      <c r="B39" s="14"/>
      <c r="C39" s="14"/>
      <c r="D39" s="8"/>
      <c r="E39" s="14"/>
      <c r="F39" s="452" t="s">
        <v>1244</v>
      </c>
      <c r="G39" s="452"/>
      <c r="H39" s="453"/>
      <c r="I39" s="453"/>
      <c r="J39" s="453"/>
      <c r="K39" s="453"/>
      <c r="L39" s="453"/>
      <c r="M39" s="14"/>
      <c r="S39" s="10">
        <f>IF(D39="X",0,1)</f>
        <v>1</v>
      </c>
    </row>
    <row r="40" spans="1:21" ht="15.75" customHeight="1">
      <c r="A40" s="14"/>
      <c r="B40" s="14"/>
      <c r="C40" s="14"/>
      <c r="D40" s="14"/>
      <c r="E40" s="14"/>
      <c r="F40" s="453"/>
      <c r="G40" s="453"/>
      <c r="H40" s="453"/>
      <c r="I40" s="453"/>
      <c r="J40" s="453"/>
      <c r="K40" s="453"/>
      <c r="L40" s="453"/>
      <c r="M40" s="14"/>
    </row>
    <row r="41" spans="1:21" ht="15.75" customHeight="1">
      <c r="A41" s="14"/>
      <c r="B41" s="14"/>
      <c r="C41" s="14"/>
      <c r="D41" s="8"/>
      <c r="E41" s="14"/>
      <c r="F41" s="452" t="s">
        <v>1246</v>
      </c>
      <c r="G41" s="452"/>
      <c r="H41" s="453"/>
      <c r="I41" s="453"/>
      <c r="J41" s="453"/>
      <c r="K41" s="453"/>
      <c r="L41" s="453"/>
      <c r="M41" s="14"/>
      <c r="S41" s="10">
        <f>IF(D41="X",0,1)</f>
        <v>1</v>
      </c>
    </row>
    <row r="42" spans="1:21" ht="12.75" customHeight="1">
      <c r="A42" s="14"/>
      <c r="B42" s="14"/>
      <c r="C42" s="14"/>
      <c r="D42" s="14"/>
      <c r="E42" s="14"/>
      <c r="F42" s="453"/>
      <c r="G42" s="453"/>
      <c r="H42" s="453"/>
      <c r="I42" s="453"/>
      <c r="J42" s="453"/>
      <c r="K42" s="453"/>
      <c r="L42" s="453"/>
      <c r="M42" s="14"/>
      <c r="S42" s="10">
        <f>IF(D43="X",0,1)</f>
        <v>1</v>
      </c>
    </row>
    <row r="43" spans="1:21" ht="12.75" customHeight="1">
      <c r="A43" s="14"/>
      <c r="B43" s="14"/>
      <c r="C43" s="14"/>
      <c r="D43" s="8"/>
      <c r="E43" s="14"/>
      <c r="F43" s="462" t="s">
        <v>1245</v>
      </c>
      <c r="G43" s="461"/>
      <c r="H43" s="461"/>
      <c r="I43" s="461"/>
      <c r="J43" s="461"/>
      <c r="K43" s="461"/>
      <c r="L43" s="461"/>
      <c r="M43" s="14"/>
      <c r="S43" s="10">
        <f>IF(D45="X",0,1)</f>
        <v>1</v>
      </c>
    </row>
    <row r="44" spans="1:21" ht="27.75" customHeight="1">
      <c r="A44" s="14"/>
      <c r="B44" s="14"/>
      <c r="C44" s="14"/>
      <c r="D44" s="291"/>
      <c r="E44" s="14"/>
      <c r="F44" s="451"/>
      <c r="G44" s="461"/>
      <c r="H44" s="461"/>
      <c r="I44" s="461"/>
      <c r="J44" s="461"/>
      <c r="K44" s="461"/>
      <c r="L44" s="461"/>
      <c r="M44" s="14"/>
      <c r="S44" s="10">
        <f>SUM(S35:S43)</f>
        <v>6</v>
      </c>
    </row>
    <row r="45" spans="1:21" ht="12.75" customHeight="1">
      <c r="A45" s="14"/>
      <c r="B45" s="14"/>
      <c r="C45" s="14"/>
      <c r="D45" s="8"/>
      <c r="E45" s="14"/>
      <c r="F45" s="463" t="s">
        <v>1247</v>
      </c>
      <c r="G45" s="464"/>
      <c r="H45" s="464"/>
      <c r="I45" s="464"/>
      <c r="J45" s="464"/>
      <c r="K45" s="464"/>
      <c r="L45" s="464"/>
      <c r="M45" s="14"/>
    </row>
    <row r="46" spans="1:21" ht="27" customHeight="1">
      <c r="A46" s="14"/>
      <c r="B46" s="14"/>
      <c r="C46" s="14"/>
      <c r="D46" s="291"/>
      <c r="E46" s="14"/>
      <c r="F46" s="464"/>
      <c r="G46" s="464"/>
      <c r="H46" s="464"/>
      <c r="I46" s="464"/>
      <c r="J46" s="464"/>
      <c r="K46" s="464"/>
      <c r="L46" s="464"/>
      <c r="M46" s="14"/>
    </row>
    <row r="47" spans="1:21" ht="12.75" customHeight="1">
      <c r="A47" s="14"/>
      <c r="B47" s="14"/>
      <c r="C47" s="14"/>
      <c r="D47" s="14" t="s">
        <v>531</v>
      </c>
      <c r="E47" s="14"/>
      <c r="F47" s="14"/>
      <c r="G47" s="454"/>
      <c r="H47" s="455"/>
      <c r="I47" s="455"/>
      <c r="J47" s="455"/>
      <c r="K47" s="455"/>
      <c r="L47" s="455"/>
      <c r="M47" s="455"/>
    </row>
    <row r="48" spans="1:21" ht="12.75" customHeight="1">
      <c r="A48" s="14"/>
      <c r="B48" s="14"/>
      <c r="C48" s="14"/>
      <c r="D48" s="14"/>
      <c r="E48" s="14"/>
      <c r="F48" s="14"/>
      <c r="G48" s="455"/>
      <c r="H48" s="455"/>
      <c r="I48" s="455"/>
      <c r="J48" s="455"/>
      <c r="K48" s="455"/>
      <c r="L48" s="455"/>
      <c r="M48" s="455"/>
    </row>
    <row r="49" spans="1:18" ht="12.75" customHeight="1">
      <c r="A49" s="14"/>
      <c r="B49" s="14"/>
      <c r="C49" s="14"/>
      <c r="D49" s="14"/>
      <c r="E49" s="14"/>
      <c r="F49" s="14"/>
      <c r="G49" s="455"/>
      <c r="H49" s="455"/>
      <c r="I49" s="455"/>
      <c r="J49" s="455"/>
      <c r="K49" s="455"/>
      <c r="L49" s="455"/>
      <c r="M49" s="455"/>
    </row>
    <row r="50" spans="1:18" ht="15" customHeight="1">
      <c r="A50" s="17" t="s">
        <v>1229</v>
      </c>
      <c r="B50" s="17" t="s">
        <v>1231</v>
      </c>
      <c r="C50" s="17"/>
      <c r="D50" s="14"/>
      <c r="E50" s="14"/>
      <c r="F50" s="14"/>
      <c r="G50" s="14"/>
      <c r="H50" s="14"/>
      <c r="I50" s="14"/>
      <c r="J50" s="14"/>
      <c r="K50" s="14"/>
      <c r="L50" s="14"/>
      <c r="M50" s="14"/>
    </row>
    <row r="51" spans="1:18">
      <c r="A51" s="14"/>
      <c r="B51" s="8"/>
      <c r="C51" s="14"/>
      <c r="D51" s="14" t="s">
        <v>515</v>
      </c>
      <c r="E51" s="14"/>
      <c r="F51" s="14"/>
      <c r="G51" s="14"/>
      <c r="H51" s="14"/>
      <c r="I51" s="14"/>
      <c r="J51" s="14"/>
      <c r="K51" s="14"/>
      <c r="L51" s="14"/>
      <c r="M51" s="14"/>
      <c r="O51" s="10">
        <f>IF(B51="x",1,0)</f>
        <v>0</v>
      </c>
    </row>
    <row r="52" spans="1:18">
      <c r="A52" s="14"/>
      <c r="B52" s="292"/>
      <c r="C52" s="14"/>
      <c r="D52" s="294" t="s">
        <v>1232</v>
      </c>
      <c r="E52" s="14"/>
      <c r="F52" s="14"/>
      <c r="G52" s="14"/>
      <c r="H52" s="14"/>
      <c r="I52" s="14"/>
      <c r="J52" s="14"/>
      <c r="K52" s="14"/>
      <c r="L52" s="14"/>
      <c r="M52" s="14"/>
      <c r="O52" s="296">
        <f>IF(B52="x",1,0)</f>
        <v>0</v>
      </c>
    </row>
    <row r="53" spans="1:18">
      <c r="A53" s="14"/>
      <c r="B53" s="8"/>
      <c r="C53" s="14"/>
      <c r="D53" s="14" t="s">
        <v>516</v>
      </c>
      <c r="E53" s="14"/>
      <c r="F53" s="14"/>
      <c r="G53" s="14"/>
      <c r="H53" s="14"/>
      <c r="I53" s="14"/>
      <c r="J53" s="14"/>
      <c r="K53" s="14"/>
      <c r="L53" s="14"/>
      <c r="M53" s="14"/>
      <c r="O53" s="10">
        <f>IF(B53="x",1,0)</f>
        <v>0</v>
      </c>
      <c r="Q53" s="10">
        <f>SUM(O51:O55)</f>
        <v>0</v>
      </c>
      <c r="R53" s="10" t="str">
        <f>IF(Q53=0,"X","")</f>
        <v>X</v>
      </c>
    </row>
    <row r="54" spans="1:18">
      <c r="A54" s="14"/>
      <c r="B54" s="8"/>
      <c r="C54" s="14"/>
      <c r="D54" s="14" t="s">
        <v>585</v>
      </c>
      <c r="E54" s="14"/>
      <c r="F54" s="14"/>
      <c r="G54" s="14"/>
      <c r="H54" s="14"/>
      <c r="I54" s="14"/>
      <c r="J54" s="14"/>
      <c r="K54" s="14"/>
      <c r="L54" s="14"/>
      <c r="M54" s="14"/>
      <c r="O54" s="10">
        <f>IF(B54="x",1,0)</f>
        <v>0</v>
      </c>
    </row>
    <row r="55" spans="1:18">
      <c r="A55" s="14"/>
      <c r="B55" s="8"/>
      <c r="C55" s="14"/>
      <c r="D55" s="14" t="s">
        <v>517</v>
      </c>
      <c r="E55" s="14"/>
      <c r="F55" s="14"/>
      <c r="G55" s="14"/>
      <c r="H55" s="14"/>
      <c r="I55" s="14"/>
      <c r="J55" s="14"/>
      <c r="K55" s="14"/>
      <c r="L55" s="14"/>
      <c r="M55" s="14"/>
      <c r="O55" s="10">
        <f>IF(B55="X",1,0)</f>
        <v>0</v>
      </c>
    </row>
    <row r="56" spans="1:18">
      <c r="A56" s="14"/>
      <c r="B56" s="9"/>
      <c r="C56" s="14"/>
      <c r="D56" s="14" t="s">
        <v>531</v>
      </c>
      <c r="E56" s="14"/>
      <c r="F56" s="14"/>
      <c r="G56" s="454"/>
      <c r="H56" s="455"/>
      <c r="I56" s="455"/>
      <c r="J56" s="455"/>
      <c r="K56" s="455"/>
      <c r="L56" s="455"/>
      <c r="M56" s="455"/>
    </row>
    <row r="57" spans="1:18">
      <c r="A57" s="14"/>
      <c r="B57" s="9"/>
      <c r="C57" s="14"/>
      <c r="D57" s="14"/>
      <c r="E57" s="14"/>
      <c r="F57" s="14"/>
      <c r="G57" s="455"/>
      <c r="H57" s="455"/>
      <c r="I57" s="455"/>
      <c r="J57" s="455"/>
      <c r="K57" s="455"/>
      <c r="L57" s="455"/>
      <c r="M57" s="455"/>
    </row>
    <row r="58" spans="1:18">
      <c r="A58" s="14"/>
      <c r="B58" s="9"/>
      <c r="C58" s="14"/>
      <c r="D58" s="14"/>
      <c r="E58" s="14"/>
      <c r="F58" s="14"/>
      <c r="G58" s="455"/>
      <c r="H58" s="455"/>
      <c r="I58" s="455"/>
      <c r="J58" s="455"/>
      <c r="K58" s="455"/>
      <c r="L58" s="455"/>
      <c r="M58" s="455"/>
    </row>
    <row r="59" spans="1:18">
      <c r="A59" s="17" t="s">
        <v>1230</v>
      </c>
      <c r="B59" s="17" t="s">
        <v>518</v>
      </c>
      <c r="C59" s="17"/>
      <c r="D59" s="14"/>
      <c r="E59" s="14"/>
      <c r="F59" s="14"/>
      <c r="G59" s="14"/>
      <c r="H59" s="14"/>
      <c r="I59" s="14"/>
      <c r="J59" s="14"/>
      <c r="K59" s="14"/>
      <c r="L59" s="14"/>
      <c r="M59" s="14"/>
    </row>
    <row r="60" spans="1:18">
      <c r="A60" s="14"/>
      <c r="B60" s="8"/>
      <c r="C60" s="14"/>
      <c r="D60" s="14" t="s">
        <v>519</v>
      </c>
      <c r="E60" s="14"/>
      <c r="F60" s="14"/>
      <c r="G60" s="14"/>
      <c r="H60" s="14"/>
      <c r="I60" s="14"/>
      <c r="J60" s="14"/>
      <c r="K60" s="14"/>
      <c r="L60" s="14"/>
      <c r="M60" s="14"/>
      <c r="O60" s="10">
        <f>IF(B60="x",1,0)</f>
        <v>0</v>
      </c>
    </row>
    <row r="61" spans="1:18">
      <c r="A61" s="14"/>
      <c r="B61" s="8"/>
      <c r="C61" s="14"/>
      <c r="D61" s="14" t="s">
        <v>520</v>
      </c>
      <c r="E61" s="14"/>
      <c r="F61" s="14"/>
      <c r="G61" s="14"/>
      <c r="H61" s="14"/>
      <c r="I61" s="14"/>
      <c r="J61" s="14"/>
      <c r="K61" s="14"/>
      <c r="L61" s="14"/>
      <c r="M61" s="14"/>
      <c r="O61" s="10">
        <f>IF(B61="x",1,0)</f>
        <v>0</v>
      </c>
      <c r="Q61" s="10">
        <f>SUM(O60:O64)</f>
        <v>0</v>
      </c>
      <c r="R61" s="10" t="str">
        <f>IF(Q61=0,"X","")</f>
        <v>X</v>
      </c>
    </row>
    <row r="62" spans="1:18">
      <c r="A62" s="14"/>
      <c r="B62" s="8"/>
      <c r="C62" s="14"/>
      <c r="D62" s="14" t="s">
        <v>521</v>
      </c>
      <c r="E62" s="14"/>
      <c r="F62" s="14"/>
      <c r="G62" s="14"/>
      <c r="H62" s="14"/>
      <c r="I62" s="14"/>
      <c r="J62" s="14"/>
      <c r="K62" s="14"/>
      <c r="L62" s="14"/>
      <c r="M62" s="14"/>
      <c r="O62" s="10">
        <f>IF(B62="X",1,0)</f>
        <v>0</v>
      </c>
    </row>
    <row r="63" spans="1:18" s="296" customFormat="1">
      <c r="A63" s="297"/>
      <c r="B63" s="339"/>
      <c r="C63" s="297"/>
      <c r="D63" s="297" t="s">
        <v>1424</v>
      </c>
      <c r="E63" s="297"/>
      <c r="F63" s="297"/>
      <c r="G63" s="297"/>
      <c r="H63" s="297"/>
      <c r="I63" s="297"/>
      <c r="J63" s="297"/>
      <c r="K63" s="297"/>
      <c r="L63" s="297"/>
      <c r="M63" s="297"/>
      <c r="O63" s="296">
        <f>IF(B63="X",1,0)</f>
        <v>0</v>
      </c>
    </row>
    <row r="64" spans="1:18">
      <c r="A64" s="14"/>
      <c r="B64" s="8"/>
      <c r="C64" s="14"/>
      <c r="D64" s="14" t="s">
        <v>577</v>
      </c>
      <c r="E64" s="14"/>
      <c r="F64" s="14"/>
      <c r="G64" s="14"/>
      <c r="H64" s="14"/>
      <c r="I64" s="14"/>
      <c r="J64" s="14"/>
      <c r="K64" s="14"/>
      <c r="L64" s="14"/>
      <c r="M64" s="14"/>
      <c r="O64" s="10">
        <f>IF(B64="x",1,0)</f>
        <v>0</v>
      </c>
    </row>
    <row r="65" spans="1:13">
      <c r="A65" s="14"/>
      <c r="B65" s="9"/>
      <c r="C65" s="14"/>
      <c r="D65" s="14" t="s">
        <v>588</v>
      </c>
      <c r="E65" s="14"/>
      <c r="F65" s="14"/>
      <c r="G65" s="14"/>
      <c r="H65" s="14"/>
      <c r="I65" s="14"/>
      <c r="J65" s="14"/>
      <c r="K65" s="14"/>
      <c r="L65" s="14"/>
      <c r="M65" s="14"/>
    </row>
    <row r="66" spans="1:13">
      <c r="A66" s="14"/>
      <c r="B66" s="9"/>
      <c r="C66" s="14"/>
      <c r="D66" s="14" t="s">
        <v>578</v>
      </c>
      <c r="E66" s="14" t="s">
        <v>579</v>
      </c>
      <c r="F66" s="14"/>
      <c r="H66" s="14"/>
      <c r="I66" s="14"/>
      <c r="J66" s="14"/>
      <c r="K66" s="14"/>
      <c r="L66" s="14"/>
      <c r="M66" s="14"/>
    </row>
    <row r="67" spans="1:13">
      <c r="A67" s="14"/>
      <c r="B67" s="9"/>
      <c r="C67" s="14"/>
      <c r="D67" s="14" t="s">
        <v>578</v>
      </c>
      <c r="E67" s="14" t="s">
        <v>580</v>
      </c>
      <c r="F67" s="14"/>
      <c r="H67" s="14"/>
      <c r="I67" s="14"/>
      <c r="J67" s="14"/>
      <c r="K67" s="14"/>
      <c r="L67" s="14"/>
      <c r="M67" s="14"/>
    </row>
    <row r="68" spans="1:13">
      <c r="A68" s="14"/>
      <c r="B68" s="9"/>
      <c r="C68" s="14"/>
      <c r="D68" s="14" t="s">
        <v>578</v>
      </c>
      <c r="E68" s="14" t="s">
        <v>581</v>
      </c>
      <c r="F68" s="14"/>
      <c r="H68" s="14"/>
      <c r="I68" s="14"/>
      <c r="J68" s="14"/>
      <c r="K68" s="14"/>
      <c r="L68" s="14"/>
      <c r="M68" s="14"/>
    </row>
    <row r="69" spans="1:13">
      <c r="A69" s="14"/>
      <c r="B69" s="9"/>
      <c r="C69" s="14"/>
      <c r="D69" s="14" t="s">
        <v>578</v>
      </c>
      <c r="E69" s="14" t="s">
        <v>582</v>
      </c>
      <c r="F69" s="14"/>
      <c r="H69" s="14"/>
      <c r="I69" s="14"/>
      <c r="J69" s="14"/>
      <c r="K69" s="14"/>
      <c r="L69" s="14"/>
      <c r="M69" s="14"/>
    </row>
    <row r="70" spans="1:13">
      <c r="A70" s="14"/>
      <c r="B70" s="9"/>
      <c r="C70" s="14"/>
      <c r="D70" s="14" t="s">
        <v>578</v>
      </c>
      <c r="E70" s="24" t="s">
        <v>587</v>
      </c>
      <c r="F70" s="14"/>
      <c r="H70" s="14"/>
      <c r="I70" s="14"/>
      <c r="J70" s="14"/>
      <c r="K70" s="14"/>
      <c r="L70" s="14"/>
      <c r="M70" s="14"/>
    </row>
    <row r="71" spans="1:13" ht="28.5" customHeight="1">
      <c r="A71" s="14"/>
      <c r="B71" s="9"/>
      <c r="C71" s="14"/>
      <c r="D71" s="14" t="s">
        <v>578</v>
      </c>
      <c r="E71" s="452" t="s">
        <v>583</v>
      </c>
      <c r="F71" s="451"/>
      <c r="G71" s="451"/>
      <c r="H71" s="451"/>
      <c r="I71" s="451"/>
      <c r="J71" s="451"/>
      <c r="K71" s="451"/>
      <c r="L71" s="14"/>
      <c r="M71" s="14"/>
    </row>
    <row r="72" spans="1:13">
      <c r="A72" s="14"/>
      <c r="B72" s="9"/>
      <c r="C72" s="14"/>
      <c r="D72" s="14" t="s">
        <v>531</v>
      </c>
      <c r="E72" s="14"/>
      <c r="F72" s="14"/>
      <c r="G72" s="447"/>
      <c r="H72" s="448"/>
      <c r="I72" s="448"/>
      <c r="J72" s="448"/>
      <c r="K72" s="448"/>
      <c r="L72" s="448"/>
      <c r="M72" s="448"/>
    </row>
    <row r="73" spans="1:13">
      <c r="A73" s="14"/>
      <c r="B73" s="9"/>
      <c r="C73" s="14"/>
      <c r="D73" s="14"/>
      <c r="E73" s="14"/>
      <c r="F73" s="14"/>
      <c r="G73" s="448"/>
      <c r="H73" s="448"/>
      <c r="I73" s="448"/>
      <c r="J73" s="448"/>
      <c r="K73" s="448"/>
      <c r="L73" s="448"/>
      <c r="M73" s="448"/>
    </row>
    <row r="74" spans="1:13">
      <c r="A74" s="14"/>
      <c r="B74" s="9"/>
      <c r="C74" s="14"/>
      <c r="D74" s="14"/>
      <c r="E74" s="14"/>
      <c r="F74" s="14"/>
      <c r="G74" s="448"/>
      <c r="H74" s="448"/>
      <c r="I74" s="448"/>
      <c r="J74" s="448"/>
      <c r="K74" s="448"/>
      <c r="L74" s="448"/>
      <c r="M74" s="448"/>
    </row>
    <row r="75" spans="1:13">
      <c r="A75" s="14"/>
      <c r="B75" s="9"/>
      <c r="C75" s="14"/>
      <c r="D75" s="14"/>
      <c r="E75" s="14"/>
      <c r="F75" s="14"/>
      <c r="G75" s="448"/>
      <c r="H75" s="448"/>
      <c r="I75" s="448"/>
      <c r="J75" s="448"/>
      <c r="K75" s="448"/>
      <c r="L75" s="448"/>
      <c r="M75" s="448"/>
    </row>
    <row r="76" spans="1:13">
      <c r="A76" s="14"/>
      <c r="B76" s="9"/>
      <c r="C76" s="14"/>
      <c r="D76" s="14"/>
      <c r="E76" s="14"/>
      <c r="F76" s="14"/>
      <c r="G76" s="448"/>
      <c r="H76" s="448"/>
      <c r="I76" s="448"/>
      <c r="J76" s="448"/>
      <c r="K76" s="448"/>
      <c r="L76" s="448"/>
      <c r="M76" s="448"/>
    </row>
    <row r="77" spans="1:13">
      <c r="A77" s="14"/>
      <c r="B77" s="9"/>
      <c r="C77" s="14"/>
      <c r="D77" s="14"/>
      <c r="E77" s="14"/>
      <c r="F77" s="14"/>
      <c r="G77" s="448"/>
      <c r="H77" s="448"/>
      <c r="I77" s="448"/>
      <c r="J77" s="448"/>
      <c r="K77" s="448"/>
      <c r="L77" s="448"/>
      <c r="M77" s="448"/>
    </row>
    <row r="78" spans="1:13" ht="24" customHeight="1">
      <c r="A78" s="14"/>
      <c r="B78" s="9"/>
      <c r="C78" s="14"/>
      <c r="D78" s="14"/>
      <c r="E78" s="14"/>
      <c r="F78" s="14"/>
      <c r="G78" s="448"/>
      <c r="H78" s="448"/>
      <c r="I78" s="448"/>
      <c r="J78" s="448"/>
      <c r="K78" s="448"/>
      <c r="L78" s="448"/>
      <c r="M78" s="448"/>
    </row>
    <row r="79" spans="1:13">
      <c r="A79" s="17" t="s">
        <v>514</v>
      </c>
      <c r="B79" s="450" t="s">
        <v>586</v>
      </c>
      <c r="C79" s="451"/>
      <c r="D79" s="451"/>
      <c r="E79" s="451"/>
      <c r="F79" s="451"/>
      <c r="G79" s="451"/>
      <c r="H79" s="451"/>
      <c r="I79" s="451"/>
      <c r="J79" s="451"/>
      <c r="K79" s="451"/>
      <c r="L79" s="451"/>
      <c r="M79" s="451"/>
    </row>
    <row r="80" spans="1:13" ht="13.5" customHeight="1">
      <c r="A80" s="17"/>
      <c r="B80" s="451"/>
      <c r="C80" s="451"/>
      <c r="D80" s="451"/>
      <c r="E80" s="451"/>
      <c r="F80" s="451"/>
      <c r="G80" s="451"/>
      <c r="H80" s="451"/>
      <c r="I80" s="451"/>
      <c r="J80" s="451"/>
      <c r="K80" s="451"/>
      <c r="L80" s="451"/>
      <c r="M80" s="451"/>
    </row>
    <row r="81" spans="1:18">
      <c r="A81" s="14"/>
      <c r="B81" s="8"/>
      <c r="C81" s="14"/>
      <c r="D81" s="297" t="s">
        <v>522</v>
      </c>
      <c r="E81" s="14"/>
      <c r="F81" s="14"/>
      <c r="G81" s="14"/>
      <c r="H81" s="14"/>
      <c r="I81" s="14"/>
      <c r="J81" s="14"/>
      <c r="K81" s="14"/>
      <c r="L81" s="14"/>
      <c r="M81" s="14"/>
      <c r="O81" s="10">
        <f>IF(B81="x",1,0)</f>
        <v>0</v>
      </c>
    </row>
    <row r="82" spans="1:18">
      <c r="A82" s="14"/>
      <c r="B82" s="8"/>
      <c r="C82" s="14"/>
      <c r="D82" s="452" t="s">
        <v>594</v>
      </c>
      <c r="E82" s="453"/>
      <c r="F82" s="453"/>
      <c r="G82" s="453"/>
      <c r="H82" s="453"/>
      <c r="I82" s="453"/>
      <c r="J82" s="453"/>
      <c r="K82" s="453"/>
      <c r="L82" s="453"/>
      <c r="M82" s="453"/>
      <c r="O82" s="10">
        <f>IF(B82="x",1,0)</f>
        <v>0</v>
      </c>
      <c r="Q82" s="10">
        <f>SUM(O81:O89)</f>
        <v>0</v>
      </c>
      <c r="R82" s="10" t="s">
        <v>584</v>
      </c>
    </row>
    <row r="83" spans="1:18" ht="14.25" customHeight="1">
      <c r="A83" s="14"/>
      <c r="B83" s="14"/>
      <c r="C83" s="14"/>
      <c r="D83" s="453"/>
      <c r="E83" s="453"/>
      <c r="F83" s="453"/>
      <c r="G83" s="453"/>
      <c r="H83" s="453"/>
      <c r="I83" s="453"/>
      <c r="J83" s="453"/>
      <c r="K83" s="453"/>
      <c r="L83" s="453"/>
      <c r="M83" s="453"/>
    </row>
    <row r="84" spans="1:18" ht="14.25" customHeight="1">
      <c r="A84" s="14"/>
      <c r="B84" s="8"/>
      <c r="C84" s="14"/>
      <c r="D84" s="452" t="s">
        <v>593</v>
      </c>
      <c r="E84" s="453"/>
      <c r="F84" s="453"/>
      <c r="G84" s="453"/>
      <c r="H84" s="453"/>
      <c r="I84" s="453"/>
      <c r="J84" s="453"/>
      <c r="K84" s="453"/>
      <c r="L84" s="453"/>
      <c r="M84" s="453"/>
      <c r="O84" s="10">
        <f>IF(B84="X",1,0)</f>
        <v>0</v>
      </c>
    </row>
    <row r="85" spans="1:18" ht="15" customHeight="1">
      <c r="A85" s="14"/>
      <c r="B85" s="14"/>
      <c r="C85" s="14"/>
      <c r="D85" s="453"/>
      <c r="E85" s="453"/>
      <c r="F85" s="453"/>
      <c r="G85" s="453"/>
      <c r="H85" s="453"/>
      <c r="I85" s="453"/>
      <c r="J85" s="453"/>
      <c r="K85" s="453"/>
      <c r="L85" s="453"/>
      <c r="M85" s="453"/>
    </row>
    <row r="86" spans="1:18" ht="15" customHeight="1">
      <c r="A86" s="14"/>
      <c r="B86" s="8"/>
      <c r="C86" s="14"/>
      <c r="D86" s="20" t="s">
        <v>527</v>
      </c>
      <c r="E86" s="19"/>
      <c r="F86" s="19"/>
      <c r="G86" s="19"/>
      <c r="H86" s="19"/>
      <c r="I86" s="19"/>
      <c r="J86" s="19"/>
      <c r="K86" s="19"/>
      <c r="L86" s="19"/>
      <c r="M86" s="19"/>
      <c r="O86" s="10">
        <f>IF(B86="X",1,0)</f>
        <v>0</v>
      </c>
    </row>
    <row r="87" spans="1:18">
      <c r="A87" s="14"/>
      <c r="B87" s="8"/>
      <c r="C87" s="14"/>
      <c r="D87" s="14" t="s">
        <v>590</v>
      </c>
      <c r="E87" s="14"/>
      <c r="F87" s="14"/>
      <c r="G87" s="14"/>
      <c r="H87" s="14"/>
      <c r="I87" s="14"/>
      <c r="J87" s="14"/>
      <c r="K87" s="14"/>
      <c r="L87" s="14"/>
      <c r="M87" s="14"/>
      <c r="O87" s="10">
        <f>IF(B87="X",1,0)</f>
        <v>0</v>
      </c>
    </row>
    <row r="88" spans="1:18">
      <c r="A88" s="14"/>
      <c r="B88" s="8"/>
      <c r="C88" s="14"/>
      <c r="D88" s="14" t="s">
        <v>592</v>
      </c>
      <c r="E88" s="14"/>
      <c r="F88" s="14"/>
      <c r="G88" s="14"/>
      <c r="H88" s="14"/>
      <c r="I88" s="14"/>
      <c r="J88" s="14"/>
      <c r="K88" s="14"/>
      <c r="L88" s="14"/>
      <c r="M88" s="14"/>
      <c r="O88" s="10">
        <f>IF(B88="X",1,0)</f>
        <v>0</v>
      </c>
    </row>
    <row r="89" spans="1:18">
      <c r="A89" s="14"/>
      <c r="B89" s="8"/>
      <c r="C89" s="14"/>
      <c r="D89" s="14" t="s">
        <v>591</v>
      </c>
      <c r="E89" s="14"/>
      <c r="F89" s="14"/>
      <c r="G89" s="14"/>
      <c r="H89" s="14"/>
      <c r="I89" s="14"/>
      <c r="J89" s="14"/>
      <c r="K89" s="14"/>
      <c r="L89" s="14"/>
      <c r="M89" s="14"/>
      <c r="O89" s="10">
        <f>IF(B89="X",1,0)</f>
        <v>0</v>
      </c>
    </row>
    <row r="90" spans="1:18">
      <c r="A90" s="14"/>
      <c r="B90" s="9"/>
      <c r="C90" s="14"/>
      <c r="D90" s="14"/>
      <c r="E90" s="14"/>
      <c r="F90" s="14"/>
      <c r="G90" s="454"/>
      <c r="H90" s="455"/>
      <c r="I90" s="455"/>
      <c r="J90" s="455"/>
      <c r="K90" s="455"/>
      <c r="L90" s="455"/>
      <c r="M90" s="455"/>
    </row>
    <row r="91" spans="1:18">
      <c r="A91" s="14"/>
      <c r="B91" s="9"/>
      <c r="C91" s="14"/>
      <c r="D91" s="14"/>
      <c r="E91" s="14"/>
      <c r="F91" s="14"/>
      <c r="G91" s="455"/>
      <c r="H91" s="455"/>
      <c r="I91" s="455"/>
      <c r="J91" s="455"/>
      <c r="K91" s="455"/>
      <c r="L91" s="455"/>
      <c r="M91" s="455"/>
    </row>
    <row r="92" spans="1:18" s="296" customFormat="1">
      <c r="A92" s="297"/>
      <c r="B92" s="295"/>
      <c r="C92" s="297"/>
      <c r="D92" s="297"/>
      <c r="E92" s="297"/>
      <c r="F92" s="297"/>
      <c r="G92" s="455"/>
      <c r="H92" s="455"/>
      <c r="I92" s="455"/>
      <c r="J92" s="455"/>
      <c r="K92" s="455"/>
      <c r="L92" s="455"/>
      <c r="M92" s="455"/>
    </row>
    <row r="93" spans="1:18">
      <c r="A93" s="14"/>
      <c r="B93" s="9"/>
      <c r="C93" s="14"/>
      <c r="D93" s="14"/>
      <c r="E93" s="14"/>
      <c r="F93" s="14"/>
      <c r="G93" s="455"/>
      <c r="H93" s="455"/>
      <c r="I93" s="455"/>
      <c r="J93" s="455"/>
      <c r="K93" s="455"/>
      <c r="L93" s="455"/>
      <c r="M93" s="455"/>
    </row>
    <row r="94" spans="1:18" s="296" customFormat="1">
      <c r="A94" s="17" t="s">
        <v>1425</v>
      </c>
      <c r="B94" s="456" t="s">
        <v>1432</v>
      </c>
      <c r="C94" s="457"/>
      <c r="D94" s="457"/>
      <c r="E94" s="457"/>
      <c r="F94" s="457"/>
      <c r="G94" s="457"/>
      <c r="H94" s="457"/>
      <c r="I94" s="457"/>
      <c r="J94" s="457"/>
      <c r="K94" s="457"/>
      <c r="L94" s="457"/>
      <c r="M94" s="457"/>
    </row>
    <row r="95" spans="1:18" s="296" customFormat="1">
      <c r="A95" s="297"/>
      <c r="B95" s="457"/>
      <c r="C95" s="457"/>
      <c r="D95" s="457"/>
      <c r="E95" s="457"/>
      <c r="F95" s="457"/>
      <c r="G95" s="457"/>
      <c r="H95" s="457"/>
      <c r="I95" s="457"/>
      <c r="J95" s="457"/>
      <c r="K95" s="457"/>
      <c r="L95" s="457"/>
      <c r="M95" s="457"/>
    </row>
    <row r="96" spans="1:18" s="296" customFormat="1">
      <c r="A96" s="297"/>
      <c r="B96" s="8"/>
      <c r="C96" s="297"/>
      <c r="D96" s="297" t="s">
        <v>1426</v>
      </c>
      <c r="E96" s="297"/>
      <c r="F96" s="340"/>
      <c r="G96" s="340"/>
      <c r="H96" s="340"/>
      <c r="I96" s="340"/>
      <c r="J96" s="340"/>
      <c r="K96" s="340"/>
      <c r="L96" s="340"/>
      <c r="M96" s="340"/>
      <c r="O96" s="296">
        <f>IF(B96="X",1,0)</f>
        <v>0</v>
      </c>
    </row>
    <row r="97" spans="1:18" s="296" customFormat="1">
      <c r="A97" s="297"/>
      <c r="B97" s="8"/>
      <c r="C97" s="297"/>
      <c r="D97" s="297" t="s">
        <v>1427</v>
      </c>
      <c r="E97" s="297"/>
      <c r="F97" s="297"/>
      <c r="G97" s="297"/>
      <c r="H97" s="297"/>
      <c r="I97" s="297"/>
      <c r="J97" s="297"/>
      <c r="K97" s="297"/>
      <c r="L97" s="297"/>
      <c r="M97" s="297"/>
      <c r="O97" s="296">
        <f>IF(B97="X",1,0)</f>
        <v>0</v>
      </c>
      <c r="Q97" s="296">
        <f>SUM(O96:O98)</f>
        <v>0</v>
      </c>
      <c r="R97" s="296" t="str">
        <f>IF(Q97=0,"X","")</f>
        <v>X</v>
      </c>
    </row>
    <row r="98" spans="1:18" s="296" customFormat="1">
      <c r="A98" s="297"/>
      <c r="B98" s="8"/>
      <c r="C98" s="297"/>
      <c r="D98" s="297" t="s">
        <v>1433</v>
      </c>
      <c r="E98" s="297"/>
      <c r="F98" s="297"/>
      <c r="G98" s="297"/>
      <c r="H98" s="297"/>
      <c r="I98" s="297"/>
      <c r="J98" s="297"/>
      <c r="K98" s="297"/>
      <c r="L98" s="297"/>
      <c r="M98" s="297"/>
      <c r="O98" s="296">
        <f>IF(B98="X",1,0)</f>
        <v>0</v>
      </c>
    </row>
    <row r="99" spans="1:18" s="296" customFormat="1">
      <c r="A99" s="297"/>
      <c r="B99" s="295"/>
      <c r="C99" s="297"/>
      <c r="D99" s="297" t="s">
        <v>1431</v>
      </c>
      <c r="E99" s="297"/>
      <c r="F99" s="297"/>
      <c r="G99" s="455"/>
      <c r="H99" s="455"/>
      <c r="I99" s="455"/>
      <c r="J99" s="455"/>
      <c r="K99" s="455"/>
      <c r="L99" s="455"/>
      <c r="M99" s="455"/>
    </row>
    <row r="100" spans="1:18" s="296" customFormat="1">
      <c r="A100" s="297"/>
      <c r="B100" s="295"/>
      <c r="C100" s="297"/>
      <c r="D100" s="297"/>
      <c r="E100" s="297"/>
      <c r="F100" s="297"/>
      <c r="G100" s="455"/>
      <c r="H100" s="455"/>
      <c r="I100" s="455"/>
      <c r="J100" s="455"/>
      <c r="K100" s="455"/>
      <c r="L100" s="455"/>
      <c r="M100" s="455"/>
    </row>
    <row r="101" spans="1:18" s="296" customFormat="1">
      <c r="A101" s="297" t="s">
        <v>1429</v>
      </c>
      <c r="B101" s="458" t="s">
        <v>1434</v>
      </c>
      <c r="C101" s="459"/>
      <c r="D101" s="459"/>
      <c r="E101" s="459"/>
      <c r="F101" s="459"/>
      <c r="G101" s="459"/>
      <c r="H101" s="459"/>
      <c r="I101" s="459"/>
      <c r="J101" s="459"/>
      <c r="K101" s="459"/>
      <c r="L101" s="459"/>
      <c r="M101" s="459"/>
    </row>
    <row r="102" spans="1:18" s="296" customFormat="1">
      <c r="A102" s="297"/>
      <c r="B102" s="339"/>
      <c r="C102" s="297"/>
      <c r="D102" s="297" t="s">
        <v>1430</v>
      </c>
      <c r="E102" s="297"/>
      <c r="F102" s="297"/>
      <c r="G102" s="337"/>
      <c r="H102" s="337"/>
      <c r="I102" s="337"/>
      <c r="J102" s="337"/>
      <c r="K102" s="337"/>
      <c r="L102" s="337"/>
      <c r="M102" s="337"/>
      <c r="O102" s="296">
        <f>IF(B102="X",1,0)</f>
        <v>0</v>
      </c>
    </row>
    <row r="103" spans="1:18" s="296" customFormat="1">
      <c r="A103" s="297"/>
      <c r="B103" s="339"/>
      <c r="C103" s="297"/>
      <c r="D103" s="297" t="s">
        <v>1435</v>
      </c>
      <c r="E103" s="297"/>
      <c r="F103" s="297"/>
      <c r="G103" s="337"/>
      <c r="H103" s="337"/>
      <c r="I103" s="337"/>
      <c r="J103" s="337"/>
      <c r="K103" s="337"/>
      <c r="L103" s="337"/>
      <c r="M103" s="337"/>
      <c r="O103" s="296">
        <f>IF(B103="X",1,0)</f>
        <v>0</v>
      </c>
      <c r="Q103" s="296">
        <f>SUM(O102:O103)</f>
        <v>0</v>
      </c>
      <c r="R103" s="296" t="str">
        <f>IF(Q103=0,"X","")</f>
        <v>X</v>
      </c>
    </row>
    <row r="104" spans="1:18" s="296" customFormat="1">
      <c r="A104" s="297"/>
      <c r="B104" s="295"/>
      <c r="C104" s="297"/>
      <c r="D104" s="297" t="s">
        <v>531</v>
      </c>
      <c r="E104" s="297"/>
      <c r="F104" s="297"/>
      <c r="G104" s="455"/>
      <c r="H104" s="455"/>
      <c r="I104" s="455"/>
      <c r="J104" s="455"/>
      <c r="K104" s="455"/>
      <c r="L104" s="455"/>
      <c r="M104" s="455"/>
    </row>
    <row r="105" spans="1:18" s="296" customFormat="1">
      <c r="A105" s="297"/>
      <c r="B105" s="295"/>
      <c r="C105" s="297"/>
      <c r="D105" s="297"/>
      <c r="E105" s="297"/>
      <c r="F105" s="297"/>
      <c r="G105" s="455"/>
      <c r="H105" s="455"/>
      <c r="I105" s="455"/>
      <c r="J105" s="455"/>
      <c r="K105" s="455"/>
      <c r="L105" s="455"/>
      <c r="M105" s="455"/>
    </row>
    <row r="106" spans="1:18" s="296" customFormat="1">
      <c r="A106" s="297"/>
      <c r="B106" s="295"/>
      <c r="C106" s="297"/>
      <c r="D106" s="297"/>
      <c r="E106" s="297"/>
      <c r="F106" s="297"/>
      <c r="G106" s="336"/>
      <c r="H106" s="336"/>
      <c r="I106" s="336"/>
      <c r="J106" s="336"/>
      <c r="K106" s="336"/>
      <c r="L106" s="336"/>
      <c r="M106" s="336"/>
    </row>
    <row r="107" spans="1:18">
      <c r="A107" s="17" t="s">
        <v>1428</v>
      </c>
      <c r="B107" s="17" t="s">
        <v>534</v>
      </c>
      <c r="C107" s="17"/>
      <c r="D107" s="297"/>
      <c r="E107" s="297"/>
      <c r="F107" s="297"/>
      <c r="G107" s="297"/>
      <c r="H107" s="297"/>
      <c r="I107" s="297"/>
      <c r="J107" s="297"/>
      <c r="K107" s="297"/>
      <c r="L107" s="297"/>
      <c r="M107" s="297"/>
    </row>
    <row r="108" spans="1:18">
      <c r="A108" s="14"/>
      <c r="B108" s="8"/>
      <c r="C108" s="297"/>
      <c r="D108" s="297" t="s">
        <v>1248</v>
      </c>
      <c r="E108" s="17"/>
      <c r="F108" s="297"/>
      <c r="G108" s="297"/>
      <c r="H108" s="297"/>
      <c r="I108" s="297"/>
      <c r="J108" s="297"/>
      <c r="K108" s="297"/>
      <c r="L108" s="297"/>
      <c r="M108" s="297"/>
      <c r="O108" s="10">
        <f>IF(B108="x",1,0)</f>
        <v>0</v>
      </c>
    </row>
    <row r="109" spans="1:18">
      <c r="A109" s="14"/>
      <c r="B109" s="8"/>
      <c r="C109" s="297"/>
      <c r="D109" s="297" t="s">
        <v>589</v>
      </c>
      <c r="E109" s="297"/>
      <c r="F109" s="297"/>
      <c r="G109" s="297"/>
      <c r="H109" s="297"/>
      <c r="I109" s="297"/>
      <c r="J109" s="297"/>
      <c r="K109" s="297"/>
      <c r="L109" s="297"/>
      <c r="M109" s="297"/>
      <c r="O109" s="10">
        <f>IF(B109="x",1,0)</f>
        <v>0</v>
      </c>
      <c r="Q109" s="10">
        <f>SUM(O108:O112)</f>
        <v>0</v>
      </c>
      <c r="R109" s="10" t="str">
        <f>IF(Q109=0,"X","")</f>
        <v>X</v>
      </c>
    </row>
    <row r="110" spans="1:18">
      <c r="A110" s="14"/>
      <c r="B110" s="295"/>
      <c r="C110" s="297"/>
      <c r="D110" s="297" t="s">
        <v>531</v>
      </c>
      <c r="E110" s="297"/>
      <c r="F110" s="297"/>
      <c r="G110" s="454"/>
      <c r="H110" s="455"/>
      <c r="I110" s="455"/>
      <c r="J110" s="455"/>
      <c r="K110" s="455"/>
      <c r="L110" s="455"/>
      <c r="M110" s="455"/>
    </row>
    <row r="111" spans="1:18" s="296" customFormat="1">
      <c r="A111" s="297"/>
      <c r="B111" s="295"/>
      <c r="C111" s="297"/>
      <c r="D111" s="297"/>
      <c r="E111" s="297"/>
      <c r="F111" s="297"/>
      <c r="G111" s="454"/>
      <c r="H111" s="455"/>
      <c r="I111" s="455"/>
      <c r="J111" s="455"/>
      <c r="K111" s="455"/>
      <c r="L111" s="455"/>
      <c r="M111" s="455"/>
    </row>
    <row r="112" spans="1:18">
      <c r="A112" s="14"/>
      <c r="B112" s="295"/>
      <c r="C112" s="297"/>
      <c r="D112" s="297"/>
      <c r="E112" s="297"/>
      <c r="F112" s="297"/>
      <c r="G112" s="455"/>
      <c r="H112" s="455"/>
      <c r="I112" s="455"/>
      <c r="J112" s="455"/>
      <c r="K112" s="455"/>
      <c r="L112" s="455"/>
      <c r="M112" s="455"/>
    </row>
    <row r="113" spans="1:13">
      <c r="A113" s="16"/>
      <c r="B113" s="13"/>
      <c r="C113" s="13"/>
      <c r="D113" s="13"/>
      <c r="E113" s="13"/>
      <c r="F113" s="13"/>
      <c r="G113" s="13"/>
      <c r="H113" s="13"/>
      <c r="I113" s="13"/>
      <c r="J113" s="13"/>
      <c r="K113" s="13"/>
      <c r="L113" s="13"/>
      <c r="M113" s="13"/>
    </row>
    <row r="114" spans="1:13">
      <c r="A114" s="447"/>
      <c r="B114" s="448"/>
      <c r="C114" s="448"/>
      <c r="D114" s="448"/>
      <c r="E114" s="448"/>
      <c r="F114" s="448"/>
      <c r="G114" s="448"/>
      <c r="H114" s="448"/>
      <c r="I114" s="448"/>
      <c r="J114" s="448"/>
      <c r="K114" s="448"/>
      <c r="L114" s="448"/>
      <c r="M114" s="448"/>
    </row>
    <row r="115" spans="1:13">
      <c r="A115" s="448"/>
      <c r="B115" s="448"/>
      <c r="C115" s="448"/>
      <c r="D115" s="448"/>
      <c r="E115" s="448"/>
      <c r="F115" s="448"/>
      <c r="G115" s="448"/>
      <c r="H115" s="448"/>
      <c r="I115" s="448"/>
      <c r="J115" s="448"/>
      <c r="K115" s="448"/>
      <c r="L115" s="448"/>
      <c r="M115" s="448"/>
    </row>
    <row r="116" spans="1:13">
      <c r="A116" s="448"/>
      <c r="B116" s="448"/>
      <c r="C116" s="448"/>
      <c r="D116" s="448"/>
      <c r="E116" s="448"/>
      <c r="F116" s="448"/>
      <c r="G116" s="448"/>
      <c r="H116" s="448"/>
      <c r="I116" s="448"/>
      <c r="J116" s="448"/>
      <c r="K116" s="448"/>
      <c r="L116" s="448"/>
      <c r="M116" s="448"/>
    </row>
    <row r="117" spans="1:13">
      <c r="A117" s="448"/>
      <c r="B117" s="448"/>
      <c r="C117" s="448"/>
      <c r="D117" s="448"/>
      <c r="E117" s="448"/>
      <c r="F117" s="448"/>
      <c r="G117" s="448"/>
      <c r="H117" s="448"/>
      <c r="I117" s="448"/>
      <c r="J117" s="448"/>
      <c r="K117" s="448"/>
      <c r="L117" s="448"/>
      <c r="M117" s="448"/>
    </row>
    <row r="118" spans="1:13">
      <c r="A118" s="448"/>
      <c r="B118" s="448"/>
      <c r="C118" s="448"/>
      <c r="D118" s="448"/>
      <c r="E118" s="448"/>
      <c r="F118" s="448"/>
      <c r="G118" s="448"/>
      <c r="H118" s="448"/>
      <c r="I118" s="448"/>
      <c r="J118" s="448"/>
      <c r="K118" s="448"/>
      <c r="L118" s="448"/>
      <c r="M118" s="448"/>
    </row>
    <row r="119" spans="1:13">
      <c r="A119" s="448"/>
      <c r="B119" s="448"/>
      <c r="C119" s="448"/>
      <c r="D119" s="448"/>
      <c r="E119" s="448"/>
      <c r="F119" s="448"/>
      <c r="G119" s="448"/>
      <c r="H119" s="448"/>
      <c r="I119" s="448"/>
      <c r="J119" s="448"/>
      <c r="K119" s="448"/>
      <c r="L119" s="448"/>
      <c r="M119" s="448"/>
    </row>
    <row r="120" spans="1:13">
      <c r="A120" s="448"/>
      <c r="B120" s="448"/>
      <c r="C120" s="448"/>
      <c r="D120" s="448"/>
      <c r="E120" s="448"/>
      <c r="F120" s="448"/>
      <c r="G120" s="448"/>
      <c r="H120" s="448"/>
      <c r="I120" s="448"/>
      <c r="J120" s="448"/>
      <c r="K120" s="448"/>
      <c r="L120" s="448"/>
      <c r="M120" s="448"/>
    </row>
    <row r="121" spans="1:13">
      <c r="A121" s="448"/>
      <c r="B121" s="448"/>
      <c r="C121" s="448"/>
      <c r="D121" s="448"/>
      <c r="E121" s="448"/>
      <c r="F121" s="448"/>
      <c r="G121" s="448"/>
      <c r="H121" s="448"/>
      <c r="I121" s="448"/>
      <c r="J121" s="448"/>
      <c r="K121" s="448"/>
      <c r="L121" s="448"/>
      <c r="M121" s="448"/>
    </row>
    <row r="122" spans="1:13">
      <c r="A122" s="448"/>
      <c r="B122" s="448"/>
      <c r="C122" s="448"/>
      <c r="D122" s="448"/>
      <c r="E122" s="448"/>
      <c r="F122" s="448"/>
      <c r="G122" s="448"/>
      <c r="H122" s="448"/>
      <c r="I122" s="448"/>
      <c r="J122" s="448"/>
      <c r="K122" s="448"/>
      <c r="L122" s="448"/>
      <c r="M122" s="448"/>
    </row>
    <row r="123" spans="1:13">
      <c r="A123" s="448"/>
      <c r="B123" s="448"/>
      <c r="C123" s="448"/>
      <c r="D123" s="448"/>
      <c r="E123" s="448"/>
      <c r="F123" s="448"/>
      <c r="G123" s="448"/>
      <c r="H123" s="448"/>
      <c r="I123" s="448"/>
      <c r="J123" s="448"/>
      <c r="K123" s="448"/>
      <c r="L123" s="448"/>
      <c r="M123" s="448"/>
    </row>
    <row r="124" spans="1:13" ht="15" customHeight="1">
      <c r="A124" s="449"/>
      <c r="B124" s="449"/>
      <c r="C124" s="449"/>
      <c r="D124" s="449"/>
      <c r="E124" s="449"/>
      <c r="F124" s="449"/>
      <c r="G124" s="449"/>
      <c r="H124" s="449"/>
      <c r="I124" s="449"/>
      <c r="J124" s="449"/>
      <c r="K124" s="449"/>
      <c r="L124" s="449"/>
      <c r="M124" s="449"/>
    </row>
    <row r="125" spans="1:13" ht="15" customHeight="1">
      <c r="A125" s="449"/>
      <c r="B125" s="449"/>
      <c r="C125" s="449"/>
      <c r="D125" s="449"/>
      <c r="E125" s="449"/>
      <c r="F125" s="449"/>
      <c r="G125" s="449"/>
      <c r="H125" s="449"/>
      <c r="I125" s="449"/>
      <c r="J125" s="449"/>
      <c r="K125" s="449"/>
      <c r="L125" s="449"/>
      <c r="M125" s="449"/>
    </row>
    <row r="126" spans="1:13" ht="15" customHeight="1">
      <c r="A126" s="449"/>
      <c r="B126" s="449"/>
      <c r="C126" s="449"/>
      <c r="D126" s="449"/>
      <c r="E126" s="449"/>
      <c r="F126" s="449"/>
      <c r="G126" s="449"/>
      <c r="H126" s="449"/>
      <c r="I126" s="449"/>
      <c r="J126" s="449"/>
      <c r="K126" s="449"/>
      <c r="L126" s="449"/>
      <c r="M126" s="449"/>
    </row>
    <row r="127" spans="1:13" ht="15" customHeight="1">
      <c r="A127" s="449"/>
      <c r="B127" s="449"/>
      <c r="C127" s="449"/>
      <c r="D127" s="449"/>
      <c r="E127" s="449"/>
      <c r="F127" s="449"/>
      <c r="G127" s="449"/>
      <c r="H127" s="449"/>
      <c r="I127" s="449"/>
      <c r="J127" s="449"/>
      <c r="K127" s="449"/>
      <c r="L127" s="449"/>
      <c r="M127" s="449"/>
    </row>
    <row r="128" spans="1:13" ht="15" customHeight="1">
      <c r="A128" s="449"/>
      <c r="B128" s="449"/>
      <c r="C128" s="449"/>
      <c r="D128" s="449"/>
      <c r="E128" s="449"/>
      <c r="F128" s="449"/>
      <c r="G128" s="449"/>
      <c r="H128" s="449"/>
      <c r="I128" s="449"/>
      <c r="J128" s="449"/>
      <c r="K128" s="449"/>
      <c r="L128" s="449"/>
      <c r="M128" s="449"/>
    </row>
    <row r="129" spans="1:13" ht="15" customHeight="1">
      <c r="A129" s="449"/>
      <c r="B129" s="449"/>
      <c r="C129" s="449"/>
      <c r="D129" s="449"/>
      <c r="E129" s="449"/>
      <c r="F129" s="449"/>
      <c r="G129" s="449"/>
      <c r="H129" s="449"/>
      <c r="I129" s="449"/>
      <c r="J129" s="449"/>
      <c r="K129" s="449"/>
      <c r="L129" s="449"/>
      <c r="M129" s="449"/>
    </row>
    <row r="130" spans="1:13" ht="15" customHeight="1">
      <c r="A130" s="449"/>
      <c r="B130" s="449"/>
      <c r="C130" s="449"/>
      <c r="D130" s="449"/>
      <c r="E130" s="449"/>
      <c r="F130" s="449"/>
      <c r="G130" s="449"/>
      <c r="H130" s="449"/>
      <c r="I130" s="449"/>
      <c r="J130" s="449"/>
      <c r="K130" s="449"/>
      <c r="L130" s="449"/>
      <c r="M130" s="449"/>
    </row>
    <row r="131" spans="1:13" ht="15" customHeight="1">
      <c r="A131" s="449"/>
      <c r="B131" s="449"/>
      <c r="C131" s="449"/>
      <c r="D131" s="449"/>
      <c r="E131" s="449"/>
      <c r="F131" s="449"/>
      <c r="G131" s="449"/>
      <c r="H131" s="449"/>
      <c r="I131" s="449"/>
      <c r="J131" s="449"/>
      <c r="K131" s="449"/>
      <c r="L131" s="449"/>
      <c r="M131" s="449"/>
    </row>
    <row r="132" spans="1:13" ht="15" customHeight="1">
      <c r="A132" s="449"/>
      <c r="B132" s="449"/>
      <c r="C132" s="449"/>
      <c r="D132" s="449"/>
      <c r="E132" s="449"/>
      <c r="F132" s="449"/>
      <c r="G132" s="449"/>
      <c r="H132" s="449"/>
      <c r="I132" s="449"/>
      <c r="J132" s="449"/>
      <c r="K132" s="449"/>
      <c r="L132" s="449"/>
      <c r="M132" s="449"/>
    </row>
    <row r="133" spans="1:13" ht="15" customHeight="1">
      <c r="A133" s="449"/>
      <c r="B133" s="449"/>
      <c r="C133" s="449"/>
      <c r="D133" s="449"/>
      <c r="E133" s="449"/>
      <c r="F133" s="449"/>
      <c r="G133" s="449"/>
      <c r="H133" s="449"/>
      <c r="I133" s="449"/>
      <c r="J133" s="449"/>
      <c r="K133" s="449"/>
      <c r="L133" s="449"/>
      <c r="M133" s="449"/>
    </row>
    <row r="134" spans="1:13" ht="15" customHeight="1">
      <c r="A134" s="449"/>
      <c r="B134" s="449"/>
      <c r="C134" s="449"/>
      <c r="D134" s="449"/>
      <c r="E134" s="449"/>
      <c r="F134" s="449"/>
      <c r="G134" s="449"/>
      <c r="H134" s="449"/>
      <c r="I134" s="449"/>
      <c r="J134" s="449"/>
      <c r="K134" s="449"/>
      <c r="L134" s="449"/>
      <c r="M134" s="449"/>
    </row>
    <row r="135" spans="1:13" ht="15" customHeight="1">
      <c r="A135" s="449"/>
      <c r="B135" s="449"/>
      <c r="C135" s="449"/>
      <c r="D135" s="449"/>
      <c r="E135" s="449"/>
      <c r="F135" s="449"/>
      <c r="G135" s="449"/>
      <c r="H135" s="449"/>
      <c r="I135" s="449"/>
      <c r="J135" s="449"/>
      <c r="K135" s="449"/>
      <c r="L135" s="449"/>
      <c r="M135" s="449"/>
    </row>
    <row r="136" spans="1:13" ht="15" customHeight="1">
      <c r="A136" s="449"/>
      <c r="B136" s="449"/>
      <c r="C136" s="449"/>
      <c r="D136" s="449"/>
      <c r="E136" s="449"/>
      <c r="F136" s="449"/>
      <c r="G136" s="449"/>
      <c r="H136" s="449"/>
      <c r="I136" s="449"/>
      <c r="J136" s="449"/>
      <c r="K136" s="449"/>
      <c r="L136" s="449"/>
      <c r="M136" s="449"/>
    </row>
    <row r="137" spans="1:13" ht="15" customHeight="1">
      <c r="A137" s="449"/>
      <c r="B137" s="449"/>
      <c r="C137" s="449"/>
      <c r="D137" s="449"/>
      <c r="E137" s="449"/>
      <c r="F137" s="449"/>
      <c r="G137" s="449"/>
      <c r="H137" s="449"/>
      <c r="I137" s="449"/>
      <c r="J137" s="449"/>
      <c r="K137" s="449"/>
      <c r="L137" s="449"/>
      <c r="M137" s="449"/>
    </row>
    <row r="138" spans="1:13" ht="15" customHeight="1">
      <c r="A138" s="449"/>
      <c r="B138" s="449"/>
      <c r="C138" s="449"/>
      <c r="D138" s="449"/>
      <c r="E138" s="449"/>
      <c r="F138" s="449"/>
      <c r="G138" s="449"/>
      <c r="H138" s="449"/>
      <c r="I138" s="449"/>
      <c r="J138" s="449"/>
      <c r="K138" s="449"/>
      <c r="L138" s="449"/>
      <c r="M138" s="449"/>
    </row>
    <row r="139" spans="1:13" ht="15" customHeight="1">
      <c r="A139" s="449"/>
      <c r="B139" s="449"/>
      <c r="C139" s="449"/>
      <c r="D139" s="449"/>
      <c r="E139" s="449"/>
      <c r="F139" s="449"/>
      <c r="G139" s="449"/>
      <c r="H139" s="449"/>
      <c r="I139" s="449"/>
      <c r="J139" s="449"/>
      <c r="K139" s="449"/>
      <c r="L139" s="449"/>
      <c r="M139" s="449"/>
    </row>
    <row r="140" spans="1:13" ht="15" customHeight="1">
      <c r="A140" s="449"/>
      <c r="B140" s="449"/>
      <c r="C140" s="449"/>
      <c r="D140" s="449"/>
      <c r="E140" s="449"/>
      <c r="F140" s="449"/>
      <c r="G140" s="449"/>
      <c r="H140" s="449"/>
      <c r="I140" s="449"/>
      <c r="J140" s="449"/>
      <c r="K140" s="449"/>
      <c r="L140" s="449"/>
      <c r="M140" s="449"/>
    </row>
    <row r="141" spans="1:13" ht="15" customHeight="1">
      <c r="A141" s="449"/>
      <c r="B141" s="449"/>
      <c r="C141" s="449"/>
      <c r="D141" s="449"/>
      <c r="E141" s="449"/>
      <c r="F141" s="449"/>
      <c r="G141" s="449"/>
      <c r="H141" s="449"/>
      <c r="I141" s="449"/>
      <c r="J141" s="449"/>
      <c r="K141" s="449"/>
      <c r="L141" s="449"/>
      <c r="M141" s="449"/>
    </row>
    <row r="142" spans="1:13" ht="15" customHeight="1">
      <c r="A142" s="449"/>
      <c r="B142" s="449"/>
      <c r="C142" s="449"/>
      <c r="D142" s="449"/>
      <c r="E142" s="449"/>
      <c r="F142" s="449"/>
      <c r="G142" s="449"/>
      <c r="H142" s="449"/>
      <c r="I142" s="449"/>
      <c r="J142" s="449"/>
      <c r="K142" s="449"/>
      <c r="L142" s="449"/>
      <c r="M142" s="449"/>
    </row>
    <row r="143" spans="1:13" ht="15" customHeight="1">
      <c r="A143" s="449"/>
      <c r="B143" s="449"/>
      <c r="C143" s="449"/>
      <c r="D143" s="449"/>
      <c r="E143" s="449"/>
      <c r="F143" s="449"/>
      <c r="G143" s="449"/>
      <c r="H143" s="449"/>
      <c r="I143" s="449"/>
      <c r="J143" s="449"/>
      <c r="K143" s="449"/>
      <c r="L143" s="449"/>
      <c r="M143" s="449"/>
    </row>
    <row r="144" spans="1:13" ht="15" customHeight="1">
      <c r="A144" s="449"/>
      <c r="B144" s="449"/>
      <c r="C144" s="449"/>
      <c r="D144" s="449"/>
      <c r="E144" s="449"/>
      <c r="F144" s="449"/>
      <c r="G144" s="449"/>
      <c r="H144" s="449"/>
      <c r="I144" s="449"/>
      <c r="J144" s="449"/>
      <c r="K144" s="449"/>
      <c r="L144" s="449"/>
      <c r="M144" s="449"/>
    </row>
    <row r="145" spans="1:23">
      <c r="A145" s="449"/>
      <c r="B145" s="449"/>
      <c r="C145" s="449"/>
      <c r="D145" s="449"/>
      <c r="E145" s="449"/>
      <c r="F145" s="449"/>
      <c r="G145" s="449"/>
      <c r="H145" s="449"/>
      <c r="I145" s="449"/>
      <c r="J145" s="449"/>
      <c r="K145" s="449"/>
      <c r="L145" s="449"/>
      <c r="M145" s="449"/>
    </row>
    <row r="146" spans="1:23">
      <c r="A146" s="449"/>
      <c r="B146" s="449"/>
      <c r="C146" s="449"/>
      <c r="D146" s="449"/>
      <c r="E146" s="449"/>
      <c r="F146" s="449"/>
      <c r="G146" s="449"/>
      <c r="H146" s="449"/>
      <c r="I146" s="449"/>
      <c r="J146" s="449"/>
      <c r="K146" s="449"/>
      <c r="L146" s="449"/>
      <c r="M146" s="449"/>
    </row>
    <row r="147" spans="1:23">
      <c r="A147" s="449"/>
      <c r="B147" s="449"/>
      <c r="C147" s="449"/>
      <c r="D147" s="449"/>
      <c r="E147" s="449"/>
      <c r="F147" s="449"/>
      <c r="G147" s="449"/>
      <c r="H147" s="449"/>
      <c r="I147" s="449"/>
      <c r="J147" s="449"/>
      <c r="K147" s="449"/>
      <c r="L147" s="449"/>
      <c r="M147" s="449"/>
    </row>
    <row r="148" spans="1:23">
      <c r="A148" s="449"/>
      <c r="B148" s="449"/>
      <c r="C148" s="449"/>
      <c r="D148" s="449"/>
      <c r="E148" s="449"/>
      <c r="F148" s="449"/>
      <c r="G148" s="449"/>
      <c r="H148" s="449"/>
      <c r="I148" s="449"/>
      <c r="J148" s="449"/>
      <c r="K148" s="449"/>
      <c r="L148" s="449"/>
      <c r="M148" s="449"/>
    </row>
    <row r="150" spans="1:23" ht="15" hidden="1" customHeight="1"/>
    <row r="151" spans="1:23" ht="15" hidden="1" customHeight="1">
      <c r="W151" s="177"/>
    </row>
  </sheetData>
  <sheetProtection algorithmName="SHA-512" hashValue="cMej0jA9rg8Igqnsu7gBYmmyZNB4nNBjErBMvoEF9NrhXsOoXSAJ12ychx+I/YxRZQNF0hpTqnhwhd0lKreB1w==" saltValue="DY2J04qx+bToo6MSRI8EIw==" spinCount="100000" sheet="1" objects="1" scenarios="1"/>
  <mergeCells count="42">
    <mergeCell ref="A6:D6"/>
    <mergeCell ref="F6:K6"/>
    <mergeCell ref="A10:G10"/>
    <mergeCell ref="H10:L10"/>
    <mergeCell ref="A11:G11"/>
    <mergeCell ref="H11:L11"/>
    <mergeCell ref="A1:M1"/>
    <mergeCell ref="A3:M3"/>
    <mergeCell ref="A5:D5"/>
    <mergeCell ref="F5:K5"/>
    <mergeCell ref="K2:M2"/>
    <mergeCell ref="A13:G13"/>
    <mergeCell ref="A7:D7"/>
    <mergeCell ref="B25:M25"/>
    <mergeCell ref="B32:M32"/>
    <mergeCell ref="F35:L36"/>
    <mergeCell ref="F7:K7"/>
    <mergeCell ref="H13:L13"/>
    <mergeCell ref="D21:L21"/>
    <mergeCell ref="A12:G12"/>
    <mergeCell ref="H12:L12"/>
    <mergeCell ref="F37:L38"/>
    <mergeCell ref="A23:M23"/>
    <mergeCell ref="G29:M31"/>
    <mergeCell ref="G72:M78"/>
    <mergeCell ref="F39:L40"/>
    <mergeCell ref="F41:L42"/>
    <mergeCell ref="F43:L44"/>
    <mergeCell ref="F45:L46"/>
    <mergeCell ref="G56:M58"/>
    <mergeCell ref="G47:M49"/>
    <mergeCell ref="E71:K71"/>
    <mergeCell ref="A114:M148"/>
    <mergeCell ref="B79:M80"/>
    <mergeCell ref="D82:M83"/>
    <mergeCell ref="D84:M85"/>
    <mergeCell ref="G110:M112"/>
    <mergeCell ref="G90:M93"/>
    <mergeCell ref="G99:M100"/>
    <mergeCell ref="B94:M95"/>
    <mergeCell ref="B101:M101"/>
    <mergeCell ref="G104:M105"/>
  </mergeCells>
  <dataValidations count="11">
    <dataValidation type="list" allowBlank="1" showInputMessage="1" showErrorMessage="1" sqref="B108:B109 IX108:IX109 ST108:ST109 ACP108:ACP109 AML108:AML109 AWH108:AWH109 BGD108:BGD109 BPZ108:BPZ109 BZV108:BZV109 CJR108:CJR109 CTN108:CTN109 DDJ108:DDJ109 DNF108:DNF109 DXB108:DXB109 EGX108:EGX109 EQT108:EQT109 FAP108:FAP109 FKL108:FKL109 FUH108:FUH109 GED108:GED109 GNZ108:GNZ109 GXV108:GXV109 HHR108:HHR109 HRN108:HRN109 IBJ108:IBJ109 ILF108:ILF109 IVB108:IVB109 JEX108:JEX109 JOT108:JOT109 JYP108:JYP109 KIL108:KIL109 KSH108:KSH109 LCD108:LCD109 LLZ108:LLZ109 LVV108:LVV109 MFR108:MFR109 MPN108:MPN109 MZJ108:MZJ109 NJF108:NJF109 NTB108:NTB109 OCX108:OCX109 OMT108:OMT109 OWP108:OWP109 PGL108:PGL109 PQH108:PQH109 QAD108:QAD109 QJZ108:QJZ109 QTV108:QTV109 RDR108:RDR109 RNN108:RNN109 RXJ108:RXJ109 SHF108:SHF109 SRB108:SRB109 TAX108:TAX109 TKT108:TKT109 TUP108:TUP109 UEL108:UEL109 UOH108:UOH109 UYD108:UYD109 VHZ108:VHZ109 VRV108:VRV109 WBR108:WBR109 WLN108:WLN109 WVJ108:WVJ109 B65645:B65646 IX65645:IX65646 ST65645:ST65646 ACP65645:ACP65646 AML65645:AML65646 AWH65645:AWH65646 BGD65645:BGD65646 BPZ65645:BPZ65646 BZV65645:BZV65646 CJR65645:CJR65646 CTN65645:CTN65646 DDJ65645:DDJ65646 DNF65645:DNF65646 DXB65645:DXB65646 EGX65645:EGX65646 EQT65645:EQT65646 FAP65645:FAP65646 FKL65645:FKL65646 FUH65645:FUH65646 GED65645:GED65646 GNZ65645:GNZ65646 GXV65645:GXV65646 HHR65645:HHR65646 HRN65645:HRN65646 IBJ65645:IBJ65646 ILF65645:ILF65646 IVB65645:IVB65646 JEX65645:JEX65646 JOT65645:JOT65646 JYP65645:JYP65646 KIL65645:KIL65646 KSH65645:KSH65646 LCD65645:LCD65646 LLZ65645:LLZ65646 LVV65645:LVV65646 MFR65645:MFR65646 MPN65645:MPN65646 MZJ65645:MZJ65646 NJF65645:NJF65646 NTB65645:NTB65646 OCX65645:OCX65646 OMT65645:OMT65646 OWP65645:OWP65646 PGL65645:PGL65646 PQH65645:PQH65646 QAD65645:QAD65646 QJZ65645:QJZ65646 QTV65645:QTV65646 RDR65645:RDR65646 RNN65645:RNN65646 RXJ65645:RXJ65646 SHF65645:SHF65646 SRB65645:SRB65646 TAX65645:TAX65646 TKT65645:TKT65646 TUP65645:TUP65646 UEL65645:UEL65646 UOH65645:UOH65646 UYD65645:UYD65646 VHZ65645:VHZ65646 VRV65645:VRV65646 WBR65645:WBR65646 WLN65645:WLN65646 WVJ65645:WVJ65646 B131181:B131182 IX131181:IX131182 ST131181:ST131182 ACP131181:ACP131182 AML131181:AML131182 AWH131181:AWH131182 BGD131181:BGD131182 BPZ131181:BPZ131182 BZV131181:BZV131182 CJR131181:CJR131182 CTN131181:CTN131182 DDJ131181:DDJ131182 DNF131181:DNF131182 DXB131181:DXB131182 EGX131181:EGX131182 EQT131181:EQT131182 FAP131181:FAP131182 FKL131181:FKL131182 FUH131181:FUH131182 GED131181:GED131182 GNZ131181:GNZ131182 GXV131181:GXV131182 HHR131181:HHR131182 HRN131181:HRN131182 IBJ131181:IBJ131182 ILF131181:ILF131182 IVB131181:IVB131182 JEX131181:JEX131182 JOT131181:JOT131182 JYP131181:JYP131182 KIL131181:KIL131182 KSH131181:KSH131182 LCD131181:LCD131182 LLZ131181:LLZ131182 LVV131181:LVV131182 MFR131181:MFR131182 MPN131181:MPN131182 MZJ131181:MZJ131182 NJF131181:NJF131182 NTB131181:NTB131182 OCX131181:OCX131182 OMT131181:OMT131182 OWP131181:OWP131182 PGL131181:PGL131182 PQH131181:PQH131182 QAD131181:QAD131182 QJZ131181:QJZ131182 QTV131181:QTV131182 RDR131181:RDR131182 RNN131181:RNN131182 RXJ131181:RXJ131182 SHF131181:SHF131182 SRB131181:SRB131182 TAX131181:TAX131182 TKT131181:TKT131182 TUP131181:TUP131182 UEL131181:UEL131182 UOH131181:UOH131182 UYD131181:UYD131182 VHZ131181:VHZ131182 VRV131181:VRV131182 WBR131181:WBR131182 WLN131181:WLN131182 WVJ131181:WVJ131182 B196717:B196718 IX196717:IX196718 ST196717:ST196718 ACP196717:ACP196718 AML196717:AML196718 AWH196717:AWH196718 BGD196717:BGD196718 BPZ196717:BPZ196718 BZV196717:BZV196718 CJR196717:CJR196718 CTN196717:CTN196718 DDJ196717:DDJ196718 DNF196717:DNF196718 DXB196717:DXB196718 EGX196717:EGX196718 EQT196717:EQT196718 FAP196717:FAP196718 FKL196717:FKL196718 FUH196717:FUH196718 GED196717:GED196718 GNZ196717:GNZ196718 GXV196717:GXV196718 HHR196717:HHR196718 HRN196717:HRN196718 IBJ196717:IBJ196718 ILF196717:ILF196718 IVB196717:IVB196718 JEX196717:JEX196718 JOT196717:JOT196718 JYP196717:JYP196718 KIL196717:KIL196718 KSH196717:KSH196718 LCD196717:LCD196718 LLZ196717:LLZ196718 LVV196717:LVV196718 MFR196717:MFR196718 MPN196717:MPN196718 MZJ196717:MZJ196718 NJF196717:NJF196718 NTB196717:NTB196718 OCX196717:OCX196718 OMT196717:OMT196718 OWP196717:OWP196718 PGL196717:PGL196718 PQH196717:PQH196718 QAD196717:QAD196718 QJZ196717:QJZ196718 QTV196717:QTV196718 RDR196717:RDR196718 RNN196717:RNN196718 RXJ196717:RXJ196718 SHF196717:SHF196718 SRB196717:SRB196718 TAX196717:TAX196718 TKT196717:TKT196718 TUP196717:TUP196718 UEL196717:UEL196718 UOH196717:UOH196718 UYD196717:UYD196718 VHZ196717:VHZ196718 VRV196717:VRV196718 WBR196717:WBR196718 WLN196717:WLN196718 WVJ196717:WVJ196718 B262253:B262254 IX262253:IX262254 ST262253:ST262254 ACP262253:ACP262254 AML262253:AML262254 AWH262253:AWH262254 BGD262253:BGD262254 BPZ262253:BPZ262254 BZV262253:BZV262254 CJR262253:CJR262254 CTN262253:CTN262254 DDJ262253:DDJ262254 DNF262253:DNF262254 DXB262253:DXB262254 EGX262253:EGX262254 EQT262253:EQT262254 FAP262253:FAP262254 FKL262253:FKL262254 FUH262253:FUH262254 GED262253:GED262254 GNZ262253:GNZ262254 GXV262253:GXV262254 HHR262253:HHR262254 HRN262253:HRN262254 IBJ262253:IBJ262254 ILF262253:ILF262254 IVB262253:IVB262254 JEX262253:JEX262254 JOT262253:JOT262254 JYP262253:JYP262254 KIL262253:KIL262254 KSH262253:KSH262254 LCD262253:LCD262254 LLZ262253:LLZ262254 LVV262253:LVV262254 MFR262253:MFR262254 MPN262253:MPN262254 MZJ262253:MZJ262254 NJF262253:NJF262254 NTB262253:NTB262254 OCX262253:OCX262254 OMT262253:OMT262254 OWP262253:OWP262254 PGL262253:PGL262254 PQH262253:PQH262254 QAD262253:QAD262254 QJZ262253:QJZ262254 QTV262253:QTV262254 RDR262253:RDR262254 RNN262253:RNN262254 RXJ262253:RXJ262254 SHF262253:SHF262254 SRB262253:SRB262254 TAX262253:TAX262254 TKT262253:TKT262254 TUP262253:TUP262254 UEL262253:UEL262254 UOH262253:UOH262254 UYD262253:UYD262254 VHZ262253:VHZ262254 VRV262253:VRV262254 WBR262253:WBR262254 WLN262253:WLN262254 WVJ262253:WVJ262254 B327789:B327790 IX327789:IX327790 ST327789:ST327790 ACP327789:ACP327790 AML327789:AML327790 AWH327789:AWH327790 BGD327789:BGD327790 BPZ327789:BPZ327790 BZV327789:BZV327790 CJR327789:CJR327790 CTN327789:CTN327790 DDJ327789:DDJ327790 DNF327789:DNF327790 DXB327789:DXB327790 EGX327789:EGX327790 EQT327789:EQT327790 FAP327789:FAP327790 FKL327789:FKL327790 FUH327789:FUH327790 GED327789:GED327790 GNZ327789:GNZ327790 GXV327789:GXV327790 HHR327789:HHR327790 HRN327789:HRN327790 IBJ327789:IBJ327790 ILF327789:ILF327790 IVB327789:IVB327790 JEX327789:JEX327790 JOT327789:JOT327790 JYP327789:JYP327790 KIL327789:KIL327790 KSH327789:KSH327790 LCD327789:LCD327790 LLZ327789:LLZ327790 LVV327789:LVV327790 MFR327789:MFR327790 MPN327789:MPN327790 MZJ327789:MZJ327790 NJF327789:NJF327790 NTB327789:NTB327790 OCX327789:OCX327790 OMT327789:OMT327790 OWP327789:OWP327790 PGL327789:PGL327790 PQH327789:PQH327790 QAD327789:QAD327790 QJZ327789:QJZ327790 QTV327789:QTV327790 RDR327789:RDR327790 RNN327789:RNN327790 RXJ327789:RXJ327790 SHF327789:SHF327790 SRB327789:SRB327790 TAX327789:TAX327790 TKT327789:TKT327790 TUP327789:TUP327790 UEL327789:UEL327790 UOH327789:UOH327790 UYD327789:UYD327790 VHZ327789:VHZ327790 VRV327789:VRV327790 WBR327789:WBR327790 WLN327789:WLN327790 WVJ327789:WVJ327790 B393325:B393326 IX393325:IX393326 ST393325:ST393326 ACP393325:ACP393326 AML393325:AML393326 AWH393325:AWH393326 BGD393325:BGD393326 BPZ393325:BPZ393326 BZV393325:BZV393326 CJR393325:CJR393326 CTN393325:CTN393326 DDJ393325:DDJ393326 DNF393325:DNF393326 DXB393325:DXB393326 EGX393325:EGX393326 EQT393325:EQT393326 FAP393325:FAP393326 FKL393325:FKL393326 FUH393325:FUH393326 GED393325:GED393326 GNZ393325:GNZ393326 GXV393325:GXV393326 HHR393325:HHR393326 HRN393325:HRN393326 IBJ393325:IBJ393326 ILF393325:ILF393326 IVB393325:IVB393326 JEX393325:JEX393326 JOT393325:JOT393326 JYP393325:JYP393326 KIL393325:KIL393326 KSH393325:KSH393326 LCD393325:LCD393326 LLZ393325:LLZ393326 LVV393325:LVV393326 MFR393325:MFR393326 MPN393325:MPN393326 MZJ393325:MZJ393326 NJF393325:NJF393326 NTB393325:NTB393326 OCX393325:OCX393326 OMT393325:OMT393326 OWP393325:OWP393326 PGL393325:PGL393326 PQH393325:PQH393326 QAD393325:QAD393326 QJZ393325:QJZ393326 QTV393325:QTV393326 RDR393325:RDR393326 RNN393325:RNN393326 RXJ393325:RXJ393326 SHF393325:SHF393326 SRB393325:SRB393326 TAX393325:TAX393326 TKT393325:TKT393326 TUP393325:TUP393326 UEL393325:UEL393326 UOH393325:UOH393326 UYD393325:UYD393326 VHZ393325:VHZ393326 VRV393325:VRV393326 WBR393325:WBR393326 WLN393325:WLN393326 WVJ393325:WVJ393326 B458861:B458862 IX458861:IX458862 ST458861:ST458862 ACP458861:ACP458862 AML458861:AML458862 AWH458861:AWH458862 BGD458861:BGD458862 BPZ458861:BPZ458862 BZV458861:BZV458862 CJR458861:CJR458862 CTN458861:CTN458862 DDJ458861:DDJ458862 DNF458861:DNF458862 DXB458861:DXB458862 EGX458861:EGX458862 EQT458861:EQT458862 FAP458861:FAP458862 FKL458861:FKL458862 FUH458861:FUH458862 GED458861:GED458862 GNZ458861:GNZ458862 GXV458861:GXV458862 HHR458861:HHR458862 HRN458861:HRN458862 IBJ458861:IBJ458862 ILF458861:ILF458862 IVB458861:IVB458862 JEX458861:JEX458862 JOT458861:JOT458862 JYP458861:JYP458862 KIL458861:KIL458862 KSH458861:KSH458862 LCD458861:LCD458862 LLZ458861:LLZ458862 LVV458861:LVV458862 MFR458861:MFR458862 MPN458861:MPN458862 MZJ458861:MZJ458862 NJF458861:NJF458862 NTB458861:NTB458862 OCX458861:OCX458862 OMT458861:OMT458862 OWP458861:OWP458862 PGL458861:PGL458862 PQH458861:PQH458862 QAD458861:QAD458862 QJZ458861:QJZ458862 QTV458861:QTV458862 RDR458861:RDR458862 RNN458861:RNN458862 RXJ458861:RXJ458862 SHF458861:SHF458862 SRB458861:SRB458862 TAX458861:TAX458862 TKT458861:TKT458862 TUP458861:TUP458862 UEL458861:UEL458862 UOH458861:UOH458862 UYD458861:UYD458862 VHZ458861:VHZ458862 VRV458861:VRV458862 WBR458861:WBR458862 WLN458861:WLN458862 WVJ458861:WVJ458862 B524397:B524398 IX524397:IX524398 ST524397:ST524398 ACP524397:ACP524398 AML524397:AML524398 AWH524397:AWH524398 BGD524397:BGD524398 BPZ524397:BPZ524398 BZV524397:BZV524398 CJR524397:CJR524398 CTN524397:CTN524398 DDJ524397:DDJ524398 DNF524397:DNF524398 DXB524397:DXB524398 EGX524397:EGX524398 EQT524397:EQT524398 FAP524397:FAP524398 FKL524397:FKL524398 FUH524397:FUH524398 GED524397:GED524398 GNZ524397:GNZ524398 GXV524397:GXV524398 HHR524397:HHR524398 HRN524397:HRN524398 IBJ524397:IBJ524398 ILF524397:ILF524398 IVB524397:IVB524398 JEX524397:JEX524398 JOT524397:JOT524398 JYP524397:JYP524398 KIL524397:KIL524398 KSH524397:KSH524398 LCD524397:LCD524398 LLZ524397:LLZ524398 LVV524397:LVV524398 MFR524397:MFR524398 MPN524397:MPN524398 MZJ524397:MZJ524398 NJF524397:NJF524398 NTB524397:NTB524398 OCX524397:OCX524398 OMT524397:OMT524398 OWP524397:OWP524398 PGL524397:PGL524398 PQH524397:PQH524398 QAD524397:QAD524398 QJZ524397:QJZ524398 QTV524397:QTV524398 RDR524397:RDR524398 RNN524397:RNN524398 RXJ524397:RXJ524398 SHF524397:SHF524398 SRB524397:SRB524398 TAX524397:TAX524398 TKT524397:TKT524398 TUP524397:TUP524398 UEL524397:UEL524398 UOH524397:UOH524398 UYD524397:UYD524398 VHZ524397:VHZ524398 VRV524397:VRV524398 WBR524397:WBR524398 WLN524397:WLN524398 WVJ524397:WVJ524398 B589933:B589934 IX589933:IX589934 ST589933:ST589934 ACP589933:ACP589934 AML589933:AML589934 AWH589933:AWH589934 BGD589933:BGD589934 BPZ589933:BPZ589934 BZV589933:BZV589934 CJR589933:CJR589934 CTN589933:CTN589934 DDJ589933:DDJ589934 DNF589933:DNF589934 DXB589933:DXB589934 EGX589933:EGX589934 EQT589933:EQT589934 FAP589933:FAP589934 FKL589933:FKL589934 FUH589933:FUH589934 GED589933:GED589934 GNZ589933:GNZ589934 GXV589933:GXV589934 HHR589933:HHR589934 HRN589933:HRN589934 IBJ589933:IBJ589934 ILF589933:ILF589934 IVB589933:IVB589934 JEX589933:JEX589934 JOT589933:JOT589934 JYP589933:JYP589934 KIL589933:KIL589934 KSH589933:KSH589934 LCD589933:LCD589934 LLZ589933:LLZ589934 LVV589933:LVV589934 MFR589933:MFR589934 MPN589933:MPN589934 MZJ589933:MZJ589934 NJF589933:NJF589934 NTB589933:NTB589934 OCX589933:OCX589934 OMT589933:OMT589934 OWP589933:OWP589934 PGL589933:PGL589934 PQH589933:PQH589934 QAD589933:QAD589934 QJZ589933:QJZ589934 QTV589933:QTV589934 RDR589933:RDR589934 RNN589933:RNN589934 RXJ589933:RXJ589934 SHF589933:SHF589934 SRB589933:SRB589934 TAX589933:TAX589934 TKT589933:TKT589934 TUP589933:TUP589934 UEL589933:UEL589934 UOH589933:UOH589934 UYD589933:UYD589934 VHZ589933:VHZ589934 VRV589933:VRV589934 WBR589933:WBR589934 WLN589933:WLN589934 WVJ589933:WVJ589934 B655469:B655470 IX655469:IX655470 ST655469:ST655470 ACP655469:ACP655470 AML655469:AML655470 AWH655469:AWH655470 BGD655469:BGD655470 BPZ655469:BPZ655470 BZV655469:BZV655470 CJR655469:CJR655470 CTN655469:CTN655470 DDJ655469:DDJ655470 DNF655469:DNF655470 DXB655469:DXB655470 EGX655469:EGX655470 EQT655469:EQT655470 FAP655469:FAP655470 FKL655469:FKL655470 FUH655469:FUH655470 GED655469:GED655470 GNZ655469:GNZ655470 GXV655469:GXV655470 HHR655469:HHR655470 HRN655469:HRN655470 IBJ655469:IBJ655470 ILF655469:ILF655470 IVB655469:IVB655470 JEX655469:JEX655470 JOT655469:JOT655470 JYP655469:JYP655470 KIL655469:KIL655470 KSH655469:KSH655470 LCD655469:LCD655470 LLZ655469:LLZ655470 LVV655469:LVV655470 MFR655469:MFR655470 MPN655469:MPN655470 MZJ655469:MZJ655470 NJF655469:NJF655470 NTB655469:NTB655470 OCX655469:OCX655470 OMT655469:OMT655470 OWP655469:OWP655470 PGL655469:PGL655470 PQH655469:PQH655470 QAD655469:QAD655470 QJZ655469:QJZ655470 QTV655469:QTV655470 RDR655469:RDR655470 RNN655469:RNN655470 RXJ655469:RXJ655470 SHF655469:SHF655470 SRB655469:SRB655470 TAX655469:TAX655470 TKT655469:TKT655470 TUP655469:TUP655470 UEL655469:UEL655470 UOH655469:UOH655470 UYD655469:UYD655470 VHZ655469:VHZ655470 VRV655469:VRV655470 WBR655469:WBR655470 WLN655469:WLN655470 WVJ655469:WVJ655470 B721005:B721006 IX721005:IX721006 ST721005:ST721006 ACP721005:ACP721006 AML721005:AML721006 AWH721005:AWH721006 BGD721005:BGD721006 BPZ721005:BPZ721006 BZV721005:BZV721006 CJR721005:CJR721006 CTN721005:CTN721006 DDJ721005:DDJ721006 DNF721005:DNF721006 DXB721005:DXB721006 EGX721005:EGX721006 EQT721005:EQT721006 FAP721005:FAP721006 FKL721005:FKL721006 FUH721005:FUH721006 GED721005:GED721006 GNZ721005:GNZ721006 GXV721005:GXV721006 HHR721005:HHR721006 HRN721005:HRN721006 IBJ721005:IBJ721006 ILF721005:ILF721006 IVB721005:IVB721006 JEX721005:JEX721006 JOT721005:JOT721006 JYP721005:JYP721006 KIL721005:KIL721006 KSH721005:KSH721006 LCD721005:LCD721006 LLZ721005:LLZ721006 LVV721005:LVV721006 MFR721005:MFR721006 MPN721005:MPN721006 MZJ721005:MZJ721006 NJF721005:NJF721006 NTB721005:NTB721006 OCX721005:OCX721006 OMT721005:OMT721006 OWP721005:OWP721006 PGL721005:PGL721006 PQH721005:PQH721006 QAD721005:QAD721006 QJZ721005:QJZ721006 QTV721005:QTV721006 RDR721005:RDR721006 RNN721005:RNN721006 RXJ721005:RXJ721006 SHF721005:SHF721006 SRB721005:SRB721006 TAX721005:TAX721006 TKT721005:TKT721006 TUP721005:TUP721006 UEL721005:UEL721006 UOH721005:UOH721006 UYD721005:UYD721006 VHZ721005:VHZ721006 VRV721005:VRV721006 WBR721005:WBR721006 WLN721005:WLN721006 WVJ721005:WVJ721006 B786541:B786542 IX786541:IX786542 ST786541:ST786542 ACP786541:ACP786542 AML786541:AML786542 AWH786541:AWH786542 BGD786541:BGD786542 BPZ786541:BPZ786542 BZV786541:BZV786542 CJR786541:CJR786542 CTN786541:CTN786542 DDJ786541:DDJ786542 DNF786541:DNF786542 DXB786541:DXB786542 EGX786541:EGX786542 EQT786541:EQT786542 FAP786541:FAP786542 FKL786541:FKL786542 FUH786541:FUH786542 GED786541:GED786542 GNZ786541:GNZ786542 GXV786541:GXV786542 HHR786541:HHR786542 HRN786541:HRN786542 IBJ786541:IBJ786542 ILF786541:ILF786542 IVB786541:IVB786542 JEX786541:JEX786542 JOT786541:JOT786542 JYP786541:JYP786542 KIL786541:KIL786542 KSH786541:KSH786542 LCD786541:LCD786542 LLZ786541:LLZ786542 LVV786541:LVV786542 MFR786541:MFR786542 MPN786541:MPN786542 MZJ786541:MZJ786542 NJF786541:NJF786542 NTB786541:NTB786542 OCX786541:OCX786542 OMT786541:OMT786542 OWP786541:OWP786542 PGL786541:PGL786542 PQH786541:PQH786542 QAD786541:QAD786542 QJZ786541:QJZ786542 QTV786541:QTV786542 RDR786541:RDR786542 RNN786541:RNN786542 RXJ786541:RXJ786542 SHF786541:SHF786542 SRB786541:SRB786542 TAX786541:TAX786542 TKT786541:TKT786542 TUP786541:TUP786542 UEL786541:UEL786542 UOH786541:UOH786542 UYD786541:UYD786542 VHZ786541:VHZ786542 VRV786541:VRV786542 WBR786541:WBR786542 WLN786541:WLN786542 WVJ786541:WVJ786542 B852077:B852078 IX852077:IX852078 ST852077:ST852078 ACP852077:ACP852078 AML852077:AML852078 AWH852077:AWH852078 BGD852077:BGD852078 BPZ852077:BPZ852078 BZV852077:BZV852078 CJR852077:CJR852078 CTN852077:CTN852078 DDJ852077:DDJ852078 DNF852077:DNF852078 DXB852077:DXB852078 EGX852077:EGX852078 EQT852077:EQT852078 FAP852077:FAP852078 FKL852077:FKL852078 FUH852077:FUH852078 GED852077:GED852078 GNZ852077:GNZ852078 GXV852077:GXV852078 HHR852077:HHR852078 HRN852077:HRN852078 IBJ852077:IBJ852078 ILF852077:ILF852078 IVB852077:IVB852078 JEX852077:JEX852078 JOT852077:JOT852078 JYP852077:JYP852078 KIL852077:KIL852078 KSH852077:KSH852078 LCD852077:LCD852078 LLZ852077:LLZ852078 LVV852077:LVV852078 MFR852077:MFR852078 MPN852077:MPN852078 MZJ852077:MZJ852078 NJF852077:NJF852078 NTB852077:NTB852078 OCX852077:OCX852078 OMT852077:OMT852078 OWP852077:OWP852078 PGL852077:PGL852078 PQH852077:PQH852078 QAD852077:QAD852078 QJZ852077:QJZ852078 QTV852077:QTV852078 RDR852077:RDR852078 RNN852077:RNN852078 RXJ852077:RXJ852078 SHF852077:SHF852078 SRB852077:SRB852078 TAX852077:TAX852078 TKT852077:TKT852078 TUP852077:TUP852078 UEL852077:UEL852078 UOH852077:UOH852078 UYD852077:UYD852078 VHZ852077:VHZ852078 VRV852077:VRV852078 WBR852077:WBR852078 WLN852077:WLN852078 WVJ852077:WVJ852078 B917613:B917614 IX917613:IX917614 ST917613:ST917614 ACP917613:ACP917614 AML917613:AML917614 AWH917613:AWH917614 BGD917613:BGD917614 BPZ917613:BPZ917614 BZV917613:BZV917614 CJR917613:CJR917614 CTN917613:CTN917614 DDJ917613:DDJ917614 DNF917613:DNF917614 DXB917613:DXB917614 EGX917613:EGX917614 EQT917613:EQT917614 FAP917613:FAP917614 FKL917613:FKL917614 FUH917613:FUH917614 GED917613:GED917614 GNZ917613:GNZ917614 GXV917613:GXV917614 HHR917613:HHR917614 HRN917613:HRN917614 IBJ917613:IBJ917614 ILF917613:ILF917614 IVB917613:IVB917614 JEX917613:JEX917614 JOT917613:JOT917614 JYP917613:JYP917614 KIL917613:KIL917614 KSH917613:KSH917614 LCD917613:LCD917614 LLZ917613:LLZ917614 LVV917613:LVV917614 MFR917613:MFR917614 MPN917613:MPN917614 MZJ917613:MZJ917614 NJF917613:NJF917614 NTB917613:NTB917614 OCX917613:OCX917614 OMT917613:OMT917614 OWP917613:OWP917614 PGL917613:PGL917614 PQH917613:PQH917614 QAD917613:QAD917614 QJZ917613:QJZ917614 QTV917613:QTV917614 RDR917613:RDR917614 RNN917613:RNN917614 RXJ917613:RXJ917614 SHF917613:SHF917614 SRB917613:SRB917614 TAX917613:TAX917614 TKT917613:TKT917614 TUP917613:TUP917614 UEL917613:UEL917614 UOH917613:UOH917614 UYD917613:UYD917614 VHZ917613:VHZ917614 VRV917613:VRV917614 WBR917613:WBR917614 WLN917613:WLN917614 WVJ917613:WVJ917614 B983149:B983150 IX983149:IX983150 ST983149:ST983150 ACP983149:ACP983150 AML983149:AML983150 AWH983149:AWH983150 BGD983149:BGD983150 BPZ983149:BPZ983150 BZV983149:BZV983150 CJR983149:CJR983150 CTN983149:CTN983150 DDJ983149:DDJ983150 DNF983149:DNF983150 DXB983149:DXB983150 EGX983149:EGX983150 EQT983149:EQT983150 FAP983149:FAP983150 FKL983149:FKL983150 FUH983149:FUH983150 GED983149:GED983150 GNZ983149:GNZ983150 GXV983149:GXV983150 HHR983149:HHR983150 HRN983149:HRN983150 IBJ983149:IBJ983150 ILF983149:ILF983150 IVB983149:IVB983150 JEX983149:JEX983150 JOT983149:JOT983150 JYP983149:JYP983150 KIL983149:KIL983150 KSH983149:KSH983150 LCD983149:LCD983150 LLZ983149:LLZ983150 LVV983149:LVV983150 MFR983149:MFR983150 MPN983149:MPN983150 MZJ983149:MZJ983150 NJF983149:NJF983150 NTB983149:NTB983150 OCX983149:OCX983150 OMT983149:OMT983150 OWP983149:OWP983150 PGL983149:PGL983150 PQH983149:PQH983150 QAD983149:QAD983150 QJZ983149:QJZ983150 QTV983149:QTV983150 RDR983149:RDR983150 RNN983149:RNN983150 RXJ983149:RXJ983150 SHF983149:SHF983150 SRB983149:SRB983150 TAX983149:TAX983150 TKT983149:TKT983150 TUP983149:TUP983150 UEL983149:UEL983150 UOH983149:UOH983150 UYD983149:UYD983150 VHZ983149:VHZ983150 VRV983149:VRV983150 WBR983149:WBR983150 WLN983149:WLN983150 WVJ983149:WVJ983150">
      <formula1>$R$109</formula1>
    </dataValidation>
    <dataValidation type="list" allowBlank="1" showInputMessage="1" showErrorMessage="1" sqref="B81:B82 B86:B89 IX86:IX89 ST86:ST89 ACP86:ACP89 AML86:AML89 AWH86:AWH89 BGD86:BGD89 BPZ86:BPZ89 BZV86:BZV89 CJR86:CJR89 CTN86:CTN89 DDJ86:DDJ89 DNF86:DNF89 DXB86:DXB89 EGX86:EGX89 EQT86:EQT89 FAP86:FAP89 FKL86:FKL89 FUH86:FUH89 GED86:GED89 GNZ86:GNZ89 GXV86:GXV89 HHR86:HHR89 HRN86:HRN89 IBJ86:IBJ89 ILF86:ILF89 IVB86:IVB89 JEX86:JEX89 JOT86:JOT89 JYP86:JYP89 KIL86:KIL89 KSH86:KSH89 LCD86:LCD89 LLZ86:LLZ89 LVV86:LVV89 MFR86:MFR89 MPN86:MPN89 MZJ86:MZJ89 NJF86:NJF89 NTB86:NTB89 OCX86:OCX89 OMT86:OMT89 OWP86:OWP89 PGL86:PGL89 PQH86:PQH89 QAD86:QAD89 QJZ86:QJZ89 QTV86:QTV89 RDR86:RDR89 RNN86:RNN89 RXJ86:RXJ89 SHF86:SHF89 SRB86:SRB89 TAX86:TAX89 TKT86:TKT89 TUP86:TUP89 UEL86:UEL89 UOH86:UOH89 UYD86:UYD89 VHZ86:VHZ89 VRV86:VRV89 WBR86:WBR89 WLN86:WLN89 WVJ86:WVJ89 WVJ983139 WLN983139 WBR983139 VRV983139 VHZ983139 UYD983139 UOH983139 UEL983139 TUP983139 TKT983139 TAX983139 SRB983139 SHF983139 RXJ983139 RNN983139 RDR983139 QTV983139 QJZ983139 QAD983139 PQH983139 PGL983139 OWP983139 OMT983139 OCX983139 NTB983139 NJF983139 MZJ983139 MPN983139 MFR983139 LVV983139 LLZ983139 LCD983139 KSH983139 KIL983139 JYP983139 JOT983139 JEX983139 IVB983139 ILF983139 IBJ983139 HRN983139 HHR983139 GXV983139 GNZ983139 GED983139 FUH983139 FKL983139 FAP983139 EQT983139 EGX983139 DXB983139 DNF983139 DDJ983139 CTN983139 CJR983139 BZV983139 BPZ983139 BGD983139 AWH983139 AML983139 ACP983139 ST983139 IX983139 B983139 WVJ917603 WLN917603 WBR917603 VRV917603 VHZ917603 UYD917603 UOH917603 UEL917603 TUP917603 TKT917603 TAX917603 SRB917603 SHF917603 RXJ917603 RNN917603 RDR917603 QTV917603 QJZ917603 QAD917603 PQH917603 PGL917603 OWP917603 OMT917603 OCX917603 NTB917603 NJF917603 MZJ917603 MPN917603 MFR917603 LVV917603 LLZ917603 LCD917603 KSH917603 KIL917603 JYP917603 JOT917603 JEX917603 IVB917603 ILF917603 IBJ917603 HRN917603 HHR917603 GXV917603 GNZ917603 GED917603 FUH917603 FKL917603 FAP917603 EQT917603 EGX917603 DXB917603 DNF917603 DDJ917603 CTN917603 CJR917603 BZV917603 BPZ917603 BGD917603 AWH917603 AML917603 ACP917603 ST917603 IX917603 B917603 WVJ852067 WLN852067 WBR852067 VRV852067 VHZ852067 UYD852067 UOH852067 UEL852067 TUP852067 TKT852067 TAX852067 SRB852067 SHF852067 RXJ852067 RNN852067 RDR852067 QTV852067 QJZ852067 QAD852067 PQH852067 PGL852067 OWP852067 OMT852067 OCX852067 NTB852067 NJF852067 MZJ852067 MPN852067 MFR852067 LVV852067 LLZ852067 LCD852067 KSH852067 KIL852067 JYP852067 JOT852067 JEX852067 IVB852067 ILF852067 IBJ852067 HRN852067 HHR852067 GXV852067 GNZ852067 GED852067 FUH852067 FKL852067 FAP852067 EQT852067 EGX852067 DXB852067 DNF852067 DDJ852067 CTN852067 CJR852067 BZV852067 BPZ852067 BGD852067 AWH852067 AML852067 ACP852067 ST852067 IX852067 B852067 WVJ786531 WLN786531 WBR786531 VRV786531 VHZ786531 UYD786531 UOH786531 UEL786531 TUP786531 TKT786531 TAX786531 SRB786531 SHF786531 RXJ786531 RNN786531 RDR786531 QTV786531 QJZ786531 QAD786531 PQH786531 PGL786531 OWP786531 OMT786531 OCX786531 NTB786531 NJF786531 MZJ786531 MPN786531 MFR786531 LVV786531 LLZ786531 LCD786531 KSH786531 KIL786531 JYP786531 JOT786531 JEX786531 IVB786531 ILF786531 IBJ786531 HRN786531 HHR786531 GXV786531 GNZ786531 GED786531 FUH786531 FKL786531 FAP786531 EQT786531 EGX786531 DXB786531 DNF786531 DDJ786531 CTN786531 CJR786531 BZV786531 BPZ786531 BGD786531 AWH786531 AML786531 ACP786531 ST786531 IX786531 B786531 WVJ720995 WLN720995 WBR720995 VRV720995 VHZ720995 UYD720995 UOH720995 UEL720995 TUP720995 TKT720995 TAX720995 SRB720995 SHF720995 RXJ720995 RNN720995 RDR720995 QTV720995 QJZ720995 QAD720995 PQH720995 PGL720995 OWP720995 OMT720995 OCX720995 NTB720995 NJF720995 MZJ720995 MPN720995 MFR720995 LVV720995 LLZ720995 LCD720995 KSH720995 KIL720995 JYP720995 JOT720995 JEX720995 IVB720995 ILF720995 IBJ720995 HRN720995 HHR720995 GXV720995 GNZ720995 GED720995 FUH720995 FKL720995 FAP720995 EQT720995 EGX720995 DXB720995 DNF720995 DDJ720995 CTN720995 CJR720995 BZV720995 BPZ720995 BGD720995 AWH720995 AML720995 ACP720995 ST720995 IX720995 B720995 WVJ655459 WLN655459 WBR655459 VRV655459 VHZ655459 UYD655459 UOH655459 UEL655459 TUP655459 TKT655459 TAX655459 SRB655459 SHF655459 RXJ655459 RNN655459 RDR655459 QTV655459 QJZ655459 QAD655459 PQH655459 PGL655459 OWP655459 OMT655459 OCX655459 NTB655459 NJF655459 MZJ655459 MPN655459 MFR655459 LVV655459 LLZ655459 LCD655459 KSH655459 KIL655459 JYP655459 JOT655459 JEX655459 IVB655459 ILF655459 IBJ655459 HRN655459 HHR655459 GXV655459 GNZ655459 GED655459 FUH655459 FKL655459 FAP655459 EQT655459 EGX655459 DXB655459 DNF655459 DDJ655459 CTN655459 CJR655459 BZV655459 BPZ655459 BGD655459 AWH655459 AML655459 ACP655459 ST655459 IX655459 B655459 WVJ589923 WLN589923 WBR589923 VRV589923 VHZ589923 UYD589923 UOH589923 UEL589923 TUP589923 TKT589923 TAX589923 SRB589923 SHF589923 RXJ589923 RNN589923 RDR589923 QTV589923 QJZ589923 QAD589923 PQH589923 PGL589923 OWP589923 OMT589923 OCX589923 NTB589923 NJF589923 MZJ589923 MPN589923 MFR589923 LVV589923 LLZ589923 LCD589923 KSH589923 KIL589923 JYP589923 JOT589923 JEX589923 IVB589923 ILF589923 IBJ589923 HRN589923 HHR589923 GXV589923 GNZ589923 GED589923 FUH589923 FKL589923 FAP589923 EQT589923 EGX589923 DXB589923 DNF589923 DDJ589923 CTN589923 CJR589923 BZV589923 BPZ589923 BGD589923 AWH589923 AML589923 ACP589923 ST589923 IX589923 B589923 WVJ524387 WLN524387 WBR524387 VRV524387 VHZ524387 UYD524387 UOH524387 UEL524387 TUP524387 TKT524387 TAX524387 SRB524387 SHF524387 RXJ524387 RNN524387 RDR524387 QTV524387 QJZ524387 QAD524387 PQH524387 PGL524387 OWP524387 OMT524387 OCX524387 NTB524387 NJF524387 MZJ524387 MPN524387 MFR524387 LVV524387 LLZ524387 LCD524387 KSH524387 KIL524387 JYP524387 JOT524387 JEX524387 IVB524387 ILF524387 IBJ524387 HRN524387 HHR524387 GXV524387 GNZ524387 GED524387 FUH524387 FKL524387 FAP524387 EQT524387 EGX524387 DXB524387 DNF524387 DDJ524387 CTN524387 CJR524387 BZV524387 BPZ524387 BGD524387 AWH524387 AML524387 ACP524387 ST524387 IX524387 B524387 WVJ458851 WLN458851 WBR458851 VRV458851 VHZ458851 UYD458851 UOH458851 UEL458851 TUP458851 TKT458851 TAX458851 SRB458851 SHF458851 RXJ458851 RNN458851 RDR458851 QTV458851 QJZ458851 QAD458851 PQH458851 PGL458851 OWP458851 OMT458851 OCX458851 NTB458851 NJF458851 MZJ458851 MPN458851 MFR458851 LVV458851 LLZ458851 LCD458851 KSH458851 KIL458851 JYP458851 JOT458851 JEX458851 IVB458851 ILF458851 IBJ458851 HRN458851 HHR458851 GXV458851 GNZ458851 GED458851 FUH458851 FKL458851 FAP458851 EQT458851 EGX458851 DXB458851 DNF458851 DDJ458851 CTN458851 CJR458851 BZV458851 BPZ458851 BGD458851 AWH458851 AML458851 ACP458851 ST458851 IX458851 B458851 WVJ393315 WLN393315 WBR393315 VRV393315 VHZ393315 UYD393315 UOH393315 UEL393315 TUP393315 TKT393315 TAX393315 SRB393315 SHF393315 RXJ393315 RNN393315 RDR393315 QTV393315 QJZ393315 QAD393315 PQH393315 PGL393315 OWP393315 OMT393315 OCX393315 NTB393315 NJF393315 MZJ393315 MPN393315 MFR393315 LVV393315 LLZ393315 LCD393315 KSH393315 KIL393315 JYP393315 JOT393315 JEX393315 IVB393315 ILF393315 IBJ393315 HRN393315 HHR393315 GXV393315 GNZ393315 GED393315 FUH393315 FKL393315 FAP393315 EQT393315 EGX393315 DXB393315 DNF393315 DDJ393315 CTN393315 CJR393315 BZV393315 BPZ393315 BGD393315 AWH393315 AML393315 ACP393315 ST393315 IX393315 B393315 WVJ327779 WLN327779 WBR327779 VRV327779 VHZ327779 UYD327779 UOH327779 UEL327779 TUP327779 TKT327779 TAX327779 SRB327779 SHF327779 RXJ327779 RNN327779 RDR327779 QTV327779 QJZ327779 QAD327779 PQH327779 PGL327779 OWP327779 OMT327779 OCX327779 NTB327779 NJF327779 MZJ327779 MPN327779 MFR327779 LVV327779 LLZ327779 LCD327779 KSH327779 KIL327779 JYP327779 JOT327779 JEX327779 IVB327779 ILF327779 IBJ327779 HRN327779 HHR327779 GXV327779 GNZ327779 GED327779 FUH327779 FKL327779 FAP327779 EQT327779 EGX327779 DXB327779 DNF327779 DDJ327779 CTN327779 CJR327779 BZV327779 BPZ327779 BGD327779 AWH327779 AML327779 ACP327779 ST327779 IX327779 B327779 WVJ262243 WLN262243 WBR262243 VRV262243 VHZ262243 UYD262243 UOH262243 UEL262243 TUP262243 TKT262243 TAX262243 SRB262243 SHF262243 RXJ262243 RNN262243 RDR262243 QTV262243 QJZ262243 QAD262243 PQH262243 PGL262243 OWP262243 OMT262243 OCX262243 NTB262243 NJF262243 MZJ262243 MPN262243 MFR262243 LVV262243 LLZ262243 LCD262243 KSH262243 KIL262243 JYP262243 JOT262243 JEX262243 IVB262243 ILF262243 IBJ262243 HRN262243 HHR262243 GXV262243 GNZ262243 GED262243 FUH262243 FKL262243 FAP262243 EQT262243 EGX262243 DXB262243 DNF262243 DDJ262243 CTN262243 CJR262243 BZV262243 BPZ262243 BGD262243 AWH262243 AML262243 ACP262243 ST262243 IX262243 B262243 WVJ196707 WLN196707 WBR196707 VRV196707 VHZ196707 UYD196707 UOH196707 UEL196707 TUP196707 TKT196707 TAX196707 SRB196707 SHF196707 RXJ196707 RNN196707 RDR196707 QTV196707 QJZ196707 QAD196707 PQH196707 PGL196707 OWP196707 OMT196707 OCX196707 NTB196707 NJF196707 MZJ196707 MPN196707 MFR196707 LVV196707 LLZ196707 LCD196707 KSH196707 KIL196707 JYP196707 JOT196707 JEX196707 IVB196707 ILF196707 IBJ196707 HRN196707 HHR196707 GXV196707 GNZ196707 GED196707 FUH196707 FKL196707 FAP196707 EQT196707 EGX196707 DXB196707 DNF196707 DDJ196707 CTN196707 CJR196707 BZV196707 BPZ196707 BGD196707 AWH196707 AML196707 ACP196707 ST196707 IX196707 B196707 WVJ131171 WLN131171 WBR131171 VRV131171 VHZ131171 UYD131171 UOH131171 UEL131171 TUP131171 TKT131171 TAX131171 SRB131171 SHF131171 RXJ131171 RNN131171 RDR131171 QTV131171 QJZ131171 QAD131171 PQH131171 PGL131171 OWP131171 OMT131171 OCX131171 NTB131171 NJF131171 MZJ131171 MPN131171 MFR131171 LVV131171 LLZ131171 LCD131171 KSH131171 KIL131171 JYP131171 JOT131171 JEX131171 IVB131171 ILF131171 IBJ131171 HRN131171 HHR131171 GXV131171 GNZ131171 GED131171 FUH131171 FKL131171 FAP131171 EQT131171 EGX131171 DXB131171 DNF131171 DDJ131171 CTN131171 CJR131171 BZV131171 BPZ131171 BGD131171 AWH131171 AML131171 ACP131171 ST131171 IX131171 B131171 WVJ65635 WLN65635 WBR65635 VRV65635 VHZ65635 UYD65635 UOH65635 UEL65635 TUP65635 TKT65635 TAX65635 SRB65635 SHF65635 RXJ65635 RNN65635 RDR65635 QTV65635 QJZ65635 QAD65635 PQH65635 PGL65635 OWP65635 OMT65635 OCX65635 NTB65635 NJF65635 MZJ65635 MPN65635 MFR65635 LVV65635 LLZ65635 LCD65635 KSH65635 KIL65635 JYP65635 JOT65635 JEX65635 IVB65635 ILF65635 IBJ65635 HRN65635 HHR65635 GXV65635 GNZ65635 GED65635 FUH65635 FKL65635 FAP65635 EQT65635 EGX65635 DXB65635 DNF65635 DDJ65635 CTN65635 CJR65635 BZV65635 BPZ65635 BGD65635 AWH65635 AML65635 ACP65635 ST65635 IX65635 B65635 WVJ84 WLN84 WBR84 VRV84 VHZ84 UYD84 UOH84 UEL84 TUP84 TKT84 TAX84 SRB84 SHF84 RXJ84 RNN84 RDR84 QTV84 QJZ84 QAD84 PQH84 PGL84 OWP84 OMT84 OCX84 NTB84 NJF84 MZJ84 MPN84 MFR84 LVV84 LLZ84 LCD84 KSH84 KIL84 JYP84 JOT84 JEX84 IVB84 ILF84 IBJ84 HRN84 HHR84 GXV84 GNZ84 GED84 FUH84 FKL84 FAP84 EQT84 EGX84 DXB84 DNF84 DDJ84 CTN84 CJR84 BZV84 BPZ84 BGD84 AWH84 AML84 ACP84 ST84 IX84 B84 WVJ983141:WVJ983145 WLN983141:WLN983145 WBR983141:WBR983145 VRV983141:VRV983145 VHZ983141:VHZ983145 UYD983141:UYD983145 UOH983141:UOH983145 UEL983141:UEL983145 TUP983141:TUP983145 TKT983141:TKT983145 TAX983141:TAX983145 SRB983141:SRB983145 SHF983141:SHF983145 RXJ983141:RXJ983145 RNN983141:RNN983145 RDR983141:RDR983145 QTV983141:QTV983145 QJZ983141:QJZ983145 QAD983141:QAD983145 PQH983141:PQH983145 PGL983141:PGL983145 OWP983141:OWP983145 OMT983141:OMT983145 OCX983141:OCX983145 NTB983141:NTB983145 NJF983141:NJF983145 MZJ983141:MZJ983145 MPN983141:MPN983145 MFR983141:MFR983145 LVV983141:LVV983145 LLZ983141:LLZ983145 LCD983141:LCD983145 KSH983141:KSH983145 KIL983141:KIL983145 JYP983141:JYP983145 JOT983141:JOT983145 JEX983141:JEX983145 IVB983141:IVB983145 ILF983141:ILF983145 IBJ983141:IBJ983145 HRN983141:HRN983145 HHR983141:HHR983145 GXV983141:GXV983145 GNZ983141:GNZ983145 GED983141:GED983145 FUH983141:FUH983145 FKL983141:FKL983145 FAP983141:FAP983145 EQT983141:EQT983145 EGX983141:EGX983145 DXB983141:DXB983145 DNF983141:DNF983145 DDJ983141:DDJ983145 CTN983141:CTN983145 CJR983141:CJR983145 BZV983141:BZV983145 BPZ983141:BPZ983145 BGD983141:BGD983145 AWH983141:AWH983145 AML983141:AML983145 ACP983141:ACP983145 ST983141:ST983145 IX983141:IX983145 B983141:B983145 WVJ917605:WVJ917609 WLN917605:WLN917609 WBR917605:WBR917609 VRV917605:VRV917609 VHZ917605:VHZ917609 UYD917605:UYD917609 UOH917605:UOH917609 UEL917605:UEL917609 TUP917605:TUP917609 TKT917605:TKT917609 TAX917605:TAX917609 SRB917605:SRB917609 SHF917605:SHF917609 RXJ917605:RXJ917609 RNN917605:RNN917609 RDR917605:RDR917609 QTV917605:QTV917609 QJZ917605:QJZ917609 QAD917605:QAD917609 PQH917605:PQH917609 PGL917605:PGL917609 OWP917605:OWP917609 OMT917605:OMT917609 OCX917605:OCX917609 NTB917605:NTB917609 NJF917605:NJF917609 MZJ917605:MZJ917609 MPN917605:MPN917609 MFR917605:MFR917609 LVV917605:LVV917609 LLZ917605:LLZ917609 LCD917605:LCD917609 KSH917605:KSH917609 KIL917605:KIL917609 JYP917605:JYP917609 JOT917605:JOT917609 JEX917605:JEX917609 IVB917605:IVB917609 ILF917605:ILF917609 IBJ917605:IBJ917609 HRN917605:HRN917609 HHR917605:HHR917609 GXV917605:GXV917609 GNZ917605:GNZ917609 GED917605:GED917609 FUH917605:FUH917609 FKL917605:FKL917609 FAP917605:FAP917609 EQT917605:EQT917609 EGX917605:EGX917609 DXB917605:DXB917609 DNF917605:DNF917609 DDJ917605:DDJ917609 CTN917605:CTN917609 CJR917605:CJR917609 BZV917605:BZV917609 BPZ917605:BPZ917609 BGD917605:BGD917609 AWH917605:AWH917609 AML917605:AML917609 ACP917605:ACP917609 ST917605:ST917609 IX917605:IX917609 B917605:B917609 WVJ852069:WVJ852073 WLN852069:WLN852073 WBR852069:WBR852073 VRV852069:VRV852073 VHZ852069:VHZ852073 UYD852069:UYD852073 UOH852069:UOH852073 UEL852069:UEL852073 TUP852069:TUP852073 TKT852069:TKT852073 TAX852069:TAX852073 SRB852069:SRB852073 SHF852069:SHF852073 RXJ852069:RXJ852073 RNN852069:RNN852073 RDR852069:RDR852073 QTV852069:QTV852073 QJZ852069:QJZ852073 QAD852069:QAD852073 PQH852069:PQH852073 PGL852069:PGL852073 OWP852069:OWP852073 OMT852069:OMT852073 OCX852069:OCX852073 NTB852069:NTB852073 NJF852069:NJF852073 MZJ852069:MZJ852073 MPN852069:MPN852073 MFR852069:MFR852073 LVV852069:LVV852073 LLZ852069:LLZ852073 LCD852069:LCD852073 KSH852069:KSH852073 KIL852069:KIL852073 JYP852069:JYP852073 JOT852069:JOT852073 JEX852069:JEX852073 IVB852069:IVB852073 ILF852069:ILF852073 IBJ852069:IBJ852073 HRN852069:HRN852073 HHR852069:HHR852073 GXV852069:GXV852073 GNZ852069:GNZ852073 GED852069:GED852073 FUH852069:FUH852073 FKL852069:FKL852073 FAP852069:FAP852073 EQT852069:EQT852073 EGX852069:EGX852073 DXB852069:DXB852073 DNF852069:DNF852073 DDJ852069:DDJ852073 CTN852069:CTN852073 CJR852069:CJR852073 BZV852069:BZV852073 BPZ852069:BPZ852073 BGD852069:BGD852073 AWH852069:AWH852073 AML852069:AML852073 ACP852069:ACP852073 ST852069:ST852073 IX852069:IX852073 B852069:B852073 WVJ786533:WVJ786537 WLN786533:WLN786537 WBR786533:WBR786537 VRV786533:VRV786537 VHZ786533:VHZ786537 UYD786533:UYD786537 UOH786533:UOH786537 UEL786533:UEL786537 TUP786533:TUP786537 TKT786533:TKT786537 TAX786533:TAX786537 SRB786533:SRB786537 SHF786533:SHF786537 RXJ786533:RXJ786537 RNN786533:RNN786537 RDR786533:RDR786537 QTV786533:QTV786537 QJZ786533:QJZ786537 QAD786533:QAD786537 PQH786533:PQH786537 PGL786533:PGL786537 OWP786533:OWP786537 OMT786533:OMT786537 OCX786533:OCX786537 NTB786533:NTB786537 NJF786533:NJF786537 MZJ786533:MZJ786537 MPN786533:MPN786537 MFR786533:MFR786537 LVV786533:LVV786537 LLZ786533:LLZ786537 LCD786533:LCD786537 KSH786533:KSH786537 KIL786533:KIL786537 JYP786533:JYP786537 JOT786533:JOT786537 JEX786533:JEX786537 IVB786533:IVB786537 ILF786533:ILF786537 IBJ786533:IBJ786537 HRN786533:HRN786537 HHR786533:HHR786537 GXV786533:GXV786537 GNZ786533:GNZ786537 GED786533:GED786537 FUH786533:FUH786537 FKL786533:FKL786537 FAP786533:FAP786537 EQT786533:EQT786537 EGX786533:EGX786537 DXB786533:DXB786537 DNF786533:DNF786537 DDJ786533:DDJ786537 CTN786533:CTN786537 CJR786533:CJR786537 BZV786533:BZV786537 BPZ786533:BPZ786537 BGD786533:BGD786537 AWH786533:AWH786537 AML786533:AML786537 ACP786533:ACP786537 ST786533:ST786537 IX786533:IX786537 B786533:B786537 WVJ720997:WVJ721001 WLN720997:WLN721001 WBR720997:WBR721001 VRV720997:VRV721001 VHZ720997:VHZ721001 UYD720997:UYD721001 UOH720997:UOH721001 UEL720997:UEL721001 TUP720997:TUP721001 TKT720997:TKT721001 TAX720997:TAX721001 SRB720997:SRB721001 SHF720997:SHF721001 RXJ720997:RXJ721001 RNN720997:RNN721001 RDR720997:RDR721001 QTV720997:QTV721001 QJZ720997:QJZ721001 QAD720997:QAD721001 PQH720997:PQH721001 PGL720997:PGL721001 OWP720997:OWP721001 OMT720997:OMT721001 OCX720997:OCX721001 NTB720997:NTB721001 NJF720997:NJF721001 MZJ720997:MZJ721001 MPN720997:MPN721001 MFR720997:MFR721001 LVV720997:LVV721001 LLZ720997:LLZ721001 LCD720997:LCD721001 KSH720997:KSH721001 KIL720997:KIL721001 JYP720997:JYP721001 JOT720997:JOT721001 JEX720997:JEX721001 IVB720997:IVB721001 ILF720997:ILF721001 IBJ720997:IBJ721001 HRN720997:HRN721001 HHR720997:HHR721001 GXV720997:GXV721001 GNZ720997:GNZ721001 GED720997:GED721001 FUH720997:FUH721001 FKL720997:FKL721001 FAP720997:FAP721001 EQT720997:EQT721001 EGX720997:EGX721001 DXB720997:DXB721001 DNF720997:DNF721001 DDJ720997:DDJ721001 CTN720997:CTN721001 CJR720997:CJR721001 BZV720997:BZV721001 BPZ720997:BPZ721001 BGD720997:BGD721001 AWH720997:AWH721001 AML720997:AML721001 ACP720997:ACP721001 ST720997:ST721001 IX720997:IX721001 B720997:B721001 WVJ655461:WVJ655465 WLN655461:WLN655465 WBR655461:WBR655465 VRV655461:VRV655465 VHZ655461:VHZ655465 UYD655461:UYD655465 UOH655461:UOH655465 UEL655461:UEL655465 TUP655461:TUP655465 TKT655461:TKT655465 TAX655461:TAX655465 SRB655461:SRB655465 SHF655461:SHF655465 RXJ655461:RXJ655465 RNN655461:RNN655465 RDR655461:RDR655465 QTV655461:QTV655465 QJZ655461:QJZ655465 QAD655461:QAD655465 PQH655461:PQH655465 PGL655461:PGL655465 OWP655461:OWP655465 OMT655461:OMT655465 OCX655461:OCX655465 NTB655461:NTB655465 NJF655461:NJF655465 MZJ655461:MZJ655465 MPN655461:MPN655465 MFR655461:MFR655465 LVV655461:LVV655465 LLZ655461:LLZ655465 LCD655461:LCD655465 KSH655461:KSH655465 KIL655461:KIL655465 JYP655461:JYP655465 JOT655461:JOT655465 JEX655461:JEX655465 IVB655461:IVB655465 ILF655461:ILF655465 IBJ655461:IBJ655465 HRN655461:HRN655465 HHR655461:HHR655465 GXV655461:GXV655465 GNZ655461:GNZ655465 GED655461:GED655465 FUH655461:FUH655465 FKL655461:FKL655465 FAP655461:FAP655465 EQT655461:EQT655465 EGX655461:EGX655465 DXB655461:DXB655465 DNF655461:DNF655465 DDJ655461:DDJ655465 CTN655461:CTN655465 CJR655461:CJR655465 BZV655461:BZV655465 BPZ655461:BPZ655465 BGD655461:BGD655465 AWH655461:AWH655465 AML655461:AML655465 ACP655461:ACP655465 ST655461:ST655465 IX655461:IX655465 B655461:B655465 WVJ589925:WVJ589929 WLN589925:WLN589929 WBR589925:WBR589929 VRV589925:VRV589929 VHZ589925:VHZ589929 UYD589925:UYD589929 UOH589925:UOH589929 UEL589925:UEL589929 TUP589925:TUP589929 TKT589925:TKT589929 TAX589925:TAX589929 SRB589925:SRB589929 SHF589925:SHF589929 RXJ589925:RXJ589929 RNN589925:RNN589929 RDR589925:RDR589929 QTV589925:QTV589929 QJZ589925:QJZ589929 QAD589925:QAD589929 PQH589925:PQH589929 PGL589925:PGL589929 OWP589925:OWP589929 OMT589925:OMT589929 OCX589925:OCX589929 NTB589925:NTB589929 NJF589925:NJF589929 MZJ589925:MZJ589929 MPN589925:MPN589929 MFR589925:MFR589929 LVV589925:LVV589929 LLZ589925:LLZ589929 LCD589925:LCD589929 KSH589925:KSH589929 KIL589925:KIL589929 JYP589925:JYP589929 JOT589925:JOT589929 JEX589925:JEX589929 IVB589925:IVB589929 ILF589925:ILF589929 IBJ589925:IBJ589929 HRN589925:HRN589929 HHR589925:HHR589929 GXV589925:GXV589929 GNZ589925:GNZ589929 GED589925:GED589929 FUH589925:FUH589929 FKL589925:FKL589929 FAP589925:FAP589929 EQT589925:EQT589929 EGX589925:EGX589929 DXB589925:DXB589929 DNF589925:DNF589929 DDJ589925:DDJ589929 CTN589925:CTN589929 CJR589925:CJR589929 BZV589925:BZV589929 BPZ589925:BPZ589929 BGD589925:BGD589929 AWH589925:AWH589929 AML589925:AML589929 ACP589925:ACP589929 ST589925:ST589929 IX589925:IX589929 B589925:B589929 WVJ524389:WVJ524393 WLN524389:WLN524393 WBR524389:WBR524393 VRV524389:VRV524393 VHZ524389:VHZ524393 UYD524389:UYD524393 UOH524389:UOH524393 UEL524389:UEL524393 TUP524389:TUP524393 TKT524389:TKT524393 TAX524389:TAX524393 SRB524389:SRB524393 SHF524389:SHF524393 RXJ524389:RXJ524393 RNN524389:RNN524393 RDR524389:RDR524393 QTV524389:QTV524393 QJZ524389:QJZ524393 QAD524389:QAD524393 PQH524389:PQH524393 PGL524389:PGL524393 OWP524389:OWP524393 OMT524389:OMT524393 OCX524389:OCX524393 NTB524389:NTB524393 NJF524389:NJF524393 MZJ524389:MZJ524393 MPN524389:MPN524393 MFR524389:MFR524393 LVV524389:LVV524393 LLZ524389:LLZ524393 LCD524389:LCD524393 KSH524389:KSH524393 KIL524389:KIL524393 JYP524389:JYP524393 JOT524389:JOT524393 JEX524389:JEX524393 IVB524389:IVB524393 ILF524389:ILF524393 IBJ524389:IBJ524393 HRN524389:HRN524393 HHR524389:HHR524393 GXV524389:GXV524393 GNZ524389:GNZ524393 GED524389:GED524393 FUH524389:FUH524393 FKL524389:FKL524393 FAP524389:FAP524393 EQT524389:EQT524393 EGX524389:EGX524393 DXB524389:DXB524393 DNF524389:DNF524393 DDJ524389:DDJ524393 CTN524389:CTN524393 CJR524389:CJR524393 BZV524389:BZV524393 BPZ524389:BPZ524393 BGD524389:BGD524393 AWH524389:AWH524393 AML524389:AML524393 ACP524389:ACP524393 ST524389:ST524393 IX524389:IX524393 B524389:B524393 WVJ458853:WVJ458857 WLN458853:WLN458857 WBR458853:WBR458857 VRV458853:VRV458857 VHZ458853:VHZ458857 UYD458853:UYD458857 UOH458853:UOH458857 UEL458853:UEL458857 TUP458853:TUP458857 TKT458853:TKT458857 TAX458853:TAX458857 SRB458853:SRB458857 SHF458853:SHF458857 RXJ458853:RXJ458857 RNN458853:RNN458857 RDR458853:RDR458857 QTV458853:QTV458857 QJZ458853:QJZ458857 QAD458853:QAD458857 PQH458853:PQH458857 PGL458853:PGL458857 OWP458853:OWP458857 OMT458853:OMT458857 OCX458853:OCX458857 NTB458853:NTB458857 NJF458853:NJF458857 MZJ458853:MZJ458857 MPN458853:MPN458857 MFR458853:MFR458857 LVV458853:LVV458857 LLZ458853:LLZ458857 LCD458853:LCD458857 KSH458853:KSH458857 KIL458853:KIL458857 JYP458853:JYP458857 JOT458853:JOT458857 JEX458853:JEX458857 IVB458853:IVB458857 ILF458853:ILF458857 IBJ458853:IBJ458857 HRN458853:HRN458857 HHR458853:HHR458857 GXV458853:GXV458857 GNZ458853:GNZ458857 GED458853:GED458857 FUH458853:FUH458857 FKL458853:FKL458857 FAP458853:FAP458857 EQT458853:EQT458857 EGX458853:EGX458857 DXB458853:DXB458857 DNF458853:DNF458857 DDJ458853:DDJ458857 CTN458853:CTN458857 CJR458853:CJR458857 BZV458853:BZV458857 BPZ458853:BPZ458857 BGD458853:BGD458857 AWH458853:AWH458857 AML458853:AML458857 ACP458853:ACP458857 ST458853:ST458857 IX458853:IX458857 B458853:B458857 WVJ393317:WVJ393321 WLN393317:WLN393321 WBR393317:WBR393321 VRV393317:VRV393321 VHZ393317:VHZ393321 UYD393317:UYD393321 UOH393317:UOH393321 UEL393317:UEL393321 TUP393317:TUP393321 TKT393317:TKT393321 TAX393317:TAX393321 SRB393317:SRB393321 SHF393317:SHF393321 RXJ393317:RXJ393321 RNN393317:RNN393321 RDR393317:RDR393321 QTV393317:QTV393321 QJZ393317:QJZ393321 QAD393317:QAD393321 PQH393317:PQH393321 PGL393317:PGL393321 OWP393317:OWP393321 OMT393317:OMT393321 OCX393317:OCX393321 NTB393317:NTB393321 NJF393317:NJF393321 MZJ393317:MZJ393321 MPN393317:MPN393321 MFR393317:MFR393321 LVV393317:LVV393321 LLZ393317:LLZ393321 LCD393317:LCD393321 KSH393317:KSH393321 KIL393317:KIL393321 JYP393317:JYP393321 JOT393317:JOT393321 JEX393317:JEX393321 IVB393317:IVB393321 ILF393317:ILF393321 IBJ393317:IBJ393321 HRN393317:HRN393321 HHR393317:HHR393321 GXV393317:GXV393321 GNZ393317:GNZ393321 GED393317:GED393321 FUH393317:FUH393321 FKL393317:FKL393321 FAP393317:FAP393321 EQT393317:EQT393321 EGX393317:EGX393321 DXB393317:DXB393321 DNF393317:DNF393321 DDJ393317:DDJ393321 CTN393317:CTN393321 CJR393317:CJR393321 BZV393317:BZV393321 BPZ393317:BPZ393321 BGD393317:BGD393321 AWH393317:AWH393321 AML393317:AML393321 ACP393317:ACP393321 ST393317:ST393321 IX393317:IX393321 B393317:B393321 WVJ327781:WVJ327785 WLN327781:WLN327785 WBR327781:WBR327785 VRV327781:VRV327785 VHZ327781:VHZ327785 UYD327781:UYD327785 UOH327781:UOH327785 UEL327781:UEL327785 TUP327781:TUP327785 TKT327781:TKT327785 TAX327781:TAX327785 SRB327781:SRB327785 SHF327781:SHF327785 RXJ327781:RXJ327785 RNN327781:RNN327785 RDR327781:RDR327785 QTV327781:QTV327785 QJZ327781:QJZ327785 QAD327781:QAD327785 PQH327781:PQH327785 PGL327781:PGL327785 OWP327781:OWP327785 OMT327781:OMT327785 OCX327781:OCX327785 NTB327781:NTB327785 NJF327781:NJF327785 MZJ327781:MZJ327785 MPN327781:MPN327785 MFR327781:MFR327785 LVV327781:LVV327785 LLZ327781:LLZ327785 LCD327781:LCD327785 KSH327781:KSH327785 KIL327781:KIL327785 JYP327781:JYP327785 JOT327781:JOT327785 JEX327781:JEX327785 IVB327781:IVB327785 ILF327781:ILF327785 IBJ327781:IBJ327785 HRN327781:HRN327785 HHR327781:HHR327785 GXV327781:GXV327785 GNZ327781:GNZ327785 GED327781:GED327785 FUH327781:FUH327785 FKL327781:FKL327785 FAP327781:FAP327785 EQT327781:EQT327785 EGX327781:EGX327785 DXB327781:DXB327785 DNF327781:DNF327785 DDJ327781:DDJ327785 CTN327781:CTN327785 CJR327781:CJR327785 BZV327781:BZV327785 BPZ327781:BPZ327785 BGD327781:BGD327785 AWH327781:AWH327785 AML327781:AML327785 ACP327781:ACP327785 ST327781:ST327785 IX327781:IX327785 B327781:B327785 WVJ262245:WVJ262249 WLN262245:WLN262249 WBR262245:WBR262249 VRV262245:VRV262249 VHZ262245:VHZ262249 UYD262245:UYD262249 UOH262245:UOH262249 UEL262245:UEL262249 TUP262245:TUP262249 TKT262245:TKT262249 TAX262245:TAX262249 SRB262245:SRB262249 SHF262245:SHF262249 RXJ262245:RXJ262249 RNN262245:RNN262249 RDR262245:RDR262249 QTV262245:QTV262249 QJZ262245:QJZ262249 QAD262245:QAD262249 PQH262245:PQH262249 PGL262245:PGL262249 OWP262245:OWP262249 OMT262245:OMT262249 OCX262245:OCX262249 NTB262245:NTB262249 NJF262245:NJF262249 MZJ262245:MZJ262249 MPN262245:MPN262249 MFR262245:MFR262249 LVV262245:LVV262249 LLZ262245:LLZ262249 LCD262245:LCD262249 KSH262245:KSH262249 KIL262245:KIL262249 JYP262245:JYP262249 JOT262245:JOT262249 JEX262245:JEX262249 IVB262245:IVB262249 ILF262245:ILF262249 IBJ262245:IBJ262249 HRN262245:HRN262249 HHR262245:HHR262249 GXV262245:GXV262249 GNZ262245:GNZ262249 GED262245:GED262249 FUH262245:FUH262249 FKL262245:FKL262249 FAP262245:FAP262249 EQT262245:EQT262249 EGX262245:EGX262249 DXB262245:DXB262249 DNF262245:DNF262249 DDJ262245:DDJ262249 CTN262245:CTN262249 CJR262245:CJR262249 BZV262245:BZV262249 BPZ262245:BPZ262249 BGD262245:BGD262249 AWH262245:AWH262249 AML262245:AML262249 ACP262245:ACP262249 ST262245:ST262249 IX262245:IX262249 B262245:B262249 WVJ196709:WVJ196713 WLN196709:WLN196713 WBR196709:WBR196713 VRV196709:VRV196713 VHZ196709:VHZ196713 UYD196709:UYD196713 UOH196709:UOH196713 UEL196709:UEL196713 TUP196709:TUP196713 TKT196709:TKT196713 TAX196709:TAX196713 SRB196709:SRB196713 SHF196709:SHF196713 RXJ196709:RXJ196713 RNN196709:RNN196713 RDR196709:RDR196713 QTV196709:QTV196713 QJZ196709:QJZ196713 QAD196709:QAD196713 PQH196709:PQH196713 PGL196709:PGL196713 OWP196709:OWP196713 OMT196709:OMT196713 OCX196709:OCX196713 NTB196709:NTB196713 NJF196709:NJF196713 MZJ196709:MZJ196713 MPN196709:MPN196713 MFR196709:MFR196713 LVV196709:LVV196713 LLZ196709:LLZ196713 LCD196709:LCD196713 KSH196709:KSH196713 KIL196709:KIL196713 JYP196709:JYP196713 JOT196709:JOT196713 JEX196709:JEX196713 IVB196709:IVB196713 ILF196709:ILF196713 IBJ196709:IBJ196713 HRN196709:HRN196713 HHR196709:HHR196713 GXV196709:GXV196713 GNZ196709:GNZ196713 GED196709:GED196713 FUH196709:FUH196713 FKL196709:FKL196713 FAP196709:FAP196713 EQT196709:EQT196713 EGX196709:EGX196713 DXB196709:DXB196713 DNF196709:DNF196713 DDJ196709:DDJ196713 CTN196709:CTN196713 CJR196709:CJR196713 BZV196709:BZV196713 BPZ196709:BPZ196713 BGD196709:BGD196713 AWH196709:AWH196713 AML196709:AML196713 ACP196709:ACP196713 ST196709:ST196713 IX196709:IX196713 B196709:B196713 WVJ131173:WVJ131177 WLN131173:WLN131177 WBR131173:WBR131177 VRV131173:VRV131177 VHZ131173:VHZ131177 UYD131173:UYD131177 UOH131173:UOH131177 UEL131173:UEL131177 TUP131173:TUP131177 TKT131173:TKT131177 TAX131173:TAX131177 SRB131173:SRB131177 SHF131173:SHF131177 RXJ131173:RXJ131177 RNN131173:RNN131177 RDR131173:RDR131177 QTV131173:QTV131177 QJZ131173:QJZ131177 QAD131173:QAD131177 PQH131173:PQH131177 PGL131173:PGL131177 OWP131173:OWP131177 OMT131173:OMT131177 OCX131173:OCX131177 NTB131173:NTB131177 NJF131173:NJF131177 MZJ131173:MZJ131177 MPN131173:MPN131177 MFR131173:MFR131177 LVV131173:LVV131177 LLZ131173:LLZ131177 LCD131173:LCD131177 KSH131173:KSH131177 KIL131173:KIL131177 JYP131173:JYP131177 JOT131173:JOT131177 JEX131173:JEX131177 IVB131173:IVB131177 ILF131173:ILF131177 IBJ131173:IBJ131177 HRN131173:HRN131177 HHR131173:HHR131177 GXV131173:GXV131177 GNZ131173:GNZ131177 GED131173:GED131177 FUH131173:FUH131177 FKL131173:FKL131177 FAP131173:FAP131177 EQT131173:EQT131177 EGX131173:EGX131177 DXB131173:DXB131177 DNF131173:DNF131177 DDJ131173:DDJ131177 CTN131173:CTN131177 CJR131173:CJR131177 BZV131173:BZV131177 BPZ131173:BPZ131177 BGD131173:BGD131177 AWH131173:AWH131177 AML131173:AML131177 ACP131173:ACP131177 ST131173:ST131177 IX131173:IX131177 B131173:B131177 WVJ65637:WVJ65641 WLN65637:WLN65641 WBR65637:WBR65641 VRV65637:VRV65641 VHZ65637:VHZ65641 UYD65637:UYD65641 UOH65637:UOH65641 UEL65637:UEL65641 TUP65637:TUP65641 TKT65637:TKT65641 TAX65637:TAX65641 SRB65637:SRB65641 SHF65637:SHF65641 RXJ65637:RXJ65641 RNN65637:RNN65641 RDR65637:RDR65641 QTV65637:QTV65641 QJZ65637:QJZ65641 QAD65637:QAD65641 PQH65637:PQH65641 PGL65637:PGL65641 OWP65637:OWP65641 OMT65637:OMT65641 OCX65637:OCX65641 NTB65637:NTB65641 NJF65637:NJF65641 MZJ65637:MZJ65641 MPN65637:MPN65641 MFR65637:MFR65641 LVV65637:LVV65641 LLZ65637:LLZ65641 LCD65637:LCD65641 KSH65637:KSH65641 KIL65637:KIL65641 JYP65637:JYP65641 JOT65637:JOT65641 JEX65637:JEX65641 IVB65637:IVB65641 ILF65637:ILF65641 IBJ65637:IBJ65641 HRN65637:HRN65641 HHR65637:HHR65641 GXV65637:GXV65641 GNZ65637:GNZ65641 GED65637:GED65641 FUH65637:FUH65641 FKL65637:FKL65641 FAP65637:FAP65641 EQT65637:EQT65641 EGX65637:EGX65641 DXB65637:DXB65641 DNF65637:DNF65641 DDJ65637:DDJ65641 CTN65637:CTN65641 CJR65637:CJR65641 BZV65637:BZV65641 BPZ65637:BPZ65641 BGD65637:BGD65641 AWH65637:AWH65641 AML65637:AML65641 ACP65637:ACP65641 ST65637:ST65641 IX65637:IX65641 B65637:B65641 WVJ983136:WVJ983137 WLN983136:WLN983137 WBR983136:WBR983137 VRV983136:VRV983137 VHZ983136:VHZ983137 UYD983136:UYD983137 UOH983136:UOH983137 UEL983136:UEL983137 TUP983136:TUP983137 TKT983136:TKT983137 TAX983136:TAX983137 SRB983136:SRB983137 SHF983136:SHF983137 RXJ983136:RXJ983137 RNN983136:RNN983137 RDR983136:RDR983137 QTV983136:QTV983137 QJZ983136:QJZ983137 QAD983136:QAD983137 PQH983136:PQH983137 PGL983136:PGL983137 OWP983136:OWP983137 OMT983136:OMT983137 OCX983136:OCX983137 NTB983136:NTB983137 NJF983136:NJF983137 MZJ983136:MZJ983137 MPN983136:MPN983137 MFR983136:MFR983137 LVV983136:LVV983137 LLZ983136:LLZ983137 LCD983136:LCD983137 KSH983136:KSH983137 KIL983136:KIL983137 JYP983136:JYP983137 JOT983136:JOT983137 JEX983136:JEX983137 IVB983136:IVB983137 ILF983136:ILF983137 IBJ983136:IBJ983137 HRN983136:HRN983137 HHR983136:HHR983137 GXV983136:GXV983137 GNZ983136:GNZ983137 GED983136:GED983137 FUH983136:FUH983137 FKL983136:FKL983137 FAP983136:FAP983137 EQT983136:EQT983137 EGX983136:EGX983137 DXB983136:DXB983137 DNF983136:DNF983137 DDJ983136:DDJ983137 CTN983136:CTN983137 CJR983136:CJR983137 BZV983136:BZV983137 BPZ983136:BPZ983137 BGD983136:BGD983137 AWH983136:AWH983137 AML983136:AML983137 ACP983136:ACP983137 ST983136:ST983137 IX983136:IX983137 B983136:B983137 WVJ917600:WVJ917601 WLN917600:WLN917601 WBR917600:WBR917601 VRV917600:VRV917601 VHZ917600:VHZ917601 UYD917600:UYD917601 UOH917600:UOH917601 UEL917600:UEL917601 TUP917600:TUP917601 TKT917600:TKT917601 TAX917600:TAX917601 SRB917600:SRB917601 SHF917600:SHF917601 RXJ917600:RXJ917601 RNN917600:RNN917601 RDR917600:RDR917601 QTV917600:QTV917601 QJZ917600:QJZ917601 QAD917600:QAD917601 PQH917600:PQH917601 PGL917600:PGL917601 OWP917600:OWP917601 OMT917600:OMT917601 OCX917600:OCX917601 NTB917600:NTB917601 NJF917600:NJF917601 MZJ917600:MZJ917601 MPN917600:MPN917601 MFR917600:MFR917601 LVV917600:LVV917601 LLZ917600:LLZ917601 LCD917600:LCD917601 KSH917600:KSH917601 KIL917600:KIL917601 JYP917600:JYP917601 JOT917600:JOT917601 JEX917600:JEX917601 IVB917600:IVB917601 ILF917600:ILF917601 IBJ917600:IBJ917601 HRN917600:HRN917601 HHR917600:HHR917601 GXV917600:GXV917601 GNZ917600:GNZ917601 GED917600:GED917601 FUH917600:FUH917601 FKL917600:FKL917601 FAP917600:FAP917601 EQT917600:EQT917601 EGX917600:EGX917601 DXB917600:DXB917601 DNF917600:DNF917601 DDJ917600:DDJ917601 CTN917600:CTN917601 CJR917600:CJR917601 BZV917600:BZV917601 BPZ917600:BPZ917601 BGD917600:BGD917601 AWH917600:AWH917601 AML917600:AML917601 ACP917600:ACP917601 ST917600:ST917601 IX917600:IX917601 B917600:B917601 WVJ852064:WVJ852065 WLN852064:WLN852065 WBR852064:WBR852065 VRV852064:VRV852065 VHZ852064:VHZ852065 UYD852064:UYD852065 UOH852064:UOH852065 UEL852064:UEL852065 TUP852064:TUP852065 TKT852064:TKT852065 TAX852064:TAX852065 SRB852064:SRB852065 SHF852064:SHF852065 RXJ852064:RXJ852065 RNN852064:RNN852065 RDR852064:RDR852065 QTV852064:QTV852065 QJZ852064:QJZ852065 QAD852064:QAD852065 PQH852064:PQH852065 PGL852064:PGL852065 OWP852064:OWP852065 OMT852064:OMT852065 OCX852064:OCX852065 NTB852064:NTB852065 NJF852064:NJF852065 MZJ852064:MZJ852065 MPN852064:MPN852065 MFR852064:MFR852065 LVV852064:LVV852065 LLZ852064:LLZ852065 LCD852064:LCD852065 KSH852064:KSH852065 KIL852064:KIL852065 JYP852064:JYP852065 JOT852064:JOT852065 JEX852064:JEX852065 IVB852064:IVB852065 ILF852064:ILF852065 IBJ852064:IBJ852065 HRN852064:HRN852065 HHR852064:HHR852065 GXV852064:GXV852065 GNZ852064:GNZ852065 GED852064:GED852065 FUH852064:FUH852065 FKL852064:FKL852065 FAP852064:FAP852065 EQT852064:EQT852065 EGX852064:EGX852065 DXB852064:DXB852065 DNF852064:DNF852065 DDJ852064:DDJ852065 CTN852064:CTN852065 CJR852064:CJR852065 BZV852064:BZV852065 BPZ852064:BPZ852065 BGD852064:BGD852065 AWH852064:AWH852065 AML852064:AML852065 ACP852064:ACP852065 ST852064:ST852065 IX852064:IX852065 B852064:B852065 WVJ786528:WVJ786529 WLN786528:WLN786529 WBR786528:WBR786529 VRV786528:VRV786529 VHZ786528:VHZ786529 UYD786528:UYD786529 UOH786528:UOH786529 UEL786528:UEL786529 TUP786528:TUP786529 TKT786528:TKT786529 TAX786528:TAX786529 SRB786528:SRB786529 SHF786528:SHF786529 RXJ786528:RXJ786529 RNN786528:RNN786529 RDR786528:RDR786529 QTV786528:QTV786529 QJZ786528:QJZ786529 QAD786528:QAD786529 PQH786528:PQH786529 PGL786528:PGL786529 OWP786528:OWP786529 OMT786528:OMT786529 OCX786528:OCX786529 NTB786528:NTB786529 NJF786528:NJF786529 MZJ786528:MZJ786529 MPN786528:MPN786529 MFR786528:MFR786529 LVV786528:LVV786529 LLZ786528:LLZ786529 LCD786528:LCD786529 KSH786528:KSH786529 KIL786528:KIL786529 JYP786528:JYP786529 JOT786528:JOT786529 JEX786528:JEX786529 IVB786528:IVB786529 ILF786528:ILF786529 IBJ786528:IBJ786529 HRN786528:HRN786529 HHR786528:HHR786529 GXV786528:GXV786529 GNZ786528:GNZ786529 GED786528:GED786529 FUH786528:FUH786529 FKL786528:FKL786529 FAP786528:FAP786529 EQT786528:EQT786529 EGX786528:EGX786529 DXB786528:DXB786529 DNF786528:DNF786529 DDJ786528:DDJ786529 CTN786528:CTN786529 CJR786528:CJR786529 BZV786528:BZV786529 BPZ786528:BPZ786529 BGD786528:BGD786529 AWH786528:AWH786529 AML786528:AML786529 ACP786528:ACP786529 ST786528:ST786529 IX786528:IX786529 B786528:B786529 WVJ720992:WVJ720993 WLN720992:WLN720993 WBR720992:WBR720993 VRV720992:VRV720993 VHZ720992:VHZ720993 UYD720992:UYD720993 UOH720992:UOH720993 UEL720992:UEL720993 TUP720992:TUP720993 TKT720992:TKT720993 TAX720992:TAX720993 SRB720992:SRB720993 SHF720992:SHF720993 RXJ720992:RXJ720993 RNN720992:RNN720993 RDR720992:RDR720993 QTV720992:QTV720993 QJZ720992:QJZ720993 QAD720992:QAD720993 PQH720992:PQH720993 PGL720992:PGL720993 OWP720992:OWP720993 OMT720992:OMT720993 OCX720992:OCX720993 NTB720992:NTB720993 NJF720992:NJF720993 MZJ720992:MZJ720993 MPN720992:MPN720993 MFR720992:MFR720993 LVV720992:LVV720993 LLZ720992:LLZ720993 LCD720992:LCD720993 KSH720992:KSH720993 KIL720992:KIL720993 JYP720992:JYP720993 JOT720992:JOT720993 JEX720992:JEX720993 IVB720992:IVB720993 ILF720992:ILF720993 IBJ720992:IBJ720993 HRN720992:HRN720993 HHR720992:HHR720993 GXV720992:GXV720993 GNZ720992:GNZ720993 GED720992:GED720993 FUH720992:FUH720993 FKL720992:FKL720993 FAP720992:FAP720993 EQT720992:EQT720993 EGX720992:EGX720993 DXB720992:DXB720993 DNF720992:DNF720993 DDJ720992:DDJ720993 CTN720992:CTN720993 CJR720992:CJR720993 BZV720992:BZV720993 BPZ720992:BPZ720993 BGD720992:BGD720993 AWH720992:AWH720993 AML720992:AML720993 ACP720992:ACP720993 ST720992:ST720993 IX720992:IX720993 B720992:B720993 WVJ655456:WVJ655457 WLN655456:WLN655457 WBR655456:WBR655457 VRV655456:VRV655457 VHZ655456:VHZ655457 UYD655456:UYD655457 UOH655456:UOH655457 UEL655456:UEL655457 TUP655456:TUP655457 TKT655456:TKT655457 TAX655456:TAX655457 SRB655456:SRB655457 SHF655456:SHF655457 RXJ655456:RXJ655457 RNN655456:RNN655457 RDR655456:RDR655457 QTV655456:QTV655457 QJZ655456:QJZ655457 QAD655456:QAD655457 PQH655456:PQH655457 PGL655456:PGL655457 OWP655456:OWP655457 OMT655456:OMT655457 OCX655456:OCX655457 NTB655456:NTB655457 NJF655456:NJF655457 MZJ655456:MZJ655457 MPN655456:MPN655457 MFR655456:MFR655457 LVV655456:LVV655457 LLZ655456:LLZ655457 LCD655456:LCD655457 KSH655456:KSH655457 KIL655456:KIL655457 JYP655456:JYP655457 JOT655456:JOT655457 JEX655456:JEX655457 IVB655456:IVB655457 ILF655456:ILF655457 IBJ655456:IBJ655457 HRN655456:HRN655457 HHR655456:HHR655457 GXV655456:GXV655457 GNZ655456:GNZ655457 GED655456:GED655457 FUH655456:FUH655457 FKL655456:FKL655457 FAP655456:FAP655457 EQT655456:EQT655457 EGX655456:EGX655457 DXB655456:DXB655457 DNF655456:DNF655457 DDJ655456:DDJ655457 CTN655456:CTN655457 CJR655456:CJR655457 BZV655456:BZV655457 BPZ655456:BPZ655457 BGD655456:BGD655457 AWH655456:AWH655457 AML655456:AML655457 ACP655456:ACP655457 ST655456:ST655457 IX655456:IX655457 B655456:B655457 WVJ589920:WVJ589921 WLN589920:WLN589921 WBR589920:WBR589921 VRV589920:VRV589921 VHZ589920:VHZ589921 UYD589920:UYD589921 UOH589920:UOH589921 UEL589920:UEL589921 TUP589920:TUP589921 TKT589920:TKT589921 TAX589920:TAX589921 SRB589920:SRB589921 SHF589920:SHF589921 RXJ589920:RXJ589921 RNN589920:RNN589921 RDR589920:RDR589921 QTV589920:QTV589921 QJZ589920:QJZ589921 QAD589920:QAD589921 PQH589920:PQH589921 PGL589920:PGL589921 OWP589920:OWP589921 OMT589920:OMT589921 OCX589920:OCX589921 NTB589920:NTB589921 NJF589920:NJF589921 MZJ589920:MZJ589921 MPN589920:MPN589921 MFR589920:MFR589921 LVV589920:LVV589921 LLZ589920:LLZ589921 LCD589920:LCD589921 KSH589920:KSH589921 KIL589920:KIL589921 JYP589920:JYP589921 JOT589920:JOT589921 JEX589920:JEX589921 IVB589920:IVB589921 ILF589920:ILF589921 IBJ589920:IBJ589921 HRN589920:HRN589921 HHR589920:HHR589921 GXV589920:GXV589921 GNZ589920:GNZ589921 GED589920:GED589921 FUH589920:FUH589921 FKL589920:FKL589921 FAP589920:FAP589921 EQT589920:EQT589921 EGX589920:EGX589921 DXB589920:DXB589921 DNF589920:DNF589921 DDJ589920:DDJ589921 CTN589920:CTN589921 CJR589920:CJR589921 BZV589920:BZV589921 BPZ589920:BPZ589921 BGD589920:BGD589921 AWH589920:AWH589921 AML589920:AML589921 ACP589920:ACP589921 ST589920:ST589921 IX589920:IX589921 B589920:B589921 WVJ524384:WVJ524385 WLN524384:WLN524385 WBR524384:WBR524385 VRV524384:VRV524385 VHZ524384:VHZ524385 UYD524384:UYD524385 UOH524384:UOH524385 UEL524384:UEL524385 TUP524384:TUP524385 TKT524384:TKT524385 TAX524384:TAX524385 SRB524384:SRB524385 SHF524384:SHF524385 RXJ524384:RXJ524385 RNN524384:RNN524385 RDR524384:RDR524385 QTV524384:QTV524385 QJZ524384:QJZ524385 QAD524384:QAD524385 PQH524384:PQH524385 PGL524384:PGL524385 OWP524384:OWP524385 OMT524384:OMT524385 OCX524384:OCX524385 NTB524384:NTB524385 NJF524384:NJF524385 MZJ524384:MZJ524385 MPN524384:MPN524385 MFR524384:MFR524385 LVV524384:LVV524385 LLZ524384:LLZ524385 LCD524384:LCD524385 KSH524384:KSH524385 KIL524384:KIL524385 JYP524384:JYP524385 JOT524384:JOT524385 JEX524384:JEX524385 IVB524384:IVB524385 ILF524384:ILF524385 IBJ524384:IBJ524385 HRN524384:HRN524385 HHR524384:HHR524385 GXV524384:GXV524385 GNZ524384:GNZ524385 GED524384:GED524385 FUH524384:FUH524385 FKL524384:FKL524385 FAP524384:FAP524385 EQT524384:EQT524385 EGX524384:EGX524385 DXB524384:DXB524385 DNF524384:DNF524385 DDJ524384:DDJ524385 CTN524384:CTN524385 CJR524384:CJR524385 BZV524384:BZV524385 BPZ524384:BPZ524385 BGD524384:BGD524385 AWH524384:AWH524385 AML524384:AML524385 ACP524384:ACP524385 ST524384:ST524385 IX524384:IX524385 B524384:B524385 WVJ458848:WVJ458849 WLN458848:WLN458849 WBR458848:WBR458849 VRV458848:VRV458849 VHZ458848:VHZ458849 UYD458848:UYD458849 UOH458848:UOH458849 UEL458848:UEL458849 TUP458848:TUP458849 TKT458848:TKT458849 TAX458848:TAX458849 SRB458848:SRB458849 SHF458848:SHF458849 RXJ458848:RXJ458849 RNN458848:RNN458849 RDR458848:RDR458849 QTV458848:QTV458849 QJZ458848:QJZ458849 QAD458848:QAD458849 PQH458848:PQH458849 PGL458848:PGL458849 OWP458848:OWP458849 OMT458848:OMT458849 OCX458848:OCX458849 NTB458848:NTB458849 NJF458848:NJF458849 MZJ458848:MZJ458849 MPN458848:MPN458849 MFR458848:MFR458849 LVV458848:LVV458849 LLZ458848:LLZ458849 LCD458848:LCD458849 KSH458848:KSH458849 KIL458848:KIL458849 JYP458848:JYP458849 JOT458848:JOT458849 JEX458848:JEX458849 IVB458848:IVB458849 ILF458848:ILF458849 IBJ458848:IBJ458849 HRN458848:HRN458849 HHR458848:HHR458849 GXV458848:GXV458849 GNZ458848:GNZ458849 GED458848:GED458849 FUH458848:FUH458849 FKL458848:FKL458849 FAP458848:FAP458849 EQT458848:EQT458849 EGX458848:EGX458849 DXB458848:DXB458849 DNF458848:DNF458849 DDJ458848:DDJ458849 CTN458848:CTN458849 CJR458848:CJR458849 BZV458848:BZV458849 BPZ458848:BPZ458849 BGD458848:BGD458849 AWH458848:AWH458849 AML458848:AML458849 ACP458848:ACP458849 ST458848:ST458849 IX458848:IX458849 B458848:B458849 WVJ393312:WVJ393313 WLN393312:WLN393313 WBR393312:WBR393313 VRV393312:VRV393313 VHZ393312:VHZ393313 UYD393312:UYD393313 UOH393312:UOH393313 UEL393312:UEL393313 TUP393312:TUP393313 TKT393312:TKT393313 TAX393312:TAX393313 SRB393312:SRB393313 SHF393312:SHF393313 RXJ393312:RXJ393313 RNN393312:RNN393313 RDR393312:RDR393313 QTV393312:QTV393313 QJZ393312:QJZ393313 QAD393312:QAD393313 PQH393312:PQH393313 PGL393312:PGL393313 OWP393312:OWP393313 OMT393312:OMT393313 OCX393312:OCX393313 NTB393312:NTB393313 NJF393312:NJF393313 MZJ393312:MZJ393313 MPN393312:MPN393313 MFR393312:MFR393313 LVV393312:LVV393313 LLZ393312:LLZ393313 LCD393312:LCD393313 KSH393312:KSH393313 KIL393312:KIL393313 JYP393312:JYP393313 JOT393312:JOT393313 JEX393312:JEX393313 IVB393312:IVB393313 ILF393312:ILF393313 IBJ393312:IBJ393313 HRN393312:HRN393313 HHR393312:HHR393313 GXV393312:GXV393313 GNZ393312:GNZ393313 GED393312:GED393313 FUH393312:FUH393313 FKL393312:FKL393313 FAP393312:FAP393313 EQT393312:EQT393313 EGX393312:EGX393313 DXB393312:DXB393313 DNF393312:DNF393313 DDJ393312:DDJ393313 CTN393312:CTN393313 CJR393312:CJR393313 BZV393312:BZV393313 BPZ393312:BPZ393313 BGD393312:BGD393313 AWH393312:AWH393313 AML393312:AML393313 ACP393312:ACP393313 ST393312:ST393313 IX393312:IX393313 B393312:B393313 WVJ327776:WVJ327777 WLN327776:WLN327777 WBR327776:WBR327777 VRV327776:VRV327777 VHZ327776:VHZ327777 UYD327776:UYD327777 UOH327776:UOH327777 UEL327776:UEL327777 TUP327776:TUP327777 TKT327776:TKT327777 TAX327776:TAX327777 SRB327776:SRB327777 SHF327776:SHF327777 RXJ327776:RXJ327777 RNN327776:RNN327777 RDR327776:RDR327777 QTV327776:QTV327777 QJZ327776:QJZ327777 QAD327776:QAD327777 PQH327776:PQH327777 PGL327776:PGL327777 OWP327776:OWP327777 OMT327776:OMT327777 OCX327776:OCX327777 NTB327776:NTB327777 NJF327776:NJF327777 MZJ327776:MZJ327777 MPN327776:MPN327777 MFR327776:MFR327777 LVV327776:LVV327777 LLZ327776:LLZ327777 LCD327776:LCD327777 KSH327776:KSH327777 KIL327776:KIL327777 JYP327776:JYP327777 JOT327776:JOT327777 JEX327776:JEX327777 IVB327776:IVB327777 ILF327776:ILF327777 IBJ327776:IBJ327777 HRN327776:HRN327777 HHR327776:HHR327777 GXV327776:GXV327777 GNZ327776:GNZ327777 GED327776:GED327777 FUH327776:FUH327777 FKL327776:FKL327777 FAP327776:FAP327777 EQT327776:EQT327777 EGX327776:EGX327777 DXB327776:DXB327777 DNF327776:DNF327777 DDJ327776:DDJ327777 CTN327776:CTN327777 CJR327776:CJR327777 BZV327776:BZV327777 BPZ327776:BPZ327777 BGD327776:BGD327777 AWH327776:AWH327777 AML327776:AML327777 ACP327776:ACP327777 ST327776:ST327777 IX327776:IX327777 B327776:B327777 WVJ262240:WVJ262241 WLN262240:WLN262241 WBR262240:WBR262241 VRV262240:VRV262241 VHZ262240:VHZ262241 UYD262240:UYD262241 UOH262240:UOH262241 UEL262240:UEL262241 TUP262240:TUP262241 TKT262240:TKT262241 TAX262240:TAX262241 SRB262240:SRB262241 SHF262240:SHF262241 RXJ262240:RXJ262241 RNN262240:RNN262241 RDR262240:RDR262241 QTV262240:QTV262241 QJZ262240:QJZ262241 QAD262240:QAD262241 PQH262240:PQH262241 PGL262240:PGL262241 OWP262240:OWP262241 OMT262240:OMT262241 OCX262240:OCX262241 NTB262240:NTB262241 NJF262240:NJF262241 MZJ262240:MZJ262241 MPN262240:MPN262241 MFR262240:MFR262241 LVV262240:LVV262241 LLZ262240:LLZ262241 LCD262240:LCD262241 KSH262240:KSH262241 KIL262240:KIL262241 JYP262240:JYP262241 JOT262240:JOT262241 JEX262240:JEX262241 IVB262240:IVB262241 ILF262240:ILF262241 IBJ262240:IBJ262241 HRN262240:HRN262241 HHR262240:HHR262241 GXV262240:GXV262241 GNZ262240:GNZ262241 GED262240:GED262241 FUH262240:FUH262241 FKL262240:FKL262241 FAP262240:FAP262241 EQT262240:EQT262241 EGX262240:EGX262241 DXB262240:DXB262241 DNF262240:DNF262241 DDJ262240:DDJ262241 CTN262240:CTN262241 CJR262240:CJR262241 BZV262240:BZV262241 BPZ262240:BPZ262241 BGD262240:BGD262241 AWH262240:AWH262241 AML262240:AML262241 ACP262240:ACP262241 ST262240:ST262241 IX262240:IX262241 B262240:B262241 WVJ196704:WVJ196705 WLN196704:WLN196705 WBR196704:WBR196705 VRV196704:VRV196705 VHZ196704:VHZ196705 UYD196704:UYD196705 UOH196704:UOH196705 UEL196704:UEL196705 TUP196704:TUP196705 TKT196704:TKT196705 TAX196704:TAX196705 SRB196704:SRB196705 SHF196704:SHF196705 RXJ196704:RXJ196705 RNN196704:RNN196705 RDR196704:RDR196705 QTV196704:QTV196705 QJZ196704:QJZ196705 QAD196704:QAD196705 PQH196704:PQH196705 PGL196704:PGL196705 OWP196704:OWP196705 OMT196704:OMT196705 OCX196704:OCX196705 NTB196704:NTB196705 NJF196704:NJF196705 MZJ196704:MZJ196705 MPN196704:MPN196705 MFR196704:MFR196705 LVV196704:LVV196705 LLZ196704:LLZ196705 LCD196704:LCD196705 KSH196704:KSH196705 KIL196704:KIL196705 JYP196704:JYP196705 JOT196704:JOT196705 JEX196704:JEX196705 IVB196704:IVB196705 ILF196704:ILF196705 IBJ196704:IBJ196705 HRN196704:HRN196705 HHR196704:HHR196705 GXV196704:GXV196705 GNZ196704:GNZ196705 GED196704:GED196705 FUH196704:FUH196705 FKL196704:FKL196705 FAP196704:FAP196705 EQT196704:EQT196705 EGX196704:EGX196705 DXB196704:DXB196705 DNF196704:DNF196705 DDJ196704:DDJ196705 CTN196704:CTN196705 CJR196704:CJR196705 BZV196704:BZV196705 BPZ196704:BPZ196705 BGD196704:BGD196705 AWH196704:AWH196705 AML196704:AML196705 ACP196704:ACP196705 ST196704:ST196705 IX196704:IX196705 B196704:B196705 WVJ131168:WVJ131169 WLN131168:WLN131169 WBR131168:WBR131169 VRV131168:VRV131169 VHZ131168:VHZ131169 UYD131168:UYD131169 UOH131168:UOH131169 UEL131168:UEL131169 TUP131168:TUP131169 TKT131168:TKT131169 TAX131168:TAX131169 SRB131168:SRB131169 SHF131168:SHF131169 RXJ131168:RXJ131169 RNN131168:RNN131169 RDR131168:RDR131169 QTV131168:QTV131169 QJZ131168:QJZ131169 QAD131168:QAD131169 PQH131168:PQH131169 PGL131168:PGL131169 OWP131168:OWP131169 OMT131168:OMT131169 OCX131168:OCX131169 NTB131168:NTB131169 NJF131168:NJF131169 MZJ131168:MZJ131169 MPN131168:MPN131169 MFR131168:MFR131169 LVV131168:LVV131169 LLZ131168:LLZ131169 LCD131168:LCD131169 KSH131168:KSH131169 KIL131168:KIL131169 JYP131168:JYP131169 JOT131168:JOT131169 JEX131168:JEX131169 IVB131168:IVB131169 ILF131168:ILF131169 IBJ131168:IBJ131169 HRN131168:HRN131169 HHR131168:HHR131169 GXV131168:GXV131169 GNZ131168:GNZ131169 GED131168:GED131169 FUH131168:FUH131169 FKL131168:FKL131169 FAP131168:FAP131169 EQT131168:EQT131169 EGX131168:EGX131169 DXB131168:DXB131169 DNF131168:DNF131169 DDJ131168:DDJ131169 CTN131168:CTN131169 CJR131168:CJR131169 BZV131168:BZV131169 BPZ131168:BPZ131169 BGD131168:BGD131169 AWH131168:AWH131169 AML131168:AML131169 ACP131168:ACP131169 ST131168:ST131169 IX131168:IX131169 B131168:B131169 WVJ65632:WVJ65633 WLN65632:WLN65633 WBR65632:WBR65633 VRV65632:VRV65633 VHZ65632:VHZ65633 UYD65632:UYD65633 UOH65632:UOH65633 UEL65632:UEL65633 TUP65632:TUP65633 TKT65632:TKT65633 TAX65632:TAX65633 SRB65632:SRB65633 SHF65632:SHF65633 RXJ65632:RXJ65633 RNN65632:RNN65633 RDR65632:RDR65633 QTV65632:QTV65633 QJZ65632:QJZ65633 QAD65632:QAD65633 PQH65632:PQH65633 PGL65632:PGL65633 OWP65632:OWP65633 OMT65632:OMT65633 OCX65632:OCX65633 NTB65632:NTB65633 NJF65632:NJF65633 MZJ65632:MZJ65633 MPN65632:MPN65633 MFR65632:MFR65633 LVV65632:LVV65633 LLZ65632:LLZ65633 LCD65632:LCD65633 KSH65632:KSH65633 KIL65632:KIL65633 JYP65632:JYP65633 JOT65632:JOT65633 JEX65632:JEX65633 IVB65632:IVB65633 ILF65632:ILF65633 IBJ65632:IBJ65633 HRN65632:HRN65633 HHR65632:HHR65633 GXV65632:GXV65633 GNZ65632:GNZ65633 GED65632:GED65633 FUH65632:FUH65633 FKL65632:FKL65633 FAP65632:FAP65633 EQT65632:EQT65633 EGX65632:EGX65633 DXB65632:DXB65633 DNF65632:DNF65633 DDJ65632:DDJ65633 CTN65632:CTN65633 CJR65632:CJR65633 BZV65632:BZV65633 BPZ65632:BPZ65633 BGD65632:BGD65633 AWH65632:AWH65633 AML65632:AML65633 ACP65632:ACP65633 ST65632:ST65633 IX65632:IX65633 B65632:B65633 WVJ81:WVJ82 WLN81:WLN82 WBR81:WBR82 VRV81:VRV82 VHZ81:VHZ82 UYD81:UYD82 UOH81:UOH82 UEL81:UEL82 TUP81:TUP82 TKT81:TKT82 TAX81:TAX82 SRB81:SRB82 SHF81:SHF82 RXJ81:RXJ82 RNN81:RNN82 RDR81:RDR82 QTV81:QTV82 QJZ81:QJZ82 QAD81:QAD82 PQH81:PQH82 PGL81:PGL82 OWP81:OWP82 OMT81:OMT82 OCX81:OCX82 NTB81:NTB82 NJF81:NJF82 MZJ81:MZJ82 MPN81:MPN82 MFR81:MFR82 LVV81:LVV82 LLZ81:LLZ82 LCD81:LCD82 KSH81:KSH82 KIL81:KIL82 JYP81:JYP82 JOT81:JOT82 JEX81:JEX82 IVB81:IVB82 ILF81:ILF82 IBJ81:IBJ82 HRN81:HRN82 HHR81:HHR82 GXV81:GXV82 GNZ81:GNZ82 GED81:GED82 FUH81:FUH82 FKL81:FKL82 FAP81:FAP82 EQT81:EQT82 EGX81:EGX82 DXB81:DXB82 DNF81:DNF82 DDJ81:DDJ82 CTN81:CTN82 CJR81:CJR82 BZV81:BZV82 BPZ81:BPZ82 BGD81:BGD82 AWH81:AWH82 AML81:AML82 ACP81:ACP82 ST81:ST82 IX81:IX82 WVJ97:WVJ98 IX97:IX98 ST97:ST98 ACP97:ACP98 AML97:AML98 AWH97:AWH98 BGD97:BGD98 BPZ97:BPZ98 BZV97:BZV98 CJR97:CJR98 CTN97:CTN98 DDJ97:DDJ98 DNF97:DNF98 DXB97:DXB98 EGX97:EGX98 EQT97:EQT98 FAP97:FAP98 FKL97:FKL98 FUH97:FUH98 GED97:GED98 GNZ97:GNZ98 GXV97:GXV98 HHR97:HHR98 HRN97:HRN98 IBJ97:IBJ98 ILF97:ILF98 IVB97:IVB98 JEX97:JEX98 JOT97:JOT98 JYP97:JYP98 KIL97:KIL98 KSH97:KSH98 LCD97:LCD98 LLZ97:LLZ98 LVV97:LVV98 MFR97:MFR98 MPN97:MPN98 MZJ97:MZJ98 NJF97:NJF98 NTB97:NTB98 OCX97:OCX98 OMT97:OMT98 OWP97:OWP98 PGL97:PGL98 PQH97:PQH98 QAD97:QAD98 QJZ97:QJZ98 QTV97:QTV98 RDR97:RDR98 RNN97:RNN98 RXJ97:RXJ98 SHF97:SHF98 SRB97:SRB98 TAX97:TAX98 TKT97:TKT98 TUP97:TUP98 UEL97:UEL98 UOH97:UOH98 UYD97:UYD98 VHZ97:VHZ98 VRV97:VRV98 WBR97:WBR98 WLN97:WLN98">
      <formula1>$R$82</formula1>
    </dataValidation>
    <dataValidation type="list" allowBlank="1" showInputMessage="1" showErrorMessage="1" sqref="B60:B71 IX60:IX71 ST60:ST71 ACP60:ACP71 AML60:AML71 AWH60:AWH71 BGD60:BGD71 BPZ60:BPZ71 BZV60:BZV71 CJR60:CJR71 CTN60:CTN71 DDJ60:DDJ71 DNF60:DNF71 DXB60:DXB71 EGX60:EGX71 EQT60:EQT71 FAP60:FAP71 FKL60:FKL71 FUH60:FUH71 GED60:GED71 GNZ60:GNZ71 GXV60:GXV71 HHR60:HHR71 HRN60:HRN71 IBJ60:IBJ71 ILF60:ILF71 IVB60:IVB71 JEX60:JEX71 JOT60:JOT71 JYP60:JYP71 KIL60:KIL71 KSH60:KSH71 LCD60:LCD71 LLZ60:LLZ71 LVV60:LVV71 MFR60:MFR71 MPN60:MPN71 MZJ60:MZJ71 NJF60:NJF71 NTB60:NTB71 OCX60:OCX71 OMT60:OMT71 OWP60:OWP71 PGL60:PGL71 PQH60:PQH71 QAD60:QAD71 QJZ60:QJZ71 QTV60:QTV71 RDR60:RDR71 RNN60:RNN71 RXJ60:RXJ71 SHF60:SHF71 SRB60:SRB71 TAX60:TAX71 TKT60:TKT71 TUP60:TUP71 UEL60:UEL71 UOH60:UOH71 UYD60:UYD71 VHZ60:VHZ71 VRV60:VRV71 WBR60:WBR71 WLN60:WLN71 WVJ60:WVJ71 B65579:B65589 IX65579:IX65589 ST65579:ST65589 ACP65579:ACP65589 AML65579:AML65589 AWH65579:AWH65589 BGD65579:BGD65589 BPZ65579:BPZ65589 BZV65579:BZV65589 CJR65579:CJR65589 CTN65579:CTN65589 DDJ65579:DDJ65589 DNF65579:DNF65589 DXB65579:DXB65589 EGX65579:EGX65589 EQT65579:EQT65589 FAP65579:FAP65589 FKL65579:FKL65589 FUH65579:FUH65589 GED65579:GED65589 GNZ65579:GNZ65589 GXV65579:GXV65589 HHR65579:HHR65589 HRN65579:HRN65589 IBJ65579:IBJ65589 ILF65579:ILF65589 IVB65579:IVB65589 JEX65579:JEX65589 JOT65579:JOT65589 JYP65579:JYP65589 KIL65579:KIL65589 KSH65579:KSH65589 LCD65579:LCD65589 LLZ65579:LLZ65589 LVV65579:LVV65589 MFR65579:MFR65589 MPN65579:MPN65589 MZJ65579:MZJ65589 NJF65579:NJF65589 NTB65579:NTB65589 OCX65579:OCX65589 OMT65579:OMT65589 OWP65579:OWP65589 PGL65579:PGL65589 PQH65579:PQH65589 QAD65579:QAD65589 QJZ65579:QJZ65589 QTV65579:QTV65589 RDR65579:RDR65589 RNN65579:RNN65589 RXJ65579:RXJ65589 SHF65579:SHF65589 SRB65579:SRB65589 TAX65579:TAX65589 TKT65579:TKT65589 TUP65579:TUP65589 UEL65579:UEL65589 UOH65579:UOH65589 UYD65579:UYD65589 VHZ65579:VHZ65589 VRV65579:VRV65589 WBR65579:WBR65589 WLN65579:WLN65589 WVJ65579:WVJ65589 B131115:B131125 IX131115:IX131125 ST131115:ST131125 ACP131115:ACP131125 AML131115:AML131125 AWH131115:AWH131125 BGD131115:BGD131125 BPZ131115:BPZ131125 BZV131115:BZV131125 CJR131115:CJR131125 CTN131115:CTN131125 DDJ131115:DDJ131125 DNF131115:DNF131125 DXB131115:DXB131125 EGX131115:EGX131125 EQT131115:EQT131125 FAP131115:FAP131125 FKL131115:FKL131125 FUH131115:FUH131125 GED131115:GED131125 GNZ131115:GNZ131125 GXV131115:GXV131125 HHR131115:HHR131125 HRN131115:HRN131125 IBJ131115:IBJ131125 ILF131115:ILF131125 IVB131115:IVB131125 JEX131115:JEX131125 JOT131115:JOT131125 JYP131115:JYP131125 KIL131115:KIL131125 KSH131115:KSH131125 LCD131115:LCD131125 LLZ131115:LLZ131125 LVV131115:LVV131125 MFR131115:MFR131125 MPN131115:MPN131125 MZJ131115:MZJ131125 NJF131115:NJF131125 NTB131115:NTB131125 OCX131115:OCX131125 OMT131115:OMT131125 OWP131115:OWP131125 PGL131115:PGL131125 PQH131115:PQH131125 QAD131115:QAD131125 QJZ131115:QJZ131125 QTV131115:QTV131125 RDR131115:RDR131125 RNN131115:RNN131125 RXJ131115:RXJ131125 SHF131115:SHF131125 SRB131115:SRB131125 TAX131115:TAX131125 TKT131115:TKT131125 TUP131115:TUP131125 UEL131115:UEL131125 UOH131115:UOH131125 UYD131115:UYD131125 VHZ131115:VHZ131125 VRV131115:VRV131125 WBR131115:WBR131125 WLN131115:WLN131125 WVJ131115:WVJ131125 B196651:B196661 IX196651:IX196661 ST196651:ST196661 ACP196651:ACP196661 AML196651:AML196661 AWH196651:AWH196661 BGD196651:BGD196661 BPZ196651:BPZ196661 BZV196651:BZV196661 CJR196651:CJR196661 CTN196651:CTN196661 DDJ196651:DDJ196661 DNF196651:DNF196661 DXB196651:DXB196661 EGX196651:EGX196661 EQT196651:EQT196661 FAP196651:FAP196661 FKL196651:FKL196661 FUH196651:FUH196661 GED196651:GED196661 GNZ196651:GNZ196661 GXV196651:GXV196661 HHR196651:HHR196661 HRN196651:HRN196661 IBJ196651:IBJ196661 ILF196651:ILF196661 IVB196651:IVB196661 JEX196651:JEX196661 JOT196651:JOT196661 JYP196651:JYP196661 KIL196651:KIL196661 KSH196651:KSH196661 LCD196651:LCD196661 LLZ196651:LLZ196661 LVV196651:LVV196661 MFR196651:MFR196661 MPN196651:MPN196661 MZJ196651:MZJ196661 NJF196651:NJF196661 NTB196651:NTB196661 OCX196651:OCX196661 OMT196651:OMT196661 OWP196651:OWP196661 PGL196651:PGL196661 PQH196651:PQH196661 QAD196651:QAD196661 QJZ196651:QJZ196661 QTV196651:QTV196661 RDR196651:RDR196661 RNN196651:RNN196661 RXJ196651:RXJ196661 SHF196651:SHF196661 SRB196651:SRB196661 TAX196651:TAX196661 TKT196651:TKT196661 TUP196651:TUP196661 UEL196651:UEL196661 UOH196651:UOH196661 UYD196651:UYD196661 VHZ196651:VHZ196661 VRV196651:VRV196661 WBR196651:WBR196661 WLN196651:WLN196661 WVJ196651:WVJ196661 B262187:B262197 IX262187:IX262197 ST262187:ST262197 ACP262187:ACP262197 AML262187:AML262197 AWH262187:AWH262197 BGD262187:BGD262197 BPZ262187:BPZ262197 BZV262187:BZV262197 CJR262187:CJR262197 CTN262187:CTN262197 DDJ262187:DDJ262197 DNF262187:DNF262197 DXB262187:DXB262197 EGX262187:EGX262197 EQT262187:EQT262197 FAP262187:FAP262197 FKL262187:FKL262197 FUH262187:FUH262197 GED262187:GED262197 GNZ262187:GNZ262197 GXV262187:GXV262197 HHR262187:HHR262197 HRN262187:HRN262197 IBJ262187:IBJ262197 ILF262187:ILF262197 IVB262187:IVB262197 JEX262187:JEX262197 JOT262187:JOT262197 JYP262187:JYP262197 KIL262187:KIL262197 KSH262187:KSH262197 LCD262187:LCD262197 LLZ262187:LLZ262197 LVV262187:LVV262197 MFR262187:MFR262197 MPN262187:MPN262197 MZJ262187:MZJ262197 NJF262187:NJF262197 NTB262187:NTB262197 OCX262187:OCX262197 OMT262187:OMT262197 OWP262187:OWP262197 PGL262187:PGL262197 PQH262187:PQH262197 QAD262187:QAD262197 QJZ262187:QJZ262197 QTV262187:QTV262197 RDR262187:RDR262197 RNN262187:RNN262197 RXJ262187:RXJ262197 SHF262187:SHF262197 SRB262187:SRB262197 TAX262187:TAX262197 TKT262187:TKT262197 TUP262187:TUP262197 UEL262187:UEL262197 UOH262187:UOH262197 UYD262187:UYD262197 VHZ262187:VHZ262197 VRV262187:VRV262197 WBR262187:WBR262197 WLN262187:WLN262197 WVJ262187:WVJ262197 B327723:B327733 IX327723:IX327733 ST327723:ST327733 ACP327723:ACP327733 AML327723:AML327733 AWH327723:AWH327733 BGD327723:BGD327733 BPZ327723:BPZ327733 BZV327723:BZV327733 CJR327723:CJR327733 CTN327723:CTN327733 DDJ327723:DDJ327733 DNF327723:DNF327733 DXB327723:DXB327733 EGX327723:EGX327733 EQT327723:EQT327733 FAP327723:FAP327733 FKL327723:FKL327733 FUH327723:FUH327733 GED327723:GED327733 GNZ327723:GNZ327733 GXV327723:GXV327733 HHR327723:HHR327733 HRN327723:HRN327733 IBJ327723:IBJ327733 ILF327723:ILF327733 IVB327723:IVB327733 JEX327723:JEX327733 JOT327723:JOT327733 JYP327723:JYP327733 KIL327723:KIL327733 KSH327723:KSH327733 LCD327723:LCD327733 LLZ327723:LLZ327733 LVV327723:LVV327733 MFR327723:MFR327733 MPN327723:MPN327733 MZJ327723:MZJ327733 NJF327723:NJF327733 NTB327723:NTB327733 OCX327723:OCX327733 OMT327723:OMT327733 OWP327723:OWP327733 PGL327723:PGL327733 PQH327723:PQH327733 QAD327723:QAD327733 QJZ327723:QJZ327733 QTV327723:QTV327733 RDR327723:RDR327733 RNN327723:RNN327733 RXJ327723:RXJ327733 SHF327723:SHF327733 SRB327723:SRB327733 TAX327723:TAX327733 TKT327723:TKT327733 TUP327723:TUP327733 UEL327723:UEL327733 UOH327723:UOH327733 UYD327723:UYD327733 VHZ327723:VHZ327733 VRV327723:VRV327733 WBR327723:WBR327733 WLN327723:WLN327733 WVJ327723:WVJ327733 B393259:B393269 IX393259:IX393269 ST393259:ST393269 ACP393259:ACP393269 AML393259:AML393269 AWH393259:AWH393269 BGD393259:BGD393269 BPZ393259:BPZ393269 BZV393259:BZV393269 CJR393259:CJR393269 CTN393259:CTN393269 DDJ393259:DDJ393269 DNF393259:DNF393269 DXB393259:DXB393269 EGX393259:EGX393269 EQT393259:EQT393269 FAP393259:FAP393269 FKL393259:FKL393269 FUH393259:FUH393269 GED393259:GED393269 GNZ393259:GNZ393269 GXV393259:GXV393269 HHR393259:HHR393269 HRN393259:HRN393269 IBJ393259:IBJ393269 ILF393259:ILF393269 IVB393259:IVB393269 JEX393259:JEX393269 JOT393259:JOT393269 JYP393259:JYP393269 KIL393259:KIL393269 KSH393259:KSH393269 LCD393259:LCD393269 LLZ393259:LLZ393269 LVV393259:LVV393269 MFR393259:MFR393269 MPN393259:MPN393269 MZJ393259:MZJ393269 NJF393259:NJF393269 NTB393259:NTB393269 OCX393259:OCX393269 OMT393259:OMT393269 OWP393259:OWP393269 PGL393259:PGL393269 PQH393259:PQH393269 QAD393259:QAD393269 QJZ393259:QJZ393269 QTV393259:QTV393269 RDR393259:RDR393269 RNN393259:RNN393269 RXJ393259:RXJ393269 SHF393259:SHF393269 SRB393259:SRB393269 TAX393259:TAX393269 TKT393259:TKT393269 TUP393259:TUP393269 UEL393259:UEL393269 UOH393259:UOH393269 UYD393259:UYD393269 VHZ393259:VHZ393269 VRV393259:VRV393269 WBR393259:WBR393269 WLN393259:WLN393269 WVJ393259:WVJ393269 B458795:B458805 IX458795:IX458805 ST458795:ST458805 ACP458795:ACP458805 AML458795:AML458805 AWH458795:AWH458805 BGD458795:BGD458805 BPZ458795:BPZ458805 BZV458795:BZV458805 CJR458795:CJR458805 CTN458795:CTN458805 DDJ458795:DDJ458805 DNF458795:DNF458805 DXB458795:DXB458805 EGX458795:EGX458805 EQT458795:EQT458805 FAP458795:FAP458805 FKL458795:FKL458805 FUH458795:FUH458805 GED458795:GED458805 GNZ458795:GNZ458805 GXV458795:GXV458805 HHR458795:HHR458805 HRN458795:HRN458805 IBJ458795:IBJ458805 ILF458795:ILF458805 IVB458795:IVB458805 JEX458795:JEX458805 JOT458795:JOT458805 JYP458795:JYP458805 KIL458795:KIL458805 KSH458795:KSH458805 LCD458795:LCD458805 LLZ458795:LLZ458805 LVV458795:LVV458805 MFR458795:MFR458805 MPN458795:MPN458805 MZJ458795:MZJ458805 NJF458795:NJF458805 NTB458795:NTB458805 OCX458795:OCX458805 OMT458795:OMT458805 OWP458795:OWP458805 PGL458795:PGL458805 PQH458795:PQH458805 QAD458795:QAD458805 QJZ458795:QJZ458805 QTV458795:QTV458805 RDR458795:RDR458805 RNN458795:RNN458805 RXJ458795:RXJ458805 SHF458795:SHF458805 SRB458795:SRB458805 TAX458795:TAX458805 TKT458795:TKT458805 TUP458795:TUP458805 UEL458795:UEL458805 UOH458795:UOH458805 UYD458795:UYD458805 VHZ458795:VHZ458805 VRV458795:VRV458805 WBR458795:WBR458805 WLN458795:WLN458805 WVJ458795:WVJ458805 B524331:B524341 IX524331:IX524341 ST524331:ST524341 ACP524331:ACP524341 AML524331:AML524341 AWH524331:AWH524341 BGD524331:BGD524341 BPZ524331:BPZ524341 BZV524331:BZV524341 CJR524331:CJR524341 CTN524331:CTN524341 DDJ524331:DDJ524341 DNF524331:DNF524341 DXB524331:DXB524341 EGX524331:EGX524341 EQT524331:EQT524341 FAP524331:FAP524341 FKL524331:FKL524341 FUH524331:FUH524341 GED524331:GED524341 GNZ524331:GNZ524341 GXV524331:GXV524341 HHR524331:HHR524341 HRN524331:HRN524341 IBJ524331:IBJ524341 ILF524331:ILF524341 IVB524331:IVB524341 JEX524331:JEX524341 JOT524331:JOT524341 JYP524331:JYP524341 KIL524331:KIL524341 KSH524331:KSH524341 LCD524331:LCD524341 LLZ524331:LLZ524341 LVV524331:LVV524341 MFR524331:MFR524341 MPN524331:MPN524341 MZJ524331:MZJ524341 NJF524331:NJF524341 NTB524331:NTB524341 OCX524331:OCX524341 OMT524331:OMT524341 OWP524331:OWP524341 PGL524331:PGL524341 PQH524331:PQH524341 QAD524331:QAD524341 QJZ524331:QJZ524341 QTV524331:QTV524341 RDR524331:RDR524341 RNN524331:RNN524341 RXJ524331:RXJ524341 SHF524331:SHF524341 SRB524331:SRB524341 TAX524331:TAX524341 TKT524331:TKT524341 TUP524331:TUP524341 UEL524331:UEL524341 UOH524331:UOH524341 UYD524331:UYD524341 VHZ524331:VHZ524341 VRV524331:VRV524341 WBR524331:WBR524341 WLN524331:WLN524341 WVJ524331:WVJ524341 B589867:B589877 IX589867:IX589877 ST589867:ST589877 ACP589867:ACP589877 AML589867:AML589877 AWH589867:AWH589877 BGD589867:BGD589877 BPZ589867:BPZ589877 BZV589867:BZV589877 CJR589867:CJR589877 CTN589867:CTN589877 DDJ589867:DDJ589877 DNF589867:DNF589877 DXB589867:DXB589877 EGX589867:EGX589877 EQT589867:EQT589877 FAP589867:FAP589877 FKL589867:FKL589877 FUH589867:FUH589877 GED589867:GED589877 GNZ589867:GNZ589877 GXV589867:GXV589877 HHR589867:HHR589877 HRN589867:HRN589877 IBJ589867:IBJ589877 ILF589867:ILF589877 IVB589867:IVB589877 JEX589867:JEX589877 JOT589867:JOT589877 JYP589867:JYP589877 KIL589867:KIL589877 KSH589867:KSH589877 LCD589867:LCD589877 LLZ589867:LLZ589877 LVV589867:LVV589877 MFR589867:MFR589877 MPN589867:MPN589877 MZJ589867:MZJ589877 NJF589867:NJF589877 NTB589867:NTB589877 OCX589867:OCX589877 OMT589867:OMT589877 OWP589867:OWP589877 PGL589867:PGL589877 PQH589867:PQH589877 QAD589867:QAD589877 QJZ589867:QJZ589877 QTV589867:QTV589877 RDR589867:RDR589877 RNN589867:RNN589877 RXJ589867:RXJ589877 SHF589867:SHF589877 SRB589867:SRB589877 TAX589867:TAX589877 TKT589867:TKT589877 TUP589867:TUP589877 UEL589867:UEL589877 UOH589867:UOH589877 UYD589867:UYD589877 VHZ589867:VHZ589877 VRV589867:VRV589877 WBR589867:WBR589877 WLN589867:WLN589877 WVJ589867:WVJ589877 B655403:B655413 IX655403:IX655413 ST655403:ST655413 ACP655403:ACP655413 AML655403:AML655413 AWH655403:AWH655413 BGD655403:BGD655413 BPZ655403:BPZ655413 BZV655403:BZV655413 CJR655403:CJR655413 CTN655403:CTN655413 DDJ655403:DDJ655413 DNF655403:DNF655413 DXB655403:DXB655413 EGX655403:EGX655413 EQT655403:EQT655413 FAP655403:FAP655413 FKL655403:FKL655413 FUH655403:FUH655413 GED655403:GED655413 GNZ655403:GNZ655413 GXV655403:GXV655413 HHR655403:HHR655413 HRN655403:HRN655413 IBJ655403:IBJ655413 ILF655403:ILF655413 IVB655403:IVB655413 JEX655403:JEX655413 JOT655403:JOT655413 JYP655403:JYP655413 KIL655403:KIL655413 KSH655403:KSH655413 LCD655403:LCD655413 LLZ655403:LLZ655413 LVV655403:LVV655413 MFR655403:MFR655413 MPN655403:MPN655413 MZJ655403:MZJ655413 NJF655403:NJF655413 NTB655403:NTB655413 OCX655403:OCX655413 OMT655403:OMT655413 OWP655403:OWP655413 PGL655403:PGL655413 PQH655403:PQH655413 QAD655403:QAD655413 QJZ655403:QJZ655413 QTV655403:QTV655413 RDR655403:RDR655413 RNN655403:RNN655413 RXJ655403:RXJ655413 SHF655403:SHF655413 SRB655403:SRB655413 TAX655403:TAX655413 TKT655403:TKT655413 TUP655403:TUP655413 UEL655403:UEL655413 UOH655403:UOH655413 UYD655403:UYD655413 VHZ655403:VHZ655413 VRV655403:VRV655413 WBR655403:WBR655413 WLN655403:WLN655413 WVJ655403:WVJ655413 B720939:B720949 IX720939:IX720949 ST720939:ST720949 ACP720939:ACP720949 AML720939:AML720949 AWH720939:AWH720949 BGD720939:BGD720949 BPZ720939:BPZ720949 BZV720939:BZV720949 CJR720939:CJR720949 CTN720939:CTN720949 DDJ720939:DDJ720949 DNF720939:DNF720949 DXB720939:DXB720949 EGX720939:EGX720949 EQT720939:EQT720949 FAP720939:FAP720949 FKL720939:FKL720949 FUH720939:FUH720949 GED720939:GED720949 GNZ720939:GNZ720949 GXV720939:GXV720949 HHR720939:HHR720949 HRN720939:HRN720949 IBJ720939:IBJ720949 ILF720939:ILF720949 IVB720939:IVB720949 JEX720939:JEX720949 JOT720939:JOT720949 JYP720939:JYP720949 KIL720939:KIL720949 KSH720939:KSH720949 LCD720939:LCD720949 LLZ720939:LLZ720949 LVV720939:LVV720949 MFR720939:MFR720949 MPN720939:MPN720949 MZJ720939:MZJ720949 NJF720939:NJF720949 NTB720939:NTB720949 OCX720939:OCX720949 OMT720939:OMT720949 OWP720939:OWP720949 PGL720939:PGL720949 PQH720939:PQH720949 QAD720939:QAD720949 QJZ720939:QJZ720949 QTV720939:QTV720949 RDR720939:RDR720949 RNN720939:RNN720949 RXJ720939:RXJ720949 SHF720939:SHF720949 SRB720939:SRB720949 TAX720939:TAX720949 TKT720939:TKT720949 TUP720939:TUP720949 UEL720939:UEL720949 UOH720939:UOH720949 UYD720939:UYD720949 VHZ720939:VHZ720949 VRV720939:VRV720949 WBR720939:WBR720949 WLN720939:WLN720949 WVJ720939:WVJ720949 B786475:B786485 IX786475:IX786485 ST786475:ST786485 ACP786475:ACP786485 AML786475:AML786485 AWH786475:AWH786485 BGD786475:BGD786485 BPZ786475:BPZ786485 BZV786475:BZV786485 CJR786475:CJR786485 CTN786475:CTN786485 DDJ786475:DDJ786485 DNF786475:DNF786485 DXB786475:DXB786485 EGX786475:EGX786485 EQT786475:EQT786485 FAP786475:FAP786485 FKL786475:FKL786485 FUH786475:FUH786485 GED786475:GED786485 GNZ786475:GNZ786485 GXV786475:GXV786485 HHR786475:HHR786485 HRN786475:HRN786485 IBJ786475:IBJ786485 ILF786475:ILF786485 IVB786475:IVB786485 JEX786475:JEX786485 JOT786475:JOT786485 JYP786475:JYP786485 KIL786475:KIL786485 KSH786475:KSH786485 LCD786475:LCD786485 LLZ786475:LLZ786485 LVV786475:LVV786485 MFR786475:MFR786485 MPN786475:MPN786485 MZJ786475:MZJ786485 NJF786475:NJF786485 NTB786475:NTB786485 OCX786475:OCX786485 OMT786475:OMT786485 OWP786475:OWP786485 PGL786475:PGL786485 PQH786475:PQH786485 QAD786475:QAD786485 QJZ786475:QJZ786485 QTV786475:QTV786485 RDR786475:RDR786485 RNN786475:RNN786485 RXJ786475:RXJ786485 SHF786475:SHF786485 SRB786475:SRB786485 TAX786475:TAX786485 TKT786475:TKT786485 TUP786475:TUP786485 UEL786475:UEL786485 UOH786475:UOH786485 UYD786475:UYD786485 VHZ786475:VHZ786485 VRV786475:VRV786485 WBR786475:WBR786485 WLN786475:WLN786485 WVJ786475:WVJ786485 B852011:B852021 IX852011:IX852021 ST852011:ST852021 ACP852011:ACP852021 AML852011:AML852021 AWH852011:AWH852021 BGD852011:BGD852021 BPZ852011:BPZ852021 BZV852011:BZV852021 CJR852011:CJR852021 CTN852011:CTN852021 DDJ852011:DDJ852021 DNF852011:DNF852021 DXB852011:DXB852021 EGX852011:EGX852021 EQT852011:EQT852021 FAP852011:FAP852021 FKL852011:FKL852021 FUH852011:FUH852021 GED852011:GED852021 GNZ852011:GNZ852021 GXV852011:GXV852021 HHR852011:HHR852021 HRN852011:HRN852021 IBJ852011:IBJ852021 ILF852011:ILF852021 IVB852011:IVB852021 JEX852011:JEX852021 JOT852011:JOT852021 JYP852011:JYP852021 KIL852011:KIL852021 KSH852011:KSH852021 LCD852011:LCD852021 LLZ852011:LLZ852021 LVV852011:LVV852021 MFR852011:MFR852021 MPN852011:MPN852021 MZJ852011:MZJ852021 NJF852011:NJF852021 NTB852011:NTB852021 OCX852011:OCX852021 OMT852011:OMT852021 OWP852011:OWP852021 PGL852011:PGL852021 PQH852011:PQH852021 QAD852011:QAD852021 QJZ852011:QJZ852021 QTV852011:QTV852021 RDR852011:RDR852021 RNN852011:RNN852021 RXJ852011:RXJ852021 SHF852011:SHF852021 SRB852011:SRB852021 TAX852011:TAX852021 TKT852011:TKT852021 TUP852011:TUP852021 UEL852011:UEL852021 UOH852011:UOH852021 UYD852011:UYD852021 VHZ852011:VHZ852021 VRV852011:VRV852021 WBR852011:WBR852021 WLN852011:WLN852021 WVJ852011:WVJ852021 B917547:B917557 IX917547:IX917557 ST917547:ST917557 ACP917547:ACP917557 AML917547:AML917557 AWH917547:AWH917557 BGD917547:BGD917557 BPZ917547:BPZ917557 BZV917547:BZV917557 CJR917547:CJR917557 CTN917547:CTN917557 DDJ917547:DDJ917557 DNF917547:DNF917557 DXB917547:DXB917557 EGX917547:EGX917557 EQT917547:EQT917557 FAP917547:FAP917557 FKL917547:FKL917557 FUH917547:FUH917557 GED917547:GED917557 GNZ917547:GNZ917557 GXV917547:GXV917557 HHR917547:HHR917557 HRN917547:HRN917557 IBJ917547:IBJ917557 ILF917547:ILF917557 IVB917547:IVB917557 JEX917547:JEX917557 JOT917547:JOT917557 JYP917547:JYP917557 KIL917547:KIL917557 KSH917547:KSH917557 LCD917547:LCD917557 LLZ917547:LLZ917557 LVV917547:LVV917557 MFR917547:MFR917557 MPN917547:MPN917557 MZJ917547:MZJ917557 NJF917547:NJF917557 NTB917547:NTB917557 OCX917547:OCX917557 OMT917547:OMT917557 OWP917547:OWP917557 PGL917547:PGL917557 PQH917547:PQH917557 QAD917547:QAD917557 QJZ917547:QJZ917557 QTV917547:QTV917557 RDR917547:RDR917557 RNN917547:RNN917557 RXJ917547:RXJ917557 SHF917547:SHF917557 SRB917547:SRB917557 TAX917547:TAX917557 TKT917547:TKT917557 TUP917547:TUP917557 UEL917547:UEL917557 UOH917547:UOH917557 UYD917547:UYD917557 VHZ917547:VHZ917557 VRV917547:VRV917557 WBR917547:WBR917557 WLN917547:WLN917557 WVJ917547:WVJ917557 B983083:B983093 IX983083:IX983093 ST983083:ST983093 ACP983083:ACP983093 AML983083:AML983093 AWH983083:AWH983093 BGD983083:BGD983093 BPZ983083:BPZ983093 BZV983083:BZV983093 CJR983083:CJR983093 CTN983083:CTN983093 DDJ983083:DDJ983093 DNF983083:DNF983093 DXB983083:DXB983093 EGX983083:EGX983093 EQT983083:EQT983093 FAP983083:FAP983093 FKL983083:FKL983093 FUH983083:FUH983093 GED983083:GED983093 GNZ983083:GNZ983093 GXV983083:GXV983093 HHR983083:HHR983093 HRN983083:HRN983093 IBJ983083:IBJ983093 ILF983083:ILF983093 IVB983083:IVB983093 JEX983083:JEX983093 JOT983083:JOT983093 JYP983083:JYP983093 KIL983083:KIL983093 KSH983083:KSH983093 LCD983083:LCD983093 LLZ983083:LLZ983093 LVV983083:LVV983093 MFR983083:MFR983093 MPN983083:MPN983093 MZJ983083:MZJ983093 NJF983083:NJF983093 NTB983083:NTB983093 OCX983083:OCX983093 OMT983083:OMT983093 OWP983083:OWP983093 PGL983083:PGL983093 PQH983083:PQH983093 QAD983083:QAD983093 QJZ983083:QJZ983093 QTV983083:QTV983093 RDR983083:RDR983093 RNN983083:RNN983093 RXJ983083:RXJ983093 SHF983083:SHF983093 SRB983083:SRB983093 TAX983083:TAX983093 TKT983083:TKT983093 TUP983083:TUP983093 UEL983083:UEL983093 UOH983083:UOH983093 UYD983083:UYD983093 VHZ983083:VHZ983093 VRV983083:VRV983093 WBR983083:WBR983093 WLN983083:WLN983093 WVJ983083:WVJ983093">
      <formula1>$R$61</formula1>
    </dataValidation>
    <dataValidation type="list" allowBlank="1" showInputMessage="1" showErrorMessage="1" sqref="D35 D45 D4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29 WLP983029 WBT983029 VRX983029 VIB983029 UYF983029 UOJ983029 UEN983029 TUR983029 TKV983029 TAZ983029 SRD983029 SHH983029 RXL983029 RNP983029 RDT983029 QTX983029 QKB983029 QAF983029 PQJ983029 PGN983029 OWR983029 OMV983029 OCZ983029 NTD983029 NJH983029 MZL983029 MPP983029 MFT983029 LVX983029 LMB983029 LCF983029 KSJ983029 KIN983029 JYR983029 JOV983029 JEZ983029 IVD983029 ILH983029 IBL983029 HRP983029 HHT983029 GXX983029 GOB983029 GEF983029 FUJ983029 FKN983029 FAR983029 EQV983029 EGZ983029 DXD983029 DNH983029 DDL983029 CTP983029 CJT983029 BZX983029 BQB983029 BGF983029 AWJ983029 AMN983029 ACR983029 SV983029 IZ983029 D983029 WVL917493 WLP917493 WBT917493 VRX917493 VIB917493 UYF917493 UOJ917493 UEN917493 TUR917493 TKV917493 TAZ917493 SRD917493 SHH917493 RXL917493 RNP917493 RDT917493 QTX917493 QKB917493 QAF917493 PQJ917493 PGN917493 OWR917493 OMV917493 OCZ917493 NTD917493 NJH917493 MZL917493 MPP917493 MFT917493 LVX917493 LMB917493 LCF917493 KSJ917493 KIN917493 JYR917493 JOV917493 JEZ917493 IVD917493 ILH917493 IBL917493 HRP917493 HHT917493 GXX917493 GOB917493 GEF917493 FUJ917493 FKN917493 FAR917493 EQV917493 EGZ917493 DXD917493 DNH917493 DDL917493 CTP917493 CJT917493 BZX917493 BQB917493 BGF917493 AWJ917493 AMN917493 ACR917493 SV917493 IZ917493 D917493 WVL851957 WLP851957 WBT851957 VRX851957 VIB851957 UYF851957 UOJ851957 UEN851957 TUR851957 TKV851957 TAZ851957 SRD851957 SHH851957 RXL851957 RNP851957 RDT851957 QTX851957 QKB851957 QAF851957 PQJ851957 PGN851957 OWR851957 OMV851957 OCZ851957 NTD851957 NJH851957 MZL851957 MPP851957 MFT851957 LVX851957 LMB851957 LCF851957 KSJ851957 KIN851957 JYR851957 JOV851957 JEZ851957 IVD851957 ILH851957 IBL851957 HRP851957 HHT851957 GXX851957 GOB851957 GEF851957 FUJ851957 FKN851957 FAR851957 EQV851957 EGZ851957 DXD851957 DNH851957 DDL851957 CTP851957 CJT851957 BZX851957 BQB851957 BGF851957 AWJ851957 AMN851957 ACR851957 SV851957 IZ851957 D851957 WVL786421 WLP786421 WBT786421 VRX786421 VIB786421 UYF786421 UOJ786421 UEN786421 TUR786421 TKV786421 TAZ786421 SRD786421 SHH786421 RXL786421 RNP786421 RDT786421 QTX786421 QKB786421 QAF786421 PQJ786421 PGN786421 OWR786421 OMV786421 OCZ786421 NTD786421 NJH786421 MZL786421 MPP786421 MFT786421 LVX786421 LMB786421 LCF786421 KSJ786421 KIN786421 JYR786421 JOV786421 JEZ786421 IVD786421 ILH786421 IBL786421 HRP786421 HHT786421 GXX786421 GOB786421 GEF786421 FUJ786421 FKN786421 FAR786421 EQV786421 EGZ786421 DXD786421 DNH786421 DDL786421 CTP786421 CJT786421 BZX786421 BQB786421 BGF786421 AWJ786421 AMN786421 ACR786421 SV786421 IZ786421 D786421 WVL720885 WLP720885 WBT720885 VRX720885 VIB720885 UYF720885 UOJ720885 UEN720885 TUR720885 TKV720885 TAZ720885 SRD720885 SHH720885 RXL720885 RNP720885 RDT720885 QTX720885 QKB720885 QAF720885 PQJ720885 PGN720885 OWR720885 OMV720885 OCZ720885 NTD720885 NJH720885 MZL720885 MPP720885 MFT720885 LVX720885 LMB720885 LCF720885 KSJ720885 KIN720885 JYR720885 JOV720885 JEZ720885 IVD720885 ILH720885 IBL720885 HRP720885 HHT720885 GXX720885 GOB720885 GEF720885 FUJ720885 FKN720885 FAR720885 EQV720885 EGZ720885 DXD720885 DNH720885 DDL720885 CTP720885 CJT720885 BZX720885 BQB720885 BGF720885 AWJ720885 AMN720885 ACR720885 SV720885 IZ720885 D720885 WVL655349 WLP655349 WBT655349 VRX655349 VIB655349 UYF655349 UOJ655349 UEN655349 TUR655349 TKV655349 TAZ655349 SRD655349 SHH655349 RXL655349 RNP655349 RDT655349 QTX655349 QKB655349 QAF655349 PQJ655349 PGN655349 OWR655349 OMV655349 OCZ655349 NTD655349 NJH655349 MZL655349 MPP655349 MFT655349 LVX655349 LMB655349 LCF655349 KSJ655349 KIN655349 JYR655349 JOV655349 JEZ655349 IVD655349 ILH655349 IBL655349 HRP655349 HHT655349 GXX655349 GOB655349 GEF655349 FUJ655349 FKN655349 FAR655349 EQV655349 EGZ655349 DXD655349 DNH655349 DDL655349 CTP655349 CJT655349 BZX655349 BQB655349 BGF655349 AWJ655349 AMN655349 ACR655349 SV655349 IZ655349 D655349 WVL589813 WLP589813 WBT589813 VRX589813 VIB589813 UYF589813 UOJ589813 UEN589813 TUR589813 TKV589813 TAZ589813 SRD589813 SHH589813 RXL589813 RNP589813 RDT589813 QTX589813 QKB589813 QAF589813 PQJ589813 PGN589813 OWR589813 OMV589813 OCZ589813 NTD589813 NJH589813 MZL589813 MPP589813 MFT589813 LVX589813 LMB589813 LCF589813 KSJ589813 KIN589813 JYR589813 JOV589813 JEZ589813 IVD589813 ILH589813 IBL589813 HRP589813 HHT589813 GXX589813 GOB589813 GEF589813 FUJ589813 FKN589813 FAR589813 EQV589813 EGZ589813 DXD589813 DNH589813 DDL589813 CTP589813 CJT589813 BZX589813 BQB589813 BGF589813 AWJ589813 AMN589813 ACR589813 SV589813 IZ589813 D589813 WVL524277 WLP524277 WBT524277 VRX524277 VIB524277 UYF524277 UOJ524277 UEN524277 TUR524277 TKV524277 TAZ524277 SRD524277 SHH524277 RXL524277 RNP524277 RDT524277 QTX524277 QKB524277 QAF524277 PQJ524277 PGN524277 OWR524277 OMV524277 OCZ524277 NTD524277 NJH524277 MZL524277 MPP524277 MFT524277 LVX524277 LMB524277 LCF524277 KSJ524277 KIN524277 JYR524277 JOV524277 JEZ524277 IVD524277 ILH524277 IBL524277 HRP524277 HHT524277 GXX524277 GOB524277 GEF524277 FUJ524277 FKN524277 FAR524277 EQV524277 EGZ524277 DXD524277 DNH524277 DDL524277 CTP524277 CJT524277 BZX524277 BQB524277 BGF524277 AWJ524277 AMN524277 ACR524277 SV524277 IZ524277 D524277 WVL458741 WLP458741 WBT458741 VRX458741 VIB458741 UYF458741 UOJ458741 UEN458741 TUR458741 TKV458741 TAZ458741 SRD458741 SHH458741 RXL458741 RNP458741 RDT458741 QTX458741 QKB458741 QAF458741 PQJ458741 PGN458741 OWR458741 OMV458741 OCZ458741 NTD458741 NJH458741 MZL458741 MPP458741 MFT458741 LVX458741 LMB458741 LCF458741 KSJ458741 KIN458741 JYR458741 JOV458741 JEZ458741 IVD458741 ILH458741 IBL458741 HRP458741 HHT458741 GXX458741 GOB458741 GEF458741 FUJ458741 FKN458741 FAR458741 EQV458741 EGZ458741 DXD458741 DNH458741 DDL458741 CTP458741 CJT458741 BZX458741 BQB458741 BGF458741 AWJ458741 AMN458741 ACR458741 SV458741 IZ458741 D458741 WVL393205 WLP393205 WBT393205 VRX393205 VIB393205 UYF393205 UOJ393205 UEN393205 TUR393205 TKV393205 TAZ393205 SRD393205 SHH393205 RXL393205 RNP393205 RDT393205 QTX393205 QKB393205 QAF393205 PQJ393205 PGN393205 OWR393205 OMV393205 OCZ393205 NTD393205 NJH393205 MZL393205 MPP393205 MFT393205 LVX393205 LMB393205 LCF393205 KSJ393205 KIN393205 JYR393205 JOV393205 JEZ393205 IVD393205 ILH393205 IBL393205 HRP393205 HHT393205 GXX393205 GOB393205 GEF393205 FUJ393205 FKN393205 FAR393205 EQV393205 EGZ393205 DXD393205 DNH393205 DDL393205 CTP393205 CJT393205 BZX393205 BQB393205 BGF393205 AWJ393205 AMN393205 ACR393205 SV393205 IZ393205 D393205 WVL327669 WLP327669 WBT327669 VRX327669 VIB327669 UYF327669 UOJ327669 UEN327669 TUR327669 TKV327669 TAZ327669 SRD327669 SHH327669 RXL327669 RNP327669 RDT327669 QTX327669 QKB327669 QAF327669 PQJ327669 PGN327669 OWR327669 OMV327669 OCZ327669 NTD327669 NJH327669 MZL327669 MPP327669 MFT327669 LVX327669 LMB327669 LCF327669 KSJ327669 KIN327669 JYR327669 JOV327669 JEZ327669 IVD327669 ILH327669 IBL327669 HRP327669 HHT327669 GXX327669 GOB327669 GEF327669 FUJ327669 FKN327669 FAR327669 EQV327669 EGZ327669 DXD327669 DNH327669 DDL327669 CTP327669 CJT327669 BZX327669 BQB327669 BGF327669 AWJ327669 AMN327669 ACR327669 SV327669 IZ327669 D327669 WVL262133 WLP262133 WBT262133 VRX262133 VIB262133 UYF262133 UOJ262133 UEN262133 TUR262133 TKV262133 TAZ262133 SRD262133 SHH262133 RXL262133 RNP262133 RDT262133 QTX262133 QKB262133 QAF262133 PQJ262133 PGN262133 OWR262133 OMV262133 OCZ262133 NTD262133 NJH262133 MZL262133 MPP262133 MFT262133 LVX262133 LMB262133 LCF262133 KSJ262133 KIN262133 JYR262133 JOV262133 JEZ262133 IVD262133 ILH262133 IBL262133 HRP262133 HHT262133 GXX262133 GOB262133 GEF262133 FUJ262133 FKN262133 FAR262133 EQV262133 EGZ262133 DXD262133 DNH262133 DDL262133 CTP262133 CJT262133 BZX262133 BQB262133 BGF262133 AWJ262133 AMN262133 ACR262133 SV262133 IZ262133 D262133 WVL196597 WLP196597 WBT196597 VRX196597 VIB196597 UYF196597 UOJ196597 UEN196597 TUR196597 TKV196597 TAZ196597 SRD196597 SHH196597 RXL196597 RNP196597 RDT196597 QTX196597 QKB196597 QAF196597 PQJ196597 PGN196597 OWR196597 OMV196597 OCZ196597 NTD196597 NJH196597 MZL196597 MPP196597 MFT196597 LVX196597 LMB196597 LCF196597 KSJ196597 KIN196597 JYR196597 JOV196597 JEZ196597 IVD196597 ILH196597 IBL196597 HRP196597 HHT196597 GXX196597 GOB196597 GEF196597 FUJ196597 FKN196597 FAR196597 EQV196597 EGZ196597 DXD196597 DNH196597 DDL196597 CTP196597 CJT196597 BZX196597 BQB196597 BGF196597 AWJ196597 AMN196597 ACR196597 SV196597 IZ196597 D196597 WVL131061 WLP131061 WBT131061 VRX131061 VIB131061 UYF131061 UOJ131061 UEN131061 TUR131061 TKV131061 TAZ131061 SRD131061 SHH131061 RXL131061 RNP131061 RDT131061 QTX131061 QKB131061 QAF131061 PQJ131061 PGN131061 OWR131061 OMV131061 OCZ131061 NTD131061 NJH131061 MZL131061 MPP131061 MFT131061 LVX131061 LMB131061 LCF131061 KSJ131061 KIN131061 JYR131061 JOV131061 JEZ131061 IVD131061 ILH131061 IBL131061 HRP131061 HHT131061 GXX131061 GOB131061 GEF131061 FUJ131061 FKN131061 FAR131061 EQV131061 EGZ131061 DXD131061 DNH131061 DDL131061 CTP131061 CJT131061 BZX131061 BQB131061 BGF131061 AWJ131061 AMN131061 ACR131061 SV131061 IZ131061 D131061 WVL65525 WLP65525 WBT65525 VRX65525 VIB65525 UYF65525 UOJ65525 UEN65525 TUR65525 TKV65525 TAZ65525 SRD65525 SHH65525 RXL65525 RNP65525 RDT65525 QTX65525 QKB65525 QAF65525 PQJ65525 PGN65525 OWR65525 OMV65525 OCZ65525 NTD65525 NJH65525 MZL65525 MPP65525 MFT65525 LVX65525 LMB65525 LCF65525 KSJ65525 KIN65525 JYR65525 JOV65525 JEZ65525 IVD65525 ILH65525 IBL65525 HRP65525 HHT65525 GXX65525 GOB65525 GEF65525 FUJ65525 FKN65525 FAR65525 EQV65525 EGZ65525 DXD65525 DNH65525 DDL65525 CTP65525 CJT65525 BZX65525 BQB65525 BGF65525 AWJ65525 AMN65525 ACR65525 SV65525 IZ65525 D65525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D65519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formula1>$U$35</formula1>
    </dataValidation>
    <dataValidation type="list" allowBlank="1" showInputMessage="1" showErrorMessage="1" sqref="B33:B34 WVJ983021:WVJ983022 WLN983021:WLN983022 WBR983021:WBR983022 VRV983021:VRV983022 VHZ983021:VHZ983022 UYD983021:UYD983022 UOH983021:UOH983022 UEL983021:UEL983022 TUP983021:TUP983022 TKT983021:TKT983022 TAX983021:TAX983022 SRB983021:SRB983022 SHF983021:SHF983022 RXJ983021:RXJ983022 RNN983021:RNN983022 RDR983021:RDR983022 QTV983021:QTV983022 QJZ983021:QJZ983022 QAD983021:QAD983022 PQH983021:PQH983022 PGL983021:PGL983022 OWP983021:OWP983022 OMT983021:OMT983022 OCX983021:OCX983022 NTB983021:NTB983022 NJF983021:NJF983022 MZJ983021:MZJ983022 MPN983021:MPN983022 MFR983021:MFR983022 LVV983021:LVV983022 LLZ983021:LLZ983022 LCD983021:LCD983022 KSH983021:KSH983022 KIL983021:KIL983022 JYP983021:JYP983022 JOT983021:JOT983022 JEX983021:JEX983022 IVB983021:IVB983022 ILF983021:ILF983022 IBJ983021:IBJ983022 HRN983021:HRN983022 HHR983021:HHR983022 GXV983021:GXV983022 GNZ983021:GNZ983022 GED983021:GED983022 FUH983021:FUH983022 FKL983021:FKL983022 FAP983021:FAP983022 EQT983021:EQT983022 EGX983021:EGX983022 DXB983021:DXB983022 DNF983021:DNF983022 DDJ983021:DDJ983022 CTN983021:CTN983022 CJR983021:CJR983022 BZV983021:BZV983022 BPZ983021:BPZ983022 BGD983021:BGD983022 AWH983021:AWH983022 AML983021:AML983022 ACP983021:ACP983022 ST983021:ST983022 IX983021:IX983022 B983021:B983022 WVJ917485:WVJ917486 WLN917485:WLN917486 WBR917485:WBR917486 VRV917485:VRV917486 VHZ917485:VHZ917486 UYD917485:UYD917486 UOH917485:UOH917486 UEL917485:UEL917486 TUP917485:TUP917486 TKT917485:TKT917486 TAX917485:TAX917486 SRB917485:SRB917486 SHF917485:SHF917486 RXJ917485:RXJ917486 RNN917485:RNN917486 RDR917485:RDR917486 QTV917485:QTV917486 QJZ917485:QJZ917486 QAD917485:QAD917486 PQH917485:PQH917486 PGL917485:PGL917486 OWP917485:OWP917486 OMT917485:OMT917486 OCX917485:OCX917486 NTB917485:NTB917486 NJF917485:NJF917486 MZJ917485:MZJ917486 MPN917485:MPN917486 MFR917485:MFR917486 LVV917485:LVV917486 LLZ917485:LLZ917486 LCD917485:LCD917486 KSH917485:KSH917486 KIL917485:KIL917486 JYP917485:JYP917486 JOT917485:JOT917486 JEX917485:JEX917486 IVB917485:IVB917486 ILF917485:ILF917486 IBJ917485:IBJ917486 HRN917485:HRN917486 HHR917485:HHR917486 GXV917485:GXV917486 GNZ917485:GNZ917486 GED917485:GED917486 FUH917485:FUH917486 FKL917485:FKL917486 FAP917485:FAP917486 EQT917485:EQT917486 EGX917485:EGX917486 DXB917485:DXB917486 DNF917485:DNF917486 DDJ917485:DDJ917486 CTN917485:CTN917486 CJR917485:CJR917486 BZV917485:BZV917486 BPZ917485:BPZ917486 BGD917485:BGD917486 AWH917485:AWH917486 AML917485:AML917486 ACP917485:ACP917486 ST917485:ST917486 IX917485:IX917486 B917485:B917486 WVJ851949:WVJ851950 WLN851949:WLN851950 WBR851949:WBR851950 VRV851949:VRV851950 VHZ851949:VHZ851950 UYD851949:UYD851950 UOH851949:UOH851950 UEL851949:UEL851950 TUP851949:TUP851950 TKT851949:TKT851950 TAX851949:TAX851950 SRB851949:SRB851950 SHF851949:SHF851950 RXJ851949:RXJ851950 RNN851949:RNN851950 RDR851949:RDR851950 QTV851949:QTV851950 QJZ851949:QJZ851950 QAD851949:QAD851950 PQH851949:PQH851950 PGL851949:PGL851950 OWP851949:OWP851950 OMT851949:OMT851950 OCX851949:OCX851950 NTB851949:NTB851950 NJF851949:NJF851950 MZJ851949:MZJ851950 MPN851949:MPN851950 MFR851949:MFR851950 LVV851949:LVV851950 LLZ851949:LLZ851950 LCD851949:LCD851950 KSH851949:KSH851950 KIL851949:KIL851950 JYP851949:JYP851950 JOT851949:JOT851950 JEX851949:JEX851950 IVB851949:IVB851950 ILF851949:ILF851950 IBJ851949:IBJ851950 HRN851949:HRN851950 HHR851949:HHR851950 GXV851949:GXV851950 GNZ851949:GNZ851950 GED851949:GED851950 FUH851949:FUH851950 FKL851949:FKL851950 FAP851949:FAP851950 EQT851949:EQT851950 EGX851949:EGX851950 DXB851949:DXB851950 DNF851949:DNF851950 DDJ851949:DDJ851950 CTN851949:CTN851950 CJR851949:CJR851950 BZV851949:BZV851950 BPZ851949:BPZ851950 BGD851949:BGD851950 AWH851949:AWH851950 AML851949:AML851950 ACP851949:ACP851950 ST851949:ST851950 IX851949:IX851950 B851949:B851950 WVJ786413:WVJ786414 WLN786413:WLN786414 WBR786413:WBR786414 VRV786413:VRV786414 VHZ786413:VHZ786414 UYD786413:UYD786414 UOH786413:UOH786414 UEL786413:UEL786414 TUP786413:TUP786414 TKT786413:TKT786414 TAX786413:TAX786414 SRB786413:SRB786414 SHF786413:SHF786414 RXJ786413:RXJ786414 RNN786413:RNN786414 RDR786413:RDR786414 QTV786413:QTV786414 QJZ786413:QJZ786414 QAD786413:QAD786414 PQH786413:PQH786414 PGL786413:PGL786414 OWP786413:OWP786414 OMT786413:OMT786414 OCX786413:OCX786414 NTB786413:NTB786414 NJF786413:NJF786414 MZJ786413:MZJ786414 MPN786413:MPN786414 MFR786413:MFR786414 LVV786413:LVV786414 LLZ786413:LLZ786414 LCD786413:LCD786414 KSH786413:KSH786414 KIL786413:KIL786414 JYP786413:JYP786414 JOT786413:JOT786414 JEX786413:JEX786414 IVB786413:IVB786414 ILF786413:ILF786414 IBJ786413:IBJ786414 HRN786413:HRN786414 HHR786413:HHR786414 GXV786413:GXV786414 GNZ786413:GNZ786414 GED786413:GED786414 FUH786413:FUH786414 FKL786413:FKL786414 FAP786413:FAP786414 EQT786413:EQT786414 EGX786413:EGX786414 DXB786413:DXB786414 DNF786413:DNF786414 DDJ786413:DDJ786414 CTN786413:CTN786414 CJR786413:CJR786414 BZV786413:BZV786414 BPZ786413:BPZ786414 BGD786413:BGD786414 AWH786413:AWH786414 AML786413:AML786414 ACP786413:ACP786414 ST786413:ST786414 IX786413:IX786414 B786413:B786414 WVJ720877:WVJ720878 WLN720877:WLN720878 WBR720877:WBR720878 VRV720877:VRV720878 VHZ720877:VHZ720878 UYD720877:UYD720878 UOH720877:UOH720878 UEL720877:UEL720878 TUP720877:TUP720878 TKT720877:TKT720878 TAX720877:TAX720878 SRB720877:SRB720878 SHF720877:SHF720878 RXJ720877:RXJ720878 RNN720877:RNN720878 RDR720877:RDR720878 QTV720877:QTV720878 QJZ720877:QJZ720878 QAD720877:QAD720878 PQH720877:PQH720878 PGL720877:PGL720878 OWP720877:OWP720878 OMT720877:OMT720878 OCX720877:OCX720878 NTB720877:NTB720878 NJF720877:NJF720878 MZJ720877:MZJ720878 MPN720877:MPN720878 MFR720877:MFR720878 LVV720877:LVV720878 LLZ720877:LLZ720878 LCD720877:LCD720878 KSH720877:KSH720878 KIL720877:KIL720878 JYP720877:JYP720878 JOT720877:JOT720878 JEX720877:JEX720878 IVB720877:IVB720878 ILF720877:ILF720878 IBJ720877:IBJ720878 HRN720877:HRN720878 HHR720877:HHR720878 GXV720877:GXV720878 GNZ720877:GNZ720878 GED720877:GED720878 FUH720877:FUH720878 FKL720877:FKL720878 FAP720877:FAP720878 EQT720877:EQT720878 EGX720877:EGX720878 DXB720877:DXB720878 DNF720877:DNF720878 DDJ720877:DDJ720878 CTN720877:CTN720878 CJR720877:CJR720878 BZV720877:BZV720878 BPZ720877:BPZ720878 BGD720877:BGD720878 AWH720877:AWH720878 AML720877:AML720878 ACP720877:ACP720878 ST720877:ST720878 IX720877:IX720878 B720877:B720878 WVJ655341:WVJ655342 WLN655341:WLN655342 WBR655341:WBR655342 VRV655341:VRV655342 VHZ655341:VHZ655342 UYD655341:UYD655342 UOH655341:UOH655342 UEL655341:UEL655342 TUP655341:TUP655342 TKT655341:TKT655342 TAX655341:TAX655342 SRB655341:SRB655342 SHF655341:SHF655342 RXJ655341:RXJ655342 RNN655341:RNN655342 RDR655341:RDR655342 QTV655341:QTV655342 QJZ655341:QJZ655342 QAD655341:QAD655342 PQH655341:PQH655342 PGL655341:PGL655342 OWP655341:OWP655342 OMT655341:OMT655342 OCX655341:OCX655342 NTB655341:NTB655342 NJF655341:NJF655342 MZJ655341:MZJ655342 MPN655341:MPN655342 MFR655341:MFR655342 LVV655341:LVV655342 LLZ655341:LLZ655342 LCD655341:LCD655342 KSH655341:KSH655342 KIL655341:KIL655342 JYP655341:JYP655342 JOT655341:JOT655342 JEX655341:JEX655342 IVB655341:IVB655342 ILF655341:ILF655342 IBJ655341:IBJ655342 HRN655341:HRN655342 HHR655341:HHR655342 GXV655341:GXV655342 GNZ655341:GNZ655342 GED655341:GED655342 FUH655341:FUH655342 FKL655341:FKL655342 FAP655341:FAP655342 EQT655341:EQT655342 EGX655341:EGX655342 DXB655341:DXB655342 DNF655341:DNF655342 DDJ655341:DDJ655342 CTN655341:CTN655342 CJR655341:CJR655342 BZV655341:BZV655342 BPZ655341:BPZ655342 BGD655341:BGD655342 AWH655341:AWH655342 AML655341:AML655342 ACP655341:ACP655342 ST655341:ST655342 IX655341:IX655342 B655341:B655342 WVJ589805:WVJ589806 WLN589805:WLN589806 WBR589805:WBR589806 VRV589805:VRV589806 VHZ589805:VHZ589806 UYD589805:UYD589806 UOH589805:UOH589806 UEL589805:UEL589806 TUP589805:TUP589806 TKT589805:TKT589806 TAX589805:TAX589806 SRB589805:SRB589806 SHF589805:SHF589806 RXJ589805:RXJ589806 RNN589805:RNN589806 RDR589805:RDR589806 QTV589805:QTV589806 QJZ589805:QJZ589806 QAD589805:QAD589806 PQH589805:PQH589806 PGL589805:PGL589806 OWP589805:OWP589806 OMT589805:OMT589806 OCX589805:OCX589806 NTB589805:NTB589806 NJF589805:NJF589806 MZJ589805:MZJ589806 MPN589805:MPN589806 MFR589805:MFR589806 LVV589805:LVV589806 LLZ589805:LLZ589806 LCD589805:LCD589806 KSH589805:KSH589806 KIL589805:KIL589806 JYP589805:JYP589806 JOT589805:JOT589806 JEX589805:JEX589806 IVB589805:IVB589806 ILF589805:ILF589806 IBJ589805:IBJ589806 HRN589805:HRN589806 HHR589805:HHR589806 GXV589805:GXV589806 GNZ589805:GNZ589806 GED589805:GED589806 FUH589805:FUH589806 FKL589805:FKL589806 FAP589805:FAP589806 EQT589805:EQT589806 EGX589805:EGX589806 DXB589805:DXB589806 DNF589805:DNF589806 DDJ589805:DDJ589806 CTN589805:CTN589806 CJR589805:CJR589806 BZV589805:BZV589806 BPZ589805:BPZ589806 BGD589805:BGD589806 AWH589805:AWH589806 AML589805:AML589806 ACP589805:ACP589806 ST589805:ST589806 IX589805:IX589806 B589805:B589806 WVJ524269:WVJ524270 WLN524269:WLN524270 WBR524269:WBR524270 VRV524269:VRV524270 VHZ524269:VHZ524270 UYD524269:UYD524270 UOH524269:UOH524270 UEL524269:UEL524270 TUP524269:TUP524270 TKT524269:TKT524270 TAX524269:TAX524270 SRB524269:SRB524270 SHF524269:SHF524270 RXJ524269:RXJ524270 RNN524269:RNN524270 RDR524269:RDR524270 QTV524269:QTV524270 QJZ524269:QJZ524270 QAD524269:QAD524270 PQH524269:PQH524270 PGL524269:PGL524270 OWP524269:OWP524270 OMT524269:OMT524270 OCX524269:OCX524270 NTB524269:NTB524270 NJF524269:NJF524270 MZJ524269:MZJ524270 MPN524269:MPN524270 MFR524269:MFR524270 LVV524269:LVV524270 LLZ524269:LLZ524270 LCD524269:LCD524270 KSH524269:KSH524270 KIL524269:KIL524270 JYP524269:JYP524270 JOT524269:JOT524270 JEX524269:JEX524270 IVB524269:IVB524270 ILF524269:ILF524270 IBJ524269:IBJ524270 HRN524269:HRN524270 HHR524269:HHR524270 GXV524269:GXV524270 GNZ524269:GNZ524270 GED524269:GED524270 FUH524269:FUH524270 FKL524269:FKL524270 FAP524269:FAP524270 EQT524269:EQT524270 EGX524269:EGX524270 DXB524269:DXB524270 DNF524269:DNF524270 DDJ524269:DDJ524270 CTN524269:CTN524270 CJR524269:CJR524270 BZV524269:BZV524270 BPZ524269:BPZ524270 BGD524269:BGD524270 AWH524269:AWH524270 AML524269:AML524270 ACP524269:ACP524270 ST524269:ST524270 IX524269:IX524270 B524269:B524270 WVJ458733:WVJ458734 WLN458733:WLN458734 WBR458733:WBR458734 VRV458733:VRV458734 VHZ458733:VHZ458734 UYD458733:UYD458734 UOH458733:UOH458734 UEL458733:UEL458734 TUP458733:TUP458734 TKT458733:TKT458734 TAX458733:TAX458734 SRB458733:SRB458734 SHF458733:SHF458734 RXJ458733:RXJ458734 RNN458733:RNN458734 RDR458733:RDR458734 QTV458733:QTV458734 QJZ458733:QJZ458734 QAD458733:QAD458734 PQH458733:PQH458734 PGL458733:PGL458734 OWP458733:OWP458734 OMT458733:OMT458734 OCX458733:OCX458734 NTB458733:NTB458734 NJF458733:NJF458734 MZJ458733:MZJ458734 MPN458733:MPN458734 MFR458733:MFR458734 LVV458733:LVV458734 LLZ458733:LLZ458734 LCD458733:LCD458734 KSH458733:KSH458734 KIL458733:KIL458734 JYP458733:JYP458734 JOT458733:JOT458734 JEX458733:JEX458734 IVB458733:IVB458734 ILF458733:ILF458734 IBJ458733:IBJ458734 HRN458733:HRN458734 HHR458733:HHR458734 GXV458733:GXV458734 GNZ458733:GNZ458734 GED458733:GED458734 FUH458733:FUH458734 FKL458733:FKL458734 FAP458733:FAP458734 EQT458733:EQT458734 EGX458733:EGX458734 DXB458733:DXB458734 DNF458733:DNF458734 DDJ458733:DDJ458734 CTN458733:CTN458734 CJR458733:CJR458734 BZV458733:BZV458734 BPZ458733:BPZ458734 BGD458733:BGD458734 AWH458733:AWH458734 AML458733:AML458734 ACP458733:ACP458734 ST458733:ST458734 IX458733:IX458734 B458733:B458734 WVJ393197:WVJ393198 WLN393197:WLN393198 WBR393197:WBR393198 VRV393197:VRV393198 VHZ393197:VHZ393198 UYD393197:UYD393198 UOH393197:UOH393198 UEL393197:UEL393198 TUP393197:TUP393198 TKT393197:TKT393198 TAX393197:TAX393198 SRB393197:SRB393198 SHF393197:SHF393198 RXJ393197:RXJ393198 RNN393197:RNN393198 RDR393197:RDR393198 QTV393197:QTV393198 QJZ393197:QJZ393198 QAD393197:QAD393198 PQH393197:PQH393198 PGL393197:PGL393198 OWP393197:OWP393198 OMT393197:OMT393198 OCX393197:OCX393198 NTB393197:NTB393198 NJF393197:NJF393198 MZJ393197:MZJ393198 MPN393197:MPN393198 MFR393197:MFR393198 LVV393197:LVV393198 LLZ393197:LLZ393198 LCD393197:LCD393198 KSH393197:KSH393198 KIL393197:KIL393198 JYP393197:JYP393198 JOT393197:JOT393198 JEX393197:JEX393198 IVB393197:IVB393198 ILF393197:ILF393198 IBJ393197:IBJ393198 HRN393197:HRN393198 HHR393197:HHR393198 GXV393197:GXV393198 GNZ393197:GNZ393198 GED393197:GED393198 FUH393197:FUH393198 FKL393197:FKL393198 FAP393197:FAP393198 EQT393197:EQT393198 EGX393197:EGX393198 DXB393197:DXB393198 DNF393197:DNF393198 DDJ393197:DDJ393198 CTN393197:CTN393198 CJR393197:CJR393198 BZV393197:BZV393198 BPZ393197:BPZ393198 BGD393197:BGD393198 AWH393197:AWH393198 AML393197:AML393198 ACP393197:ACP393198 ST393197:ST393198 IX393197:IX393198 B393197:B393198 WVJ327661:WVJ327662 WLN327661:WLN327662 WBR327661:WBR327662 VRV327661:VRV327662 VHZ327661:VHZ327662 UYD327661:UYD327662 UOH327661:UOH327662 UEL327661:UEL327662 TUP327661:TUP327662 TKT327661:TKT327662 TAX327661:TAX327662 SRB327661:SRB327662 SHF327661:SHF327662 RXJ327661:RXJ327662 RNN327661:RNN327662 RDR327661:RDR327662 QTV327661:QTV327662 QJZ327661:QJZ327662 QAD327661:QAD327662 PQH327661:PQH327662 PGL327661:PGL327662 OWP327661:OWP327662 OMT327661:OMT327662 OCX327661:OCX327662 NTB327661:NTB327662 NJF327661:NJF327662 MZJ327661:MZJ327662 MPN327661:MPN327662 MFR327661:MFR327662 LVV327661:LVV327662 LLZ327661:LLZ327662 LCD327661:LCD327662 KSH327661:KSH327662 KIL327661:KIL327662 JYP327661:JYP327662 JOT327661:JOT327662 JEX327661:JEX327662 IVB327661:IVB327662 ILF327661:ILF327662 IBJ327661:IBJ327662 HRN327661:HRN327662 HHR327661:HHR327662 GXV327661:GXV327662 GNZ327661:GNZ327662 GED327661:GED327662 FUH327661:FUH327662 FKL327661:FKL327662 FAP327661:FAP327662 EQT327661:EQT327662 EGX327661:EGX327662 DXB327661:DXB327662 DNF327661:DNF327662 DDJ327661:DDJ327662 CTN327661:CTN327662 CJR327661:CJR327662 BZV327661:BZV327662 BPZ327661:BPZ327662 BGD327661:BGD327662 AWH327661:AWH327662 AML327661:AML327662 ACP327661:ACP327662 ST327661:ST327662 IX327661:IX327662 B327661:B327662 WVJ262125:WVJ262126 WLN262125:WLN262126 WBR262125:WBR262126 VRV262125:VRV262126 VHZ262125:VHZ262126 UYD262125:UYD262126 UOH262125:UOH262126 UEL262125:UEL262126 TUP262125:TUP262126 TKT262125:TKT262126 TAX262125:TAX262126 SRB262125:SRB262126 SHF262125:SHF262126 RXJ262125:RXJ262126 RNN262125:RNN262126 RDR262125:RDR262126 QTV262125:QTV262126 QJZ262125:QJZ262126 QAD262125:QAD262126 PQH262125:PQH262126 PGL262125:PGL262126 OWP262125:OWP262126 OMT262125:OMT262126 OCX262125:OCX262126 NTB262125:NTB262126 NJF262125:NJF262126 MZJ262125:MZJ262126 MPN262125:MPN262126 MFR262125:MFR262126 LVV262125:LVV262126 LLZ262125:LLZ262126 LCD262125:LCD262126 KSH262125:KSH262126 KIL262125:KIL262126 JYP262125:JYP262126 JOT262125:JOT262126 JEX262125:JEX262126 IVB262125:IVB262126 ILF262125:ILF262126 IBJ262125:IBJ262126 HRN262125:HRN262126 HHR262125:HHR262126 GXV262125:GXV262126 GNZ262125:GNZ262126 GED262125:GED262126 FUH262125:FUH262126 FKL262125:FKL262126 FAP262125:FAP262126 EQT262125:EQT262126 EGX262125:EGX262126 DXB262125:DXB262126 DNF262125:DNF262126 DDJ262125:DDJ262126 CTN262125:CTN262126 CJR262125:CJR262126 BZV262125:BZV262126 BPZ262125:BPZ262126 BGD262125:BGD262126 AWH262125:AWH262126 AML262125:AML262126 ACP262125:ACP262126 ST262125:ST262126 IX262125:IX262126 B262125:B262126 WVJ196589:WVJ196590 WLN196589:WLN196590 WBR196589:WBR196590 VRV196589:VRV196590 VHZ196589:VHZ196590 UYD196589:UYD196590 UOH196589:UOH196590 UEL196589:UEL196590 TUP196589:TUP196590 TKT196589:TKT196590 TAX196589:TAX196590 SRB196589:SRB196590 SHF196589:SHF196590 RXJ196589:RXJ196590 RNN196589:RNN196590 RDR196589:RDR196590 QTV196589:QTV196590 QJZ196589:QJZ196590 QAD196589:QAD196590 PQH196589:PQH196590 PGL196589:PGL196590 OWP196589:OWP196590 OMT196589:OMT196590 OCX196589:OCX196590 NTB196589:NTB196590 NJF196589:NJF196590 MZJ196589:MZJ196590 MPN196589:MPN196590 MFR196589:MFR196590 LVV196589:LVV196590 LLZ196589:LLZ196590 LCD196589:LCD196590 KSH196589:KSH196590 KIL196589:KIL196590 JYP196589:JYP196590 JOT196589:JOT196590 JEX196589:JEX196590 IVB196589:IVB196590 ILF196589:ILF196590 IBJ196589:IBJ196590 HRN196589:HRN196590 HHR196589:HHR196590 GXV196589:GXV196590 GNZ196589:GNZ196590 GED196589:GED196590 FUH196589:FUH196590 FKL196589:FKL196590 FAP196589:FAP196590 EQT196589:EQT196590 EGX196589:EGX196590 DXB196589:DXB196590 DNF196589:DNF196590 DDJ196589:DDJ196590 CTN196589:CTN196590 CJR196589:CJR196590 BZV196589:BZV196590 BPZ196589:BPZ196590 BGD196589:BGD196590 AWH196589:AWH196590 AML196589:AML196590 ACP196589:ACP196590 ST196589:ST196590 IX196589:IX196590 B196589:B196590 WVJ131053:WVJ131054 WLN131053:WLN131054 WBR131053:WBR131054 VRV131053:VRV131054 VHZ131053:VHZ131054 UYD131053:UYD131054 UOH131053:UOH131054 UEL131053:UEL131054 TUP131053:TUP131054 TKT131053:TKT131054 TAX131053:TAX131054 SRB131053:SRB131054 SHF131053:SHF131054 RXJ131053:RXJ131054 RNN131053:RNN131054 RDR131053:RDR131054 QTV131053:QTV131054 QJZ131053:QJZ131054 QAD131053:QAD131054 PQH131053:PQH131054 PGL131053:PGL131054 OWP131053:OWP131054 OMT131053:OMT131054 OCX131053:OCX131054 NTB131053:NTB131054 NJF131053:NJF131054 MZJ131053:MZJ131054 MPN131053:MPN131054 MFR131053:MFR131054 LVV131053:LVV131054 LLZ131053:LLZ131054 LCD131053:LCD131054 KSH131053:KSH131054 KIL131053:KIL131054 JYP131053:JYP131054 JOT131053:JOT131054 JEX131053:JEX131054 IVB131053:IVB131054 ILF131053:ILF131054 IBJ131053:IBJ131054 HRN131053:HRN131054 HHR131053:HHR131054 GXV131053:GXV131054 GNZ131053:GNZ131054 GED131053:GED131054 FUH131053:FUH131054 FKL131053:FKL131054 FAP131053:FAP131054 EQT131053:EQT131054 EGX131053:EGX131054 DXB131053:DXB131054 DNF131053:DNF131054 DDJ131053:DDJ131054 CTN131053:CTN131054 CJR131053:CJR131054 BZV131053:BZV131054 BPZ131053:BPZ131054 BGD131053:BGD131054 AWH131053:AWH131054 AML131053:AML131054 ACP131053:ACP131054 ST131053:ST131054 IX131053:IX131054 B131053:B131054 WVJ65517:WVJ65518 WLN65517:WLN65518 WBR65517:WBR65518 VRV65517:VRV65518 VHZ65517:VHZ65518 UYD65517:UYD65518 UOH65517:UOH65518 UEL65517:UEL65518 TUP65517:TUP65518 TKT65517:TKT65518 TAX65517:TAX65518 SRB65517:SRB65518 SHF65517:SHF65518 RXJ65517:RXJ65518 RNN65517:RNN65518 RDR65517:RDR65518 QTV65517:QTV65518 QJZ65517:QJZ65518 QAD65517:QAD65518 PQH65517:PQH65518 PGL65517:PGL65518 OWP65517:OWP65518 OMT65517:OMT65518 OCX65517:OCX65518 NTB65517:NTB65518 NJF65517:NJF65518 MZJ65517:MZJ65518 MPN65517:MPN65518 MFR65517:MFR65518 LVV65517:LVV65518 LLZ65517:LLZ65518 LCD65517:LCD65518 KSH65517:KSH65518 KIL65517:KIL65518 JYP65517:JYP65518 JOT65517:JOT65518 JEX65517:JEX65518 IVB65517:IVB65518 ILF65517:ILF65518 IBJ65517:IBJ65518 HRN65517:HRN65518 HHR65517:HHR65518 GXV65517:GXV65518 GNZ65517:GNZ65518 GED65517:GED65518 FUH65517:FUH65518 FKL65517:FKL65518 FAP65517:FAP65518 EQT65517:EQT65518 EGX65517:EGX65518 DXB65517:DXB65518 DNF65517:DNF65518 DDJ65517:DDJ65518 CTN65517:CTN65518 CJR65517:CJR65518 BZV65517:BZV65518 BPZ65517:BPZ65518 BGD65517:BGD65518 AWH65517:AWH65518 AML65517:AML65518 ACP65517:ACP65518 ST65517:ST65518 IX65517:IX65518 B65517:B65518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formula1>$R$33</formula1>
    </dataValidation>
    <dataValidation type="list" allowBlank="1" showInputMessage="1" showErrorMessage="1" promptTitle="Klik hier om een keuze te maken" sqref="F65492:K65492 JB65492:JG65492 SX65492:TC65492 ACT65492:ACY65492 AMP65492:AMU65492 AWL65492:AWQ65492 BGH65492:BGM65492 BQD65492:BQI65492 BZZ65492:CAE65492 CJV65492:CKA65492 CTR65492:CTW65492 DDN65492:DDS65492 DNJ65492:DNO65492 DXF65492:DXK65492 EHB65492:EHG65492 EQX65492:ERC65492 FAT65492:FAY65492 FKP65492:FKU65492 FUL65492:FUQ65492 GEH65492:GEM65492 GOD65492:GOI65492 GXZ65492:GYE65492 HHV65492:HIA65492 HRR65492:HRW65492 IBN65492:IBS65492 ILJ65492:ILO65492 IVF65492:IVK65492 JFB65492:JFG65492 JOX65492:JPC65492 JYT65492:JYY65492 KIP65492:KIU65492 KSL65492:KSQ65492 LCH65492:LCM65492 LMD65492:LMI65492 LVZ65492:LWE65492 MFV65492:MGA65492 MPR65492:MPW65492 MZN65492:MZS65492 NJJ65492:NJO65492 NTF65492:NTK65492 ODB65492:ODG65492 OMX65492:ONC65492 OWT65492:OWY65492 PGP65492:PGU65492 PQL65492:PQQ65492 QAH65492:QAM65492 QKD65492:QKI65492 QTZ65492:QUE65492 RDV65492:REA65492 RNR65492:RNW65492 RXN65492:RXS65492 SHJ65492:SHO65492 SRF65492:SRK65492 TBB65492:TBG65492 TKX65492:TLC65492 TUT65492:TUY65492 UEP65492:UEU65492 UOL65492:UOQ65492 UYH65492:UYM65492 VID65492:VII65492 VRZ65492:VSE65492 WBV65492:WCA65492 WLR65492:WLW65492 WVN65492:WVS65492 F131028:K131028 JB131028:JG131028 SX131028:TC131028 ACT131028:ACY131028 AMP131028:AMU131028 AWL131028:AWQ131028 BGH131028:BGM131028 BQD131028:BQI131028 BZZ131028:CAE131028 CJV131028:CKA131028 CTR131028:CTW131028 DDN131028:DDS131028 DNJ131028:DNO131028 DXF131028:DXK131028 EHB131028:EHG131028 EQX131028:ERC131028 FAT131028:FAY131028 FKP131028:FKU131028 FUL131028:FUQ131028 GEH131028:GEM131028 GOD131028:GOI131028 GXZ131028:GYE131028 HHV131028:HIA131028 HRR131028:HRW131028 IBN131028:IBS131028 ILJ131028:ILO131028 IVF131028:IVK131028 JFB131028:JFG131028 JOX131028:JPC131028 JYT131028:JYY131028 KIP131028:KIU131028 KSL131028:KSQ131028 LCH131028:LCM131028 LMD131028:LMI131028 LVZ131028:LWE131028 MFV131028:MGA131028 MPR131028:MPW131028 MZN131028:MZS131028 NJJ131028:NJO131028 NTF131028:NTK131028 ODB131028:ODG131028 OMX131028:ONC131028 OWT131028:OWY131028 PGP131028:PGU131028 PQL131028:PQQ131028 QAH131028:QAM131028 QKD131028:QKI131028 QTZ131028:QUE131028 RDV131028:REA131028 RNR131028:RNW131028 RXN131028:RXS131028 SHJ131028:SHO131028 SRF131028:SRK131028 TBB131028:TBG131028 TKX131028:TLC131028 TUT131028:TUY131028 UEP131028:UEU131028 UOL131028:UOQ131028 UYH131028:UYM131028 VID131028:VII131028 VRZ131028:VSE131028 WBV131028:WCA131028 WLR131028:WLW131028 WVN131028:WVS131028 F196564:K196564 JB196564:JG196564 SX196564:TC196564 ACT196564:ACY196564 AMP196564:AMU196564 AWL196564:AWQ196564 BGH196564:BGM196564 BQD196564:BQI196564 BZZ196564:CAE196564 CJV196564:CKA196564 CTR196564:CTW196564 DDN196564:DDS196564 DNJ196564:DNO196564 DXF196564:DXK196564 EHB196564:EHG196564 EQX196564:ERC196564 FAT196564:FAY196564 FKP196564:FKU196564 FUL196564:FUQ196564 GEH196564:GEM196564 GOD196564:GOI196564 GXZ196564:GYE196564 HHV196564:HIA196564 HRR196564:HRW196564 IBN196564:IBS196564 ILJ196564:ILO196564 IVF196564:IVK196564 JFB196564:JFG196564 JOX196564:JPC196564 JYT196564:JYY196564 KIP196564:KIU196564 KSL196564:KSQ196564 LCH196564:LCM196564 LMD196564:LMI196564 LVZ196564:LWE196564 MFV196564:MGA196564 MPR196564:MPW196564 MZN196564:MZS196564 NJJ196564:NJO196564 NTF196564:NTK196564 ODB196564:ODG196564 OMX196564:ONC196564 OWT196564:OWY196564 PGP196564:PGU196564 PQL196564:PQQ196564 QAH196564:QAM196564 QKD196564:QKI196564 QTZ196564:QUE196564 RDV196564:REA196564 RNR196564:RNW196564 RXN196564:RXS196564 SHJ196564:SHO196564 SRF196564:SRK196564 TBB196564:TBG196564 TKX196564:TLC196564 TUT196564:TUY196564 UEP196564:UEU196564 UOL196564:UOQ196564 UYH196564:UYM196564 VID196564:VII196564 VRZ196564:VSE196564 WBV196564:WCA196564 WLR196564:WLW196564 WVN196564:WVS196564 F262100:K262100 JB262100:JG262100 SX262100:TC262100 ACT262100:ACY262100 AMP262100:AMU262100 AWL262100:AWQ262100 BGH262100:BGM262100 BQD262100:BQI262100 BZZ262100:CAE262100 CJV262100:CKA262100 CTR262100:CTW262100 DDN262100:DDS262100 DNJ262100:DNO262100 DXF262100:DXK262100 EHB262100:EHG262100 EQX262100:ERC262100 FAT262100:FAY262100 FKP262100:FKU262100 FUL262100:FUQ262100 GEH262100:GEM262100 GOD262100:GOI262100 GXZ262100:GYE262100 HHV262100:HIA262100 HRR262100:HRW262100 IBN262100:IBS262100 ILJ262100:ILO262100 IVF262100:IVK262100 JFB262100:JFG262100 JOX262100:JPC262100 JYT262100:JYY262100 KIP262100:KIU262100 KSL262100:KSQ262100 LCH262100:LCM262100 LMD262100:LMI262100 LVZ262100:LWE262100 MFV262100:MGA262100 MPR262100:MPW262100 MZN262100:MZS262100 NJJ262100:NJO262100 NTF262100:NTK262100 ODB262100:ODG262100 OMX262100:ONC262100 OWT262100:OWY262100 PGP262100:PGU262100 PQL262100:PQQ262100 QAH262100:QAM262100 QKD262100:QKI262100 QTZ262100:QUE262100 RDV262100:REA262100 RNR262100:RNW262100 RXN262100:RXS262100 SHJ262100:SHO262100 SRF262100:SRK262100 TBB262100:TBG262100 TKX262100:TLC262100 TUT262100:TUY262100 UEP262100:UEU262100 UOL262100:UOQ262100 UYH262100:UYM262100 VID262100:VII262100 VRZ262100:VSE262100 WBV262100:WCA262100 WLR262100:WLW262100 WVN262100:WVS262100 F327636:K327636 JB327636:JG327636 SX327636:TC327636 ACT327636:ACY327636 AMP327636:AMU327636 AWL327636:AWQ327636 BGH327636:BGM327636 BQD327636:BQI327636 BZZ327636:CAE327636 CJV327636:CKA327636 CTR327636:CTW327636 DDN327636:DDS327636 DNJ327636:DNO327636 DXF327636:DXK327636 EHB327636:EHG327636 EQX327636:ERC327636 FAT327636:FAY327636 FKP327636:FKU327636 FUL327636:FUQ327636 GEH327636:GEM327636 GOD327636:GOI327636 GXZ327636:GYE327636 HHV327636:HIA327636 HRR327636:HRW327636 IBN327636:IBS327636 ILJ327636:ILO327636 IVF327636:IVK327636 JFB327636:JFG327636 JOX327636:JPC327636 JYT327636:JYY327636 KIP327636:KIU327636 KSL327636:KSQ327636 LCH327636:LCM327636 LMD327636:LMI327636 LVZ327636:LWE327636 MFV327636:MGA327636 MPR327636:MPW327636 MZN327636:MZS327636 NJJ327636:NJO327636 NTF327636:NTK327636 ODB327636:ODG327636 OMX327636:ONC327636 OWT327636:OWY327636 PGP327636:PGU327636 PQL327636:PQQ327636 QAH327636:QAM327636 QKD327636:QKI327636 QTZ327636:QUE327636 RDV327636:REA327636 RNR327636:RNW327636 RXN327636:RXS327636 SHJ327636:SHO327636 SRF327636:SRK327636 TBB327636:TBG327636 TKX327636:TLC327636 TUT327636:TUY327636 UEP327636:UEU327636 UOL327636:UOQ327636 UYH327636:UYM327636 VID327636:VII327636 VRZ327636:VSE327636 WBV327636:WCA327636 WLR327636:WLW327636 WVN327636:WVS327636 F393172:K393172 JB393172:JG393172 SX393172:TC393172 ACT393172:ACY393172 AMP393172:AMU393172 AWL393172:AWQ393172 BGH393172:BGM393172 BQD393172:BQI393172 BZZ393172:CAE393172 CJV393172:CKA393172 CTR393172:CTW393172 DDN393172:DDS393172 DNJ393172:DNO393172 DXF393172:DXK393172 EHB393172:EHG393172 EQX393172:ERC393172 FAT393172:FAY393172 FKP393172:FKU393172 FUL393172:FUQ393172 GEH393172:GEM393172 GOD393172:GOI393172 GXZ393172:GYE393172 HHV393172:HIA393172 HRR393172:HRW393172 IBN393172:IBS393172 ILJ393172:ILO393172 IVF393172:IVK393172 JFB393172:JFG393172 JOX393172:JPC393172 JYT393172:JYY393172 KIP393172:KIU393172 KSL393172:KSQ393172 LCH393172:LCM393172 LMD393172:LMI393172 LVZ393172:LWE393172 MFV393172:MGA393172 MPR393172:MPW393172 MZN393172:MZS393172 NJJ393172:NJO393172 NTF393172:NTK393172 ODB393172:ODG393172 OMX393172:ONC393172 OWT393172:OWY393172 PGP393172:PGU393172 PQL393172:PQQ393172 QAH393172:QAM393172 QKD393172:QKI393172 QTZ393172:QUE393172 RDV393172:REA393172 RNR393172:RNW393172 RXN393172:RXS393172 SHJ393172:SHO393172 SRF393172:SRK393172 TBB393172:TBG393172 TKX393172:TLC393172 TUT393172:TUY393172 UEP393172:UEU393172 UOL393172:UOQ393172 UYH393172:UYM393172 VID393172:VII393172 VRZ393172:VSE393172 WBV393172:WCA393172 WLR393172:WLW393172 WVN393172:WVS393172 F458708:K458708 JB458708:JG458708 SX458708:TC458708 ACT458708:ACY458708 AMP458708:AMU458708 AWL458708:AWQ458708 BGH458708:BGM458708 BQD458708:BQI458708 BZZ458708:CAE458708 CJV458708:CKA458708 CTR458708:CTW458708 DDN458708:DDS458708 DNJ458708:DNO458708 DXF458708:DXK458708 EHB458708:EHG458708 EQX458708:ERC458708 FAT458708:FAY458708 FKP458708:FKU458708 FUL458708:FUQ458708 GEH458708:GEM458708 GOD458708:GOI458708 GXZ458708:GYE458708 HHV458708:HIA458708 HRR458708:HRW458708 IBN458708:IBS458708 ILJ458708:ILO458708 IVF458708:IVK458708 JFB458708:JFG458708 JOX458708:JPC458708 JYT458708:JYY458708 KIP458708:KIU458708 KSL458708:KSQ458708 LCH458708:LCM458708 LMD458708:LMI458708 LVZ458708:LWE458708 MFV458708:MGA458708 MPR458708:MPW458708 MZN458708:MZS458708 NJJ458708:NJO458708 NTF458708:NTK458708 ODB458708:ODG458708 OMX458708:ONC458708 OWT458708:OWY458708 PGP458708:PGU458708 PQL458708:PQQ458708 QAH458708:QAM458708 QKD458708:QKI458708 QTZ458708:QUE458708 RDV458708:REA458708 RNR458708:RNW458708 RXN458708:RXS458708 SHJ458708:SHO458708 SRF458708:SRK458708 TBB458708:TBG458708 TKX458708:TLC458708 TUT458708:TUY458708 UEP458708:UEU458708 UOL458708:UOQ458708 UYH458708:UYM458708 VID458708:VII458708 VRZ458708:VSE458708 WBV458708:WCA458708 WLR458708:WLW458708 WVN458708:WVS458708 F524244:K524244 JB524244:JG524244 SX524244:TC524244 ACT524244:ACY524244 AMP524244:AMU524244 AWL524244:AWQ524244 BGH524244:BGM524244 BQD524244:BQI524244 BZZ524244:CAE524244 CJV524244:CKA524244 CTR524244:CTW524244 DDN524244:DDS524244 DNJ524244:DNO524244 DXF524244:DXK524244 EHB524244:EHG524244 EQX524244:ERC524244 FAT524244:FAY524244 FKP524244:FKU524244 FUL524244:FUQ524244 GEH524244:GEM524244 GOD524244:GOI524244 GXZ524244:GYE524244 HHV524244:HIA524244 HRR524244:HRW524244 IBN524244:IBS524244 ILJ524244:ILO524244 IVF524244:IVK524244 JFB524244:JFG524244 JOX524244:JPC524244 JYT524244:JYY524244 KIP524244:KIU524244 KSL524244:KSQ524244 LCH524244:LCM524244 LMD524244:LMI524244 LVZ524244:LWE524244 MFV524244:MGA524244 MPR524244:MPW524244 MZN524244:MZS524244 NJJ524244:NJO524244 NTF524244:NTK524244 ODB524244:ODG524244 OMX524244:ONC524244 OWT524244:OWY524244 PGP524244:PGU524244 PQL524244:PQQ524244 QAH524244:QAM524244 QKD524244:QKI524244 QTZ524244:QUE524244 RDV524244:REA524244 RNR524244:RNW524244 RXN524244:RXS524244 SHJ524244:SHO524244 SRF524244:SRK524244 TBB524244:TBG524244 TKX524244:TLC524244 TUT524244:TUY524244 UEP524244:UEU524244 UOL524244:UOQ524244 UYH524244:UYM524244 VID524244:VII524244 VRZ524244:VSE524244 WBV524244:WCA524244 WLR524244:WLW524244 WVN524244:WVS524244 F589780:K589780 JB589780:JG589780 SX589780:TC589780 ACT589780:ACY589780 AMP589780:AMU589780 AWL589780:AWQ589780 BGH589780:BGM589780 BQD589780:BQI589780 BZZ589780:CAE589780 CJV589780:CKA589780 CTR589780:CTW589780 DDN589780:DDS589780 DNJ589780:DNO589780 DXF589780:DXK589780 EHB589780:EHG589780 EQX589780:ERC589780 FAT589780:FAY589780 FKP589780:FKU589780 FUL589780:FUQ589780 GEH589780:GEM589780 GOD589780:GOI589780 GXZ589780:GYE589780 HHV589780:HIA589780 HRR589780:HRW589780 IBN589780:IBS589780 ILJ589780:ILO589780 IVF589780:IVK589780 JFB589780:JFG589780 JOX589780:JPC589780 JYT589780:JYY589780 KIP589780:KIU589780 KSL589780:KSQ589780 LCH589780:LCM589780 LMD589780:LMI589780 LVZ589780:LWE589780 MFV589780:MGA589780 MPR589780:MPW589780 MZN589780:MZS589780 NJJ589780:NJO589780 NTF589780:NTK589780 ODB589780:ODG589780 OMX589780:ONC589780 OWT589780:OWY589780 PGP589780:PGU589780 PQL589780:PQQ589780 QAH589780:QAM589780 QKD589780:QKI589780 QTZ589780:QUE589780 RDV589780:REA589780 RNR589780:RNW589780 RXN589780:RXS589780 SHJ589780:SHO589780 SRF589780:SRK589780 TBB589780:TBG589780 TKX589780:TLC589780 TUT589780:TUY589780 UEP589780:UEU589780 UOL589780:UOQ589780 UYH589780:UYM589780 VID589780:VII589780 VRZ589780:VSE589780 WBV589780:WCA589780 WLR589780:WLW589780 WVN589780:WVS589780 F655316:K655316 JB655316:JG655316 SX655316:TC655316 ACT655316:ACY655316 AMP655316:AMU655316 AWL655316:AWQ655316 BGH655316:BGM655316 BQD655316:BQI655316 BZZ655316:CAE655316 CJV655316:CKA655316 CTR655316:CTW655316 DDN655316:DDS655316 DNJ655316:DNO655316 DXF655316:DXK655316 EHB655316:EHG655316 EQX655316:ERC655316 FAT655316:FAY655316 FKP655316:FKU655316 FUL655316:FUQ655316 GEH655316:GEM655316 GOD655316:GOI655316 GXZ655316:GYE655316 HHV655316:HIA655316 HRR655316:HRW655316 IBN655316:IBS655316 ILJ655316:ILO655316 IVF655316:IVK655316 JFB655316:JFG655316 JOX655316:JPC655316 JYT655316:JYY655316 KIP655316:KIU655316 KSL655316:KSQ655316 LCH655316:LCM655316 LMD655316:LMI655316 LVZ655316:LWE655316 MFV655316:MGA655316 MPR655316:MPW655316 MZN655316:MZS655316 NJJ655316:NJO655316 NTF655316:NTK655316 ODB655316:ODG655316 OMX655316:ONC655316 OWT655316:OWY655316 PGP655316:PGU655316 PQL655316:PQQ655316 QAH655316:QAM655316 QKD655316:QKI655316 QTZ655316:QUE655316 RDV655316:REA655316 RNR655316:RNW655316 RXN655316:RXS655316 SHJ655316:SHO655316 SRF655316:SRK655316 TBB655316:TBG655316 TKX655316:TLC655316 TUT655316:TUY655316 UEP655316:UEU655316 UOL655316:UOQ655316 UYH655316:UYM655316 VID655316:VII655316 VRZ655316:VSE655316 WBV655316:WCA655316 WLR655316:WLW655316 WVN655316:WVS655316 F720852:K720852 JB720852:JG720852 SX720852:TC720852 ACT720852:ACY720852 AMP720852:AMU720852 AWL720852:AWQ720852 BGH720852:BGM720852 BQD720852:BQI720852 BZZ720852:CAE720852 CJV720852:CKA720852 CTR720852:CTW720852 DDN720852:DDS720852 DNJ720852:DNO720852 DXF720852:DXK720852 EHB720852:EHG720852 EQX720852:ERC720852 FAT720852:FAY720852 FKP720852:FKU720852 FUL720852:FUQ720852 GEH720852:GEM720852 GOD720852:GOI720852 GXZ720852:GYE720852 HHV720852:HIA720852 HRR720852:HRW720852 IBN720852:IBS720852 ILJ720852:ILO720852 IVF720852:IVK720852 JFB720852:JFG720852 JOX720852:JPC720852 JYT720852:JYY720852 KIP720852:KIU720852 KSL720852:KSQ720852 LCH720852:LCM720852 LMD720852:LMI720852 LVZ720852:LWE720852 MFV720852:MGA720852 MPR720852:MPW720852 MZN720852:MZS720852 NJJ720852:NJO720852 NTF720852:NTK720852 ODB720852:ODG720852 OMX720852:ONC720852 OWT720852:OWY720852 PGP720852:PGU720852 PQL720852:PQQ720852 QAH720852:QAM720852 QKD720852:QKI720852 QTZ720852:QUE720852 RDV720852:REA720852 RNR720852:RNW720852 RXN720852:RXS720852 SHJ720852:SHO720852 SRF720852:SRK720852 TBB720852:TBG720852 TKX720852:TLC720852 TUT720852:TUY720852 UEP720852:UEU720852 UOL720852:UOQ720852 UYH720852:UYM720852 VID720852:VII720852 VRZ720852:VSE720852 WBV720852:WCA720852 WLR720852:WLW720852 WVN720852:WVS720852 F786388:K786388 JB786388:JG786388 SX786388:TC786388 ACT786388:ACY786388 AMP786388:AMU786388 AWL786388:AWQ786388 BGH786388:BGM786388 BQD786388:BQI786388 BZZ786388:CAE786388 CJV786388:CKA786388 CTR786388:CTW786388 DDN786388:DDS786388 DNJ786388:DNO786388 DXF786388:DXK786388 EHB786388:EHG786388 EQX786388:ERC786388 FAT786388:FAY786388 FKP786388:FKU786388 FUL786388:FUQ786388 GEH786388:GEM786388 GOD786388:GOI786388 GXZ786388:GYE786388 HHV786388:HIA786388 HRR786388:HRW786388 IBN786388:IBS786388 ILJ786388:ILO786388 IVF786388:IVK786388 JFB786388:JFG786388 JOX786388:JPC786388 JYT786388:JYY786388 KIP786388:KIU786388 KSL786388:KSQ786388 LCH786388:LCM786388 LMD786388:LMI786388 LVZ786388:LWE786388 MFV786388:MGA786388 MPR786388:MPW786388 MZN786388:MZS786388 NJJ786388:NJO786388 NTF786388:NTK786388 ODB786388:ODG786388 OMX786388:ONC786388 OWT786388:OWY786388 PGP786388:PGU786388 PQL786388:PQQ786388 QAH786388:QAM786388 QKD786388:QKI786388 QTZ786388:QUE786388 RDV786388:REA786388 RNR786388:RNW786388 RXN786388:RXS786388 SHJ786388:SHO786388 SRF786388:SRK786388 TBB786388:TBG786388 TKX786388:TLC786388 TUT786388:TUY786388 UEP786388:UEU786388 UOL786388:UOQ786388 UYH786388:UYM786388 VID786388:VII786388 VRZ786388:VSE786388 WBV786388:WCA786388 WLR786388:WLW786388 WVN786388:WVS786388 F851924:K851924 JB851924:JG851924 SX851924:TC851924 ACT851924:ACY851924 AMP851924:AMU851924 AWL851924:AWQ851924 BGH851924:BGM851924 BQD851924:BQI851924 BZZ851924:CAE851924 CJV851924:CKA851924 CTR851924:CTW851924 DDN851924:DDS851924 DNJ851924:DNO851924 DXF851924:DXK851924 EHB851924:EHG851924 EQX851924:ERC851924 FAT851924:FAY851924 FKP851924:FKU851924 FUL851924:FUQ851924 GEH851924:GEM851924 GOD851924:GOI851924 GXZ851924:GYE851924 HHV851924:HIA851924 HRR851924:HRW851924 IBN851924:IBS851924 ILJ851924:ILO851924 IVF851924:IVK851924 JFB851924:JFG851924 JOX851924:JPC851924 JYT851924:JYY851924 KIP851924:KIU851924 KSL851924:KSQ851924 LCH851924:LCM851924 LMD851924:LMI851924 LVZ851924:LWE851924 MFV851924:MGA851924 MPR851924:MPW851924 MZN851924:MZS851924 NJJ851924:NJO851924 NTF851924:NTK851924 ODB851924:ODG851924 OMX851924:ONC851924 OWT851924:OWY851924 PGP851924:PGU851924 PQL851924:PQQ851924 QAH851924:QAM851924 QKD851924:QKI851924 QTZ851924:QUE851924 RDV851924:REA851924 RNR851924:RNW851924 RXN851924:RXS851924 SHJ851924:SHO851924 SRF851924:SRK851924 TBB851924:TBG851924 TKX851924:TLC851924 TUT851924:TUY851924 UEP851924:UEU851924 UOL851924:UOQ851924 UYH851924:UYM851924 VID851924:VII851924 VRZ851924:VSE851924 WBV851924:WCA851924 WLR851924:WLW851924 WVN851924:WVS851924 F917460:K917460 JB917460:JG917460 SX917460:TC917460 ACT917460:ACY917460 AMP917460:AMU917460 AWL917460:AWQ917460 BGH917460:BGM917460 BQD917460:BQI917460 BZZ917460:CAE917460 CJV917460:CKA917460 CTR917460:CTW917460 DDN917460:DDS917460 DNJ917460:DNO917460 DXF917460:DXK917460 EHB917460:EHG917460 EQX917460:ERC917460 FAT917460:FAY917460 FKP917460:FKU917460 FUL917460:FUQ917460 GEH917460:GEM917460 GOD917460:GOI917460 GXZ917460:GYE917460 HHV917460:HIA917460 HRR917460:HRW917460 IBN917460:IBS917460 ILJ917460:ILO917460 IVF917460:IVK917460 JFB917460:JFG917460 JOX917460:JPC917460 JYT917460:JYY917460 KIP917460:KIU917460 KSL917460:KSQ917460 LCH917460:LCM917460 LMD917460:LMI917460 LVZ917460:LWE917460 MFV917460:MGA917460 MPR917460:MPW917460 MZN917460:MZS917460 NJJ917460:NJO917460 NTF917460:NTK917460 ODB917460:ODG917460 OMX917460:ONC917460 OWT917460:OWY917460 PGP917460:PGU917460 PQL917460:PQQ917460 QAH917460:QAM917460 QKD917460:QKI917460 QTZ917460:QUE917460 RDV917460:REA917460 RNR917460:RNW917460 RXN917460:RXS917460 SHJ917460:SHO917460 SRF917460:SRK917460 TBB917460:TBG917460 TKX917460:TLC917460 TUT917460:TUY917460 UEP917460:UEU917460 UOL917460:UOQ917460 UYH917460:UYM917460 VID917460:VII917460 VRZ917460:VSE917460 WBV917460:WCA917460 WLR917460:WLW917460 WVN917460:WVS917460 F982996:K982996 JB982996:JG982996 SX982996:TC982996 ACT982996:ACY982996 AMP982996:AMU982996 AWL982996:AWQ982996 BGH982996:BGM982996 BQD982996:BQI982996 BZZ982996:CAE982996 CJV982996:CKA982996 CTR982996:CTW982996 DDN982996:DDS982996 DNJ982996:DNO982996 DXF982996:DXK982996 EHB982996:EHG982996 EQX982996:ERC982996 FAT982996:FAY982996 FKP982996:FKU982996 FUL982996:FUQ982996 GEH982996:GEM982996 GOD982996:GOI982996 GXZ982996:GYE982996 HHV982996:HIA982996 HRR982996:HRW982996 IBN982996:IBS982996 ILJ982996:ILO982996 IVF982996:IVK982996 JFB982996:JFG982996 JOX982996:JPC982996 JYT982996:JYY982996 KIP982996:KIU982996 KSL982996:KSQ982996 LCH982996:LCM982996 LMD982996:LMI982996 LVZ982996:LWE982996 MFV982996:MGA982996 MPR982996:MPW982996 MZN982996:MZS982996 NJJ982996:NJO982996 NTF982996:NTK982996 ODB982996:ODG982996 OMX982996:ONC982996 OWT982996:OWY982996 PGP982996:PGU982996 PQL982996:PQQ982996 QAH982996:QAM982996 QKD982996:QKI982996 QTZ982996:QUE982996 RDV982996:REA982996 RNR982996:RNW982996 RXN982996:RXS982996 SHJ982996:SHO982996 SRF982996:SRK982996 TBB982996:TBG982996 TKX982996:TLC982996 TUT982996:TUY982996 UEP982996:UEU982996 UOL982996:UOQ982996 UYH982996:UYM982996 VID982996:VII982996 VRZ982996:VSE982996 WBV982996:WCA982996 WLR982996:WLW982996 WVN982996:WVS982996">
      <formula1>$Q$3:$Q$8</formula1>
    </dataValidation>
    <dataValidation type="list" allowBlank="1" showInputMessage="1" showErrorMessage="1" sqref="WVJ983005:WVJ983010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501:B65506 IX65501:IX65506 ST65501:ST65506 ACP65501:ACP65506 AML65501:AML65506 AWH65501:AWH65506 BGD65501:BGD65506 BPZ65501:BPZ65506 BZV65501:BZV65506 CJR65501:CJR65506 CTN65501:CTN65506 DDJ65501:DDJ65506 DNF65501:DNF65506 DXB65501:DXB65506 EGX65501:EGX65506 EQT65501:EQT65506 FAP65501:FAP65506 FKL65501:FKL65506 FUH65501:FUH65506 GED65501:GED65506 GNZ65501:GNZ65506 GXV65501:GXV65506 HHR65501:HHR65506 HRN65501:HRN65506 IBJ65501:IBJ65506 ILF65501:ILF65506 IVB65501:IVB65506 JEX65501:JEX65506 JOT65501:JOT65506 JYP65501:JYP65506 KIL65501:KIL65506 KSH65501:KSH65506 LCD65501:LCD65506 LLZ65501:LLZ65506 LVV65501:LVV65506 MFR65501:MFR65506 MPN65501:MPN65506 MZJ65501:MZJ65506 NJF65501:NJF65506 NTB65501:NTB65506 OCX65501:OCX65506 OMT65501:OMT65506 OWP65501:OWP65506 PGL65501:PGL65506 PQH65501:PQH65506 QAD65501:QAD65506 QJZ65501:QJZ65506 QTV65501:QTV65506 RDR65501:RDR65506 RNN65501:RNN65506 RXJ65501:RXJ65506 SHF65501:SHF65506 SRB65501:SRB65506 TAX65501:TAX65506 TKT65501:TKT65506 TUP65501:TUP65506 UEL65501:UEL65506 UOH65501:UOH65506 UYD65501:UYD65506 VHZ65501:VHZ65506 VRV65501:VRV65506 WBR65501:WBR65506 WLN65501:WLN65506 WVJ65501:WVJ65506 B131037:B131042 IX131037:IX131042 ST131037:ST131042 ACP131037:ACP131042 AML131037:AML131042 AWH131037:AWH131042 BGD131037:BGD131042 BPZ131037:BPZ131042 BZV131037:BZV131042 CJR131037:CJR131042 CTN131037:CTN131042 DDJ131037:DDJ131042 DNF131037:DNF131042 DXB131037:DXB131042 EGX131037:EGX131042 EQT131037:EQT131042 FAP131037:FAP131042 FKL131037:FKL131042 FUH131037:FUH131042 GED131037:GED131042 GNZ131037:GNZ131042 GXV131037:GXV131042 HHR131037:HHR131042 HRN131037:HRN131042 IBJ131037:IBJ131042 ILF131037:ILF131042 IVB131037:IVB131042 JEX131037:JEX131042 JOT131037:JOT131042 JYP131037:JYP131042 KIL131037:KIL131042 KSH131037:KSH131042 LCD131037:LCD131042 LLZ131037:LLZ131042 LVV131037:LVV131042 MFR131037:MFR131042 MPN131037:MPN131042 MZJ131037:MZJ131042 NJF131037:NJF131042 NTB131037:NTB131042 OCX131037:OCX131042 OMT131037:OMT131042 OWP131037:OWP131042 PGL131037:PGL131042 PQH131037:PQH131042 QAD131037:QAD131042 QJZ131037:QJZ131042 QTV131037:QTV131042 RDR131037:RDR131042 RNN131037:RNN131042 RXJ131037:RXJ131042 SHF131037:SHF131042 SRB131037:SRB131042 TAX131037:TAX131042 TKT131037:TKT131042 TUP131037:TUP131042 UEL131037:UEL131042 UOH131037:UOH131042 UYD131037:UYD131042 VHZ131037:VHZ131042 VRV131037:VRV131042 WBR131037:WBR131042 WLN131037:WLN131042 WVJ131037:WVJ131042 B196573:B196578 IX196573:IX196578 ST196573:ST196578 ACP196573:ACP196578 AML196573:AML196578 AWH196573:AWH196578 BGD196573:BGD196578 BPZ196573:BPZ196578 BZV196573:BZV196578 CJR196573:CJR196578 CTN196573:CTN196578 DDJ196573:DDJ196578 DNF196573:DNF196578 DXB196573:DXB196578 EGX196573:EGX196578 EQT196573:EQT196578 FAP196573:FAP196578 FKL196573:FKL196578 FUH196573:FUH196578 GED196573:GED196578 GNZ196573:GNZ196578 GXV196573:GXV196578 HHR196573:HHR196578 HRN196573:HRN196578 IBJ196573:IBJ196578 ILF196573:ILF196578 IVB196573:IVB196578 JEX196573:JEX196578 JOT196573:JOT196578 JYP196573:JYP196578 KIL196573:KIL196578 KSH196573:KSH196578 LCD196573:LCD196578 LLZ196573:LLZ196578 LVV196573:LVV196578 MFR196573:MFR196578 MPN196573:MPN196578 MZJ196573:MZJ196578 NJF196573:NJF196578 NTB196573:NTB196578 OCX196573:OCX196578 OMT196573:OMT196578 OWP196573:OWP196578 PGL196573:PGL196578 PQH196573:PQH196578 QAD196573:QAD196578 QJZ196573:QJZ196578 QTV196573:QTV196578 RDR196573:RDR196578 RNN196573:RNN196578 RXJ196573:RXJ196578 SHF196573:SHF196578 SRB196573:SRB196578 TAX196573:TAX196578 TKT196573:TKT196578 TUP196573:TUP196578 UEL196573:UEL196578 UOH196573:UOH196578 UYD196573:UYD196578 VHZ196573:VHZ196578 VRV196573:VRV196578 WBR196573:WBR196578 WLN196573:WLN196578 WVJ196573:WVJ196578 B262109:B262114 IX262109:IX262114 ST262109:ST262114 ACP262109:ACP262114 AML262109:AML262114 AWH262109:AWH262114 BGD262109:BGD262114 BPZ262109:BPZ262114 BZV262109:BZV262114 CJR262109:CJR262114 CTN262109:CTN262114 DDJ262109:DDJ262114 DNF262109:DNF262114 DXB262109:DXB262114 EGX262109:EGX262114 EQT262109:EQT262114 FAP262109:FAP262114 FKL262109:FKL262114 FUH262109:FUH262114 GED262109:GED262114 GNZ262109:GNZ262114 GXV262109:GXV262114 HHR262109:HHR262114 HRN262109:HRN262114 IBJ262109:IBJ262114 ILF262109:ILF262114 IVB262109:IVB262114 JEX262109:JEX262114 JOT262109:JOT262114 JYP262109:JYP262114 KIL262109:KIL262114 KSH262109:KSH262114 LCD262109:LCD262114 LLZ262109:LLZ262114 LVV262109:LVV262114 MFR262109:MFR262114 MPN262109:MPN262114 MZJ262109:MZJ262114 NJF262109:NJF262114 NTB262109:NTB262114 OCX262109:OCX262114 OMT262109:OMT262114 OWP262109:OWP262114 PGL262109:PGL262114 PQH262109:PQH262114 QAD262109:QAD262114 QJZ262109:QJZ262114 QTV262109:QTV262114 RDR262109:RDR262114 RNN262109:RNN262114 RXJ262109:RXJ262114 SHF262109:SHF262114 SRB262109:SRB262114 TAX262109:TAX262114 TKT262109:TKT262114 TUP262109:TUP262114 UEL262109:UEL262114 UOH262109:UOH262114 UYD262109:UYD262114 VHZ262109:VHZ262114 VRV262109:VRV262114 WBR262109:WBR262114 WLN262109:WLN262114 WVJ262109:WVJ262114 B327645:B327650 IX327645:IX327650 ST327645:ST327650 ACP327645:ACP327650 AML327645:AML327650 AWH327645:AWH327650 BGD327645:BGD327650 BPZ327645:BPZ327650 BZV327645:BZV327650 CJR327645:CJR327650 CTN327645:CTN327650 DDJ327645:DDJ327650 DNF327645:DNF327650 DXB327645:DXB327650 EGX327645:EGX327650 EQT327645:EQT327650 FAP327645:FAP327650 FKL327645:FKL327650 FUH327645:FUH327650 GED327645:GED327650 GNZ327645:GNZ327650 GXV327645:GXV327650 HHR327645:HHR327650 HRN327645:HRN327650 IBJ327645:IBJ327650 ILF327645:ILF327650 IVB327645:IVB327650 JEX327645:JEX327650 JOT327645:JOT327650 JYP327645:JYP327650 KIL327645:KIL327650 KSH327645:KSH327650 LCD327645:LCD327650 LLZ327645:LLZ327650 LVV327645:LVV327650 MFR327645:MFR327650 MPN327645:MPN327650 MZJ327645:MZJ327650 NJF327645:NJF327650 NTB327645:NTB327650 OCX327645:OCX327650 OMT327645:OMT327650 OWP327645:OWP327650 PGL327645:PGL327650 PQH327645:PQH327650 QAD327645:QAD327650 QJZ327645:QJZ327650 QTV327645:QTV327650 RDR327645:RDR327650 RNN327645:RNN327650 RXJ327645:RXJ327650 SHF327645:SHF327650 SRB327645:SRB327650 TAX327645:TAX327650 TKT327645:TKT327650 TUP327645:TUP327650 UEL327645:UEL327650 UOH327645:UOH327650 UYD327645:UYD327650 VHZ327645:VHZ327650 VRV327645:VRV327650 WBR327645:WBR327650 WLN327645:WLN327650 WVJ327645:WVJ327650 B393181:B393186 IX393181:IX393186 ST393181:ST393186 ACP393181:ACP393186 AML393181:AML393186 AWH393181:AWH393186 BGD393181:BGD393186 BPZ393181:BPZ393186 BZV393181:BZV393186 CJR393181:CJR393186 CTN393181:CTN393186 DDJ393181:DDJ393186 DNF393181:DNF393186 DXB393181:DXB393186 EGX393181:EGX393186 EQT393181:EQT393186 FAP393181:FAP393186 FKL393181:FKL393186 FUH393181:FUH393186 GED393181:GED393186 GNZ393181:GNZ393186 GXV393181:GXV393186 HHR393181:HHR393186 HRN393181:HRN393186 IBJ393181:IBJ393186 ILF393181:ILF393186 IVB393181:IVB393186 JEX393181:JEX393186 JOT393181:JOT393186 JYP393181:JYP393186 KIL393181:KIL393186 KSH393181:KSH393186 LCD393181:LCD393186 LLZ393181:LLZ393186 LVV393181:LVV393186 MFR393181:MFR393186 MPN393181:MPN393186 MZJ393181:MZJ393186 NJF393181:NJF393186 NTB393181:NTB393186 OCX393181:OCX393186 OMT393181:OMT393186 OWP393181:OWP393186 PGL393181:PGL393186 PQH393181:PQH393186 QAD393181:QAD393186 QJZ393181:QJZ393186 QTV393181:QTV393186 RDR393181:RDR393186 RNN393181:RNN393186 RXJ393181:RXJ393186 SHF393181:SHF393186 SRB393181:SRB393186 TAX393181:TAX393186 TKT393181:TKT393186 TUP393181:TUP393186 UEL393181:UEL393186 UOH393181:UOH393186 UYD393181:UYD393186 VHZ393181:VHZ393186 VRV393181:VRV393186 WBR393181:WBR393186 WLN393181:WLN393186 WVJ393181:WVJ393186 B458717:B458722 IX458717:IX458722 ST458717:ST458722 ACP458717:ACP458722 AML458717:AML458722 AWH458717:AWH458722 BGD458717:BGD458722 BPZ458717:BPZ458722 BZV458717:BZV458722 CJR458717:CJR458722 CTN458717:CTN458722 DDJ458717:DDJ458722 DNF458717:DNF458722 DXB458717:DXB458722 EGX458717:EGX458722 EQT458717:EQT458722 FAP458717:FAP458722 FKL458717:FKL458722 FUH458717:FUH458722 GED458717:GED458722 GNZ458717:GNZ458722 GXV458717:GXV458722 HHR458717:HHR458722 HRN458717:HRN458722 IBJ458717:IBJ458722 ILF458717:ILF458722 IVB458717:IVB458722 JEX458717:JEX458722 JOT458717:JOT458722 JYP458717:JYP458722 KIL458717:KIL458722 KSH458717:KSH458722 LCD458717:LCD458722 LLZ458717:LLZ458722 LVV458717:LVV458722 MFR458717:MFR458722 MPN458717:MPN458722 MZJ458717:MZJ458722 NJF458717:NJF458722 NTB458717:NTB458722 OCX458717:OCX458722 OMT458717:OMT458722 OWP458717:OWP458722 PGL458717:PGL458722 PQH458717:PQH458722 QAD458717:QAD458722 QJZ458717:QJZ458722 QTV458717:QTV458722 RDR458717:RDR458722 RNN458717:RNN458722 RXJ458717:RXJ458722 SHF458717:SHF458722 SRB458717:SRB458722 TAX458717:TAX458722 TKT458717:TKT458722 TUP458717:TUP458722 UEL458717:UEL458722 UOH458717:UOH458722 UYD458717:UYD458722 VHZ458717:VHZ458722 VRV458717:VRV458722 WBR458717:WBR458722 WLN458717:WLN458722 WVJ458717:WVJ458722 B524253:B524258 IX524253:IX524258 ST524253:ST524258 ACP524253:ACP524258 AML524253:AML524258 AWH524253:AWH524258 BGD524253:BGD524258 BPZ524253:BPZ524258 BZV524253:BZV524258 CJR524253:CJR524258 CTN524253:CTN524258 DDJ524253:DDJ524258 DNF524253:DNF524258 DXB524253:DXB524258 EGX524253:EGX524258 EQT524253:EQT524258 FAP524253:FAP524258 FKL524253:FKL524258 FUH524253:FUH524258 GED524253:GED524258 GNZ524253:GNZ524258 GXV524253:GXV524258 HHR524253:HHR524258 HRN524253:HRN524258 IBJ524253:IBJ524258 ILF524253:ILF524258 IVB524253:IVB524258 JEX524253:JEX524258 JOT524253:JOT524258 JYP524253:JYP524258 KIL524253:KIL524258 KSH524253:KSH524258 LCD524253:LCD524258 LLZ524253:LLZ524258 LVV524253:LVV524258 MFR524253:MFR524258 MPN524253:MPN524258 MZJ524253:MZJ524258 NJF524253:NJF524258 NTB524253:NTB524258 OCX524253:OCX524258 OMT524253:OMT524258 OWP524253:OWP524258 PGL524253:PGL524258 PQH524253:PQH524258 QAD524253:QAD524258 QJZ524253:QJZ524258 QTV524253:QTV524258 RDR524253:RDR524258 RNN524253:RNN524258 RXJ524253:RXJ524258 SHF524253:SHF524258 SRB524253:SRB524258 TAX524253:TAX524258 TKT524253:TKT524258 TUP524253:TUP524258 UEL524253:UEL524258 UOH524253:UOH524258 UYD524253:UYD524258 VHZ524253:VHZ524258 VRV524253:VRV524258 WBR524253:WBR524258 WLN524253:WLN524258 WVJ524253:WVJ524258 B589789:B589794 IX589789:IX589794 ST589789:ST589794 ACP589789:ACP589794 AML589789:AML589794 AWH589789:AWH589794 BGD589789:BGD589794 BPZ589789:BPZ589794 BZV589789:BZV589794 CJR589789:CJR589794 CTN589789:CTN589794 DDJ589789:DDJ589794 DNF589789:DNF589794 DXB589789:DXB589794 EGX589789:EGX589794 EQT589789:EQT589794 FAP589789:FAP589794 FKL589789:FKL589794 FUH589789:FUH589794 GED589789:GED589794 GNZ589789:GNZ589794 GXV589789:GXV589794 HHR589789:HHR589794 HRN589789:HRN589794 IBJ589789:IBJ589794 ILF589789:ILF589794 IVB589789:IVB589794 JEX589789:JEX589794 JOT589789:JOT589794 JYP589789:JYP589794 KIL589789:KIL589794 KSH589789:KSH589794 LCD589789:LCD589794 LLZ589789:LLZ589794 LVV589789:LVV589794 MFR589789:MFR589794 MPN589789:MPN589794 MZJ589789:MZJ589794 NJF589789:NJF589794 NTB589789:NTB589794 OCX589789:OCX589794 OMT589789:OMT589794 OWP589789:OWP589794 PGL589789:PGL589794 PQH589789:PQH589794 QAD589789:QAD589794 QJZ589789:QJZ589794 QTV589789:QTV589794 RDR589789:RDR589794 RNN589789:RNN589794 RXJ589789:RXJ589794 SHF589789:SHF589794 SRB589789:SRB589794 TAX589789:TAX589794 TKT589789:TKT589794 TUP589789:TUP589794 UEL589789:UEL589794 UOH589789:UOH589794 UYD589789:UYD589794 VHZ589789:VHZ589794 VRV589789:VRV589794 WBR589789:WBR589794 WLN589789:WLN589794 WVJ589789:WVJ589794 B655325:B655330 IX655325:IX655330 ST655325:ST655330 ACP655325:ACP655330 AML655325:AML655330 AWH655325:AWH655330 BGD655325:BGD655330 BPZ655325:BPZ655330 BZV655325:BZV655330 CJR655325:CJR655330 CTN655325:CTN655330 DDJ655325:DDJ655330 DNF655325:DNF655330 DXB655325:DXB655330 EGX655325:EGX655330 EQT655325:EQT655330 FAP655325:FAP655330 FKL655325:FKL655330 FUH655325:FUH655330 GED655325:GED655330 GNZ655325:GNZ655330 GXV655325:GXV655330 HHR655325:HHR655330 HRN655325:HRN655330 IBJ655325:IBJ655330 ILF655325:ILF655330 IVB655325:IVB655330 JEX655325:JEX655330 JOT655325:JOT655330 JYP655325:JYP655330 KIL655325:KIL655330 KSH655325:KSH655330 LCD655325:LCD655330 LLZ655325:LLZ655330 LVV655325:LVV655330 MFR655325:MFR655330 MPN655325:MPN655330 MZJ655325:MZJ655330 NJF655325:NJF655330 NTB655325:NTB655330 OCX655325:OCX655330 OMT655325:OMT655330 OWP655325:OWP655330 PGL655325:PGL655330 PQH655325:PQH655330 QAD655325:QAD655330 QJZ655325:QJZ655330 QTV655325:QTV655330 RDR655325:RDR655330 RNN655325:RNN655330 RXJ655325:RXJ655330 SHF655325:SHF655330 SRB655325:SRB655330 TAX655325:TAX655330 TKT655325:TKT655330 TUP655325:TUP655330 UEL655325:UEL655330 UOH655325:UOH655330 UYD655325:UYD655330 VHZ655325:VHZ655330 VRV655325:VRV655330 WBR655325:WBR655330 WLN655325:WLN655330 WVJ655325:WVJ655330 B720861:B720866 IX720861:IX720866 ST720861:ST720866 ACP720861:ACP720866 AML720861:AML720866 AWH720861:AWH720866 BGD720861:BGD720866 BPZ720861:BPZ720866 BZV720861:BZV720866 CJR720861:CJR720866 CTN720861:CTN720866 DDJ720861:DDJ720866 DNF720861:DNF720866 DXB720861:DXB720866 EGX720861:EGX720866 EQT720861:EQT720866 FAP720861:FAP720866 FKL720861:FKL720866 FUH720861:FUH720866 GED720861:GED720866 GNZ720861:GNZ720866 GXV720861:GXV720866 HHR720861:HHR720866 HRN720861:HRN720866 IBJ720861:IBJ720866 ILF720861:ILF720866 IVB720861:IVB720866 JEX720861:JEX720866 JOT720861:JOT720866 JYP720861:JYP720866 KIL720861:KIL720866 KSH720861:KSH720866 LCD720861:LCD720866 LLZ720861:LLZ720866 LVV720861:LVV720866 MFR720861:MFR720866 MPN720861:MPN720866 MZJ720861:MZJ720866 NJF720861:NJF720866 NTB720861:NTB720866 OCX720861:OCX720866 OMT720861:OMT720866 OWP720861:OWP720866 PGL720861:PGL720866 PQH720861:PQH720866 QAD720861:QAD720866 QJZ720861:QJZ720866 QTV720861:QTV720866 RDR720861:RDR720866 RNN720861:RNN720866 RXJ720861:RXJ720866 SHF720861:SHF720866 SRB720861:SRB720866 TAX720861:TAX720866 TKT720861:TKT720866 TUP720861:TUP720866 UEL720861:UEL720866 UOH720861:UOH720866 UYD720861:UYD720866 VHZ720861:VHZ720866 VRV720861:VRV720866 WBR720861:WBR720866 WLN720861:WLN720866 WVJ720861:WVJ720866 B786397:B786402 IX786397:IX786402 ST786397:ST786402 ACP786397:ACP786402 AML786397:AML786402 AWH786397:AWH786402 BGD786397:BGD786402 BPZ786397:BPZ786402 BZV786397:BZV786402 CJR786397:CJR786402 CTN786397:CTN786402 DDJ786397:DDJ786402 DNF786397:DNF786402 DXB786397:DXB786402 EGX786397:EGX786402 EQT786397:EQT786402 FAP786397:FAP786402 FKL786397:FKL786402 FUH786397:FUH786402 GED786397:GED786402 GNZ786397:GNZ786402 GXV786397:GXV786402 HHR786397:HHR786402 HRN786397:HRN786402 IBJ786397:IBJ786402 ILF786397:ILF786402 IVB786397:IVB786402 JEX786397:JEX786402 JOT786397:JOT786402 JYP786397:JYP786402 KIL786397:KIL786402 KSH786397:KSH786402 LCD786397:LCD786402 LLZ786397:LLZ786402 LVV786397:LVV786402 MFR786397:MFR786402 MPN786397:MPN786402 MZJ786397:MZJ786402 NJF786397:NJF786402 NTB786397:NTB786402 OCX786397:OCX786402 OMT786397:OMT786402 OWP786397:OWP786402 PGL786397:PGL786402 PQH786397:PQH786402 QAD786397:QAD786402 QJZ786397:QJZ786402 QTV786397:QTV786402 RDR786397:RDR786402 RNN786397:RNN786402 RXJ786397:RXJ786402 SHF786397:SHF786402 SRB786397:SRB786402 TAX786397:TAX786402 TKT786397:TKT786402 TUP786397:TUP786402 UEL786397:UEL786402 UOH786397:UOH786402 UYD786397:UYD786402 VHZ786397:VHZ786402 VRV786397:VRV786402 WBR786397:WBR786402 WLN786397:WLN786402 WVJ786397:WVJ786402 B851933:B851938 IX851933:IX851938 ST851933:ST851938 ACP851933:ACP851938 AML851933:AML851938 AWH851933:AWH851938 BGD851933:BGD851938 BPZ851933:BPZ851938 BZV851933:BZV851938 CJR851933:CJR851938 CTN851933:CTN851938 DDJ851933:DDJ851938 DNF851933:DNF851938 DXB851933:DXB851938 EGX851933:EGX851938 EQT851933:EQT851938 FAP851933:FAP851938 FKL851933:FKL851938 FUH851933:FUH851938 GED851933:GED851938 GNZ851933:GNZ851938 GXV851933:GXV851938 HHR851933:HHR851938 HRN851933:HRN851938 IBJ851933:IBJ851938 ILF851933:ILF851938 IVB851933:IVB851938 JEX851933:JEX851938 JOT851933:JOT851938 JYP851933:JYP851938 KIL851933:KIL851938 KSH851933:KSH851938 LCD851933:LCD851938 LLZ851933:LLZ851938 LVV851933:LVV851938 MFR851933:MFR851938 MPN851933:MPN851938 MZJ851933:MZJ851938 NJF851933:NJF851938 NTB851933:NTB851938 OCX851933:OCX851938 OMT851933:OMT851938 OWP851933:OWP851938 PGL851933:PGL851938 PQH851933:PQH851938 QAD851933:QAD851938 QJZ851933:QJZ851938 QTV851933:QTV851938 RDR851933:RDR851938 RNN851933:RNN851938 RXJ851933:RXJ851938 SHF851933:SHF851938 SRB851933:SRB851938 TAX851933:TAX851938 TKT851933:TKT851938 TUP851933:TUP851938 UEL851933:UEL851938 UOH851933:UOH851938 UYD851933:UYD851938 VHZ851933:VHZ851938 VRV851933:VRV851938 WBR851933:WBR851938 WLN851933:WLN851938 WVJ851933:WVJ851938 B917469:B917474 IX917469:IX917474 ST917469:ST917474 ACP917469:ACP917474 AML917469:AML917474 AWH917469:AWH917474 BGD917469:BGD917474 BPZ917469:BPZ917474 BZV917469:BZV917474 CJR917469:CJR917474 CTN917469:CTN917474 DDJ917469:DDJ917474 DNF917469:DNF917474 DXB917469:DXB917474 EGX917469:EGX917474 EQT917469:EQT917474 FAP917469:FAP917474 FKL917469:FKL917474 FUH917469:FUH917474 GED917469:GED917474 GNZ917469:GNZ917474 GXV917469:GXV917474 HHR917469:HHR917474 HRN917469:HRN917474 IBJ917469:IBJ917474 ILF917469:ILF917474 IVB917469:IVB917474 JEX917469:JEX917474 JOT917469:JOT917474 JYP917469:JYP917474 KIL917469:KIL917474 KSH917469:KSH917474 LCD917469:LCD917474 LLZ917469:LLZ917474 LVV917469:LVV917474 MFR917469:MFR917474 MPN917469:MPN917474 MZJ917469:MZJ917474 NJF917469:NJF917474 NTB917469:NTB917474 OCX917469:OCX917474 OMT917469:OMT917474 OWP917469:OWP917474 PGL917469:PGL917474 PQH917469:PQH917474 QAD917469:QAD917474 QJZ917469:QJZ917474 QTV917469:QTV917474 RDR917469:RDR917474 RNN917469:RNN917474 RXJ917469:RXJ917474 SHF917469:SHF917474 SRB917469:SRB917474 TAX917469:TAX917474 TKT917469:TKT917474 TUP917469:TUP917474 UEL917469:UEL917474 UOH917469:UOH917474 UYD917469:UYD917474 VHZ917469:VHZ917474 VRV917469:VRV917474 WBR917469:WBR917474 WLN917469:WLN917474 WVJ917469:WVJ917474 B983005:B983010 IX983005:IX983010 ST983005:ST983010 ACP983005:ACP983010 AML983005:AML983010 AWH983005:AWH983010 BGD983005:BGD983010 BPZ983005:BPZ983010 BZV983005:BZV983010 CJR983005:CJR983010 CTN983005:CTN983010 DDJ983005:DDJ983010 DNF983005:DNF983010 DXB983005:DXB983010 EGX983005:EGX983010 EQT983005:EQT983010 FAP983005:FAP983010 FKL983005:FKL983010 FUH983005:FUH983010 GED983005:GED983010 GNZ983005:GNZ983010 GXV983005:GXV983010 HHR983005:HHR983010 HRN983005:HRN983010 IBJ983005:IBJ983010 ILF983005:ILF983010 IVB983005:IVB983010 JEX983005:JEX983010 JOT983005:JOT983010 JYP983005:JYP983010 KIL983005:KIL983010 KSH983005:KSH983010 LCD983005:LCD983010 LLZ983005:LLZ983010 LVV983005:LVV983010 MFR983005:MFR983010 MPN983005:MPN983010 MZJ983005:MZJ983010 NJF983005:NJF983010 NTB983005:NTB983010 OCX983005:OCX983010 OMT983005:OMT983010 OWP983005:OWP983010 PGL983005:PGL983010 PQH983005:PQH983010 QAD983005:QAD983010 QJZ983005:QJZ983010 QTV983005:QTV983010 RDR983005:RDR983010 RNN983005:RNN983010 RXJ983005:RXJ983010 SHF983005:SHF983010 SRB983005:SRB983010 TAX983005:TAX983010 TKT983005:TKT983010 TUP983005:TUP983010 UEL983005:UEL983010 UOH983005:UOH983010 UYD983005:UYD983010 VHZ983005:VHZ983010 VRV983005:VRV983010 WBR983005:WBR983010 WLN983005:WLN98301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511:B65512 IX65511:IX65512 ST65511:ST65512 ACP65511:ACP65512 AML65511:AML65512 AWH65511:AWH65512 BGD65511:BGD65512 BPZ65511:BPZ65512 BZV65511:BZV65512 CJR65511:CJR65512 CTN65511:CTN65512 DDJ65511:DDJ65512 DNF65511:DNF65512 DXB65511:DXB65512 EGX65511:EGX65512 EQT65511:EQT65512 FAP65511:FAP65512 FKL65511:FKL65512 FUH65511:FUH65512 GED65511:GED65512 GNZ65511:GNZ65512 GXV65511:GXV65512 HHR65511:HHR65512 HRN65511:HRN65512 IBJ65511:IBJ65512 ILF65511:ILF65512 IVB65511:IVB65512 JEX65511:JEX65512 JOT65511:JOT65512 JYP65511:JYP65512 KIL65511:KIL65512 KSH65511:KSH65512 LCD65511:LCD65512 LLZ65511:LLZ65512 LVV65511:LVV65512 MFR65511:MFR65512 MPN65511:MPN65512 MZJ65511:MZJ65512 NJF65511:NJF65512 NTB65511:NTB65512 OCX65511:OCX65512 OMT65511:OMT65512 OWP65511:OWP65512 PGL65511:PGL65512 PQH65511:PQH65512 QAD65511:QAD65512 QJZ65511:QJZ65512 QTV65511:QTV65512 RDR65511:RDR65512 RNN65511:RNN65512 RXJ65511:RXJ65512 SHF65511:SHF65512 SRB65511:SRB65512 TAX65511:TAX65512 TKT65511:TKT65512 TUP65511:TUP65512 UEL65511:UEL65512 UOH65511:UOH65512 UYD65511:UYD65512 VHZ65511:VHZ65512 VRV65511:VRV65512 WBR65511:WBR65512 WLN65511:WLN65512 WVJ65511:WVJ65512 B131047:B131048 IX131047:IX131048 ST131047:ST131048 ACP131047:ACP131048 AML131047:AML131048 AWH131047:AWH131048 BGD131047:BGD131048 BPZ131047:BPZ131048 BZV131047:BZV131048 CJR131047:CJR131048 CTN131047:CTN131048 DDJ131047:DDJ131048 DNF131047:DNF131048 DXB131047:DXB131048 EGX131047:EGX131048 EQT131047:EQT131048 FAP131047:FAP131048 FKL131047:FKL131048 FUH131047:FUH131048 GED131047:GED131048 GNZ131047:GNZ131048 GXV131047:GXV131048 HHR131047:HHR131048 HRN131047:HRN131048 IBJ131047:IBJ131048 ILF131047:ILF131048 IVB131047:IVB131048 JEX131047:JEX131048 JOT131047:JOT131048 JYP131047:JYP131048 KIL131047:KIL131048 KSH131047:KSH131048 LCD131047:LCD131048 LLZ131047:LLZ131048 LVV131047:LVV131048 MFR131047:MFR131048 MPN131047:MPN131048 MZJ131047:MZJ131048 NJF131047:NJF131048 NTB131047:NTB131048 OCX131047:OCX131048 OMT131047:OMT131048 OWP131047:OWP131048 PGL131047:PGL131048 PQH131047:PQH131048 QAD131047:QAD131048 QJZ131047:QJZ131048 QTV131047:QTV131048 RDR131047:RDR131048 RNN131047:RNN131048 RXJ131047:RXJ131048 SHF131047:SHF131048 SRB131047:SRB131048 TAX131047:TAX131048 TKT131047:TKT131048 TUP131047:TUP131048 UEL131047:UEL131048 UOH131047:UOH131048 UYD131047:UYD131048 VHZ131047:VHZ131048 VRV131047:VRV131048 WBR131047:WBR131048 WLN131047:WLN131048 WVJ131047:WVJ131048 B196583:B196584 IX196583:IX196584 ST196583:ST196584 ACP196583:ACP196584 AML196583:AML196584 AWH196583:AWH196584 BGD196583:BGD196584 BPZ196583:BPZ196584 BZV196583:BZV196584 CJR196583:CJR196584 CTN196583:CTN196584 DDJ196583:DDJ196584 DNF196583:DNF196584 DXB196583:DXB196584 EGX196583:EGX196584 EQT196583:EQT196584 FAP196583:FAP196584 FKL196583:FKL196584 FUH196583:FUH196584 GED196583:GED196584 GNZ196583:GNZ196584 GXV196583:GXV196584 HHR196583:HHR196584 HRN196583:HRN196584 IBJ196583:IBJ196584 ILF196583:ILF196584 IVB196583:IVB196584 JEX196583:JEX196584 JOT196583:JOT196584 JYP196583:JYP196584 KIL196583:KIL196584 KSH196583:KSH196584 LCD196583:LCD196584 LLZ196583:LLZ196584 LVV196583:LVV196584 MFR196583:MFR196584 MPN196583:MPN196584 MZJ196583:MZJ196584 NJF196583:NJF196584 NTB196583:NTB196584 OCX196583:OCX196584 OMT196583:OMT196584 OWP196583:OWP196584 PGL196583:PGL196584 PQH196583:PQH196584 QAD196583:QAD196584 QJZ196583:QJZ196584 QTV196583:QTV196584 RDR196583:RDR196584 RNN196583:RNN196584 RXJ196583:RXJ196584 SHF196583:SHF196584 SRB196583:SRB196584 TAX196583:TAX196584 TKT196583:TKT196584 TUP196583:TUP196584 UEL196583:UEL196584 UOH196583:UOH196584 UYD196583:UYD196584 VHZ196583:VHZ196584 VRV196583:VRV196584 WBR196583:WBR196584 WLN196583:WLN196584 WVJ196583:WVJ196584 B262119:B262120 IX262119:IX262120 ST262119:ST262120 ACP262119:ACP262120 AML262119:AML262120 AWH262119:AWH262120 BGD262119:BGD262120 BPZ262119:BPZ262120 BZV262119:BZV262120 CJR262119:CJR262120 CTN262119:CTN262120 DDJ262119:DDJ262120 DNF262119:DNF262120 DXB262119:DXB262120 EGX262119:EGX262120 EQT262119:EQT262120 FAP262119:FAP262120 FKL262119:FKL262120 FUH262119:FUH262120 GED262119:GED262120 GNZ262119:GNZ262120 GXV262119:GXV262120 HHR262119:HHR262120 HRN262119:HRN262120 IBJ262119:IBJ262120 ILF262119:ILF262120 IVB262119:IVB262120 JEX262119:JEX262120 JOT262119:JOT262120 JYP262119:JYP262120 KIL262119:KIL262120 KSH262119:KSH262120 LCD262119:LCD262120 LLZ262119:LLZ262120 LVV262119:LVV262120 MFR262119:MFR262120 MPN262119:MPN262120 MZJ262119:MZJ262120 NJF262119:NJF262120 NTB262119:NTB262120 OCX262119:OCX262120 OMT262119:OMT262120 OWP262119:OWP262120 PGL262119:PGL262120 PQH262119:PQH262120 QAD262119:QAD262120 QJZ262119:QJZ262120 QTV262119:QTV262120 RDR262119:RDR262120 RNN262119:RNN262120 RXJ262119:RXJ262120 SHF262119:SHF262120 SRB262119:SRB262120 TAX262119:TAX262120 TKT262119:TKT262120 TUP262119:TUP262120 UEL262119:UEL262120 UOH262119:UOH262120 UYD262119:UYD262120 VHZ262119:VHZ262120 VRV262119:VRV262120 WBR262119:WBR262120 WLN262119:WLN262120 WVJ262119:WVJ262120 B327655:B327656 IX327655:IX327656 ST327655:ST327656 ACP327655:ACP327656 AML327655:AML327656 AWH327655:AWH327656 BGD327655:BGD327656 BPZ327655:BPZ327656 BZV327655:BZV327656 CJR327655:CJR327656 CTN327655:CTN327656 DDJ327655:DDJ327656 DNF327655:DNF327656 DXB327655:DXB327656 EGX327655:EGX327656 EQT327655:EQT327656 FAP327655:FAP327656 FKL327655:FKL327656 FUH327655:FUH327656 GED327655:GED327656 GNZ327655:GNZ327656 GXV327655:GXV327656 HHR327655:HHR327656 HRN327655:HRN327656 IBJ327655:IBJ327656 ILF327655:ILF327656 IVB327655:IVB327656 JEX327655:JEX327656 JOT327655:JOT327656 JYP327655:JYP327656 KIL327655:KIL327656 KSH327655:KSH327656 LCD327655:LCD327656 LLZ327655:LLZ327656 LVV327655:LVV327656 MFR327655:MFR327656 MPN327655:MPN327656 MZJ327655:MZJ327656 NJF327655:NJF327656 NTB327655:NTB327656 OCX327655:OCX327656 OMT327655:OMT327656 OWP327655:OWP327656 PGL327655:PGL327656 PQH327655:PQH327656 QAD327655:QAD327656 QJZ327655:QJZ327656 QTV327655:QTV327656 RDR327655:RDR327656 RNN327655:RNN327656 RXJ327655:RXJ327656 SHF327655:SHF327656 SRB327655:SRB327656 TAX327655:TAX327656 TKT327655:TKT327656 TUP327655:TUP327656 UEL327655:UEL327656 UOH327655:UOH327656 UYD327655:UYD327656 VHZ327655:VHZ327656 VRV327655:VRV327656 WBR327655:WBR327656 WLN327655:WLN327656 WVJ327655:WVJ327656 B393191:B393192 IX393191:IX393192 ST393191:ST393192 ACP393191:ACP393192 AML393191:AML393192 AWH393191:AWH393192 BGD393191:BGD393192 BPZ393191:BPZ393192 BZV393191:BZV393192 CJR393191:CJR393192 CTN393191:CTN393192 DDJ393191:DDJ393192 DNF393191:DNF393192 DXB393191:DXB393192 EGX393191:EGX393192 EQT393191:EQT393192 FAP393191:FAP393192 FKL393191:FKL393192 FUH393191:FUH393192 GED393191:GED393192 GNZ393191:GNZ393192 GXV393191:GXV393192 HHR393191:HHR393192 HRN393191:HRN393192 IBJ393191:IBJ393192 ILF393191:ILF393192 IVB393191:IVB393192 JEX393191:JEX393192 JOT393191:JOT393192 JYP393191:JYP393192 KIL393191:KIL393192 KSH393191:KSH393192 LCD393191:LCD393192 LLZ393191:LLZ393192 LVV393191:LVV393192 MFR393191:MFR393192 MPN393191:MPN393192 MZJ393191:MZJ393192 NJF393191:NJF393192 NTB393191:NTB393192 OCX393191:OCX393192 OMT393191:OMT393192 OWP393191:OWP393192 PGL393191:PGL393192 PQH393191:PQH393192 QAD393191:QAD393192 QJZ393191:QJZ393192 QTV393191:QTV393192 RDR393191:RDR393192 RNN393191:RNN393192 RXJ393191:RXJ393192 SHF393191:SHF393192 SRB393191:SRB393192 TAX393191:TAX393192 TKT393191:TKT393192 TUP393191:TUP393192 UEL393191:UEL393192 UOH393191:UOH393192 UYD393191:UYD393192 VHZ393191:VHZ393192 VRV393191:VRV393192 WBR393191:WBR393192 WLN393191:WLN393192 WVJ393191:WVJ393192 B458727:B458728 IX458727:IX458728 ST458727:ST458728 ACP458727:ACP458728 AML458727:AML458728 AWH458727:AWH458728 BGD458727:BGD458728 BPZ458727:BPZ458728 BZV458727:BZV458728 CJR458727:CJR458728 CTN458727:CTN458728 DDJ458727:DDJ458728 DNF458727:DNF458728 DXB458727:DXB458728 EGX458727:EGX458728 EQT458727:EQT458728 FAP458727:FAP458728 FKL458727:FKL458728 FUH458727:FUH458728 GED458727:GED458728 GNZ458727:GNZ458728 GXV458727:GXV458728 HHR458727:HHR458728 HRN458727:HRN458728 IBJ458727:IBJ458728 ILF458727:ILF458728 IVB458727:IVB458728 JEX458727:JEX458728 JOT458727:JOT458728 JYP458727:JYP458728 KIL458727:KIL458728 KSH458727:KSH458728 LCD458727:LCD458728 LLZ458727:LLZ458728 LVV458727:LVV458728 MFR458727:MFR458728 MPN458727:MPN458728 MZJ458727:MZJ458728 NJF458727:NJF458728 NTB458727:NTB458728 OCX458727:OCX458728 OMT458727:OMT458728 OWP458727:OWP458728 PGL458727:PGL458728 PQH458727:PQH458728 QAD458727:QAD458728 QJZ458727:QJZ458728 QTV458727:QTV458728 RDR458727:RDR458728 RNN458727:RNN458728 RXJ458727:RXJ458728 SHF458727:SHF458728 SRB458727:SRB458728 TAX458727:TAX458728 TKT458727:TKT458728 TUP458727:TUP458728 UEL458727:UEL458728 UOH458727:UOH458728 UYD458727:UYD458728 VHZ458727:VHZ458728 VRV458727:VRV458728 WBR458727:WBR458728 WLN458727:WLN458728 WVJ458727:WVJ458728 B524263:B524264 IX524263:IX524264 ST524263:ST524264 ACP524263:ACP524264 AML524263:AML524264 AWH524263:AWH524264 BGD524263:BGD524264 BPZ524263:BPZ524264 BZV524263:BZV524264 CJR524263:CJR524264 CTN524263:CTN524264 DDJ524263:DDJ524264 DNF524263:DNF524264 DXB524263:DXB524264 EGX524263:EGX524264 EQT524263:EQT524264 FAP524263:FAP524264 FKL524263:FKL524264 FUH524263:FUH524264 GED524263:GED524264 GNZ524263:GNZ524264 GXV524263:GXV524264 HHR524263:HHR524264 HRN524263:HRN524264 IBJ524263:IBJ524264 ILF524263:ILF524264 IVB524263:IVB524264 JEX524263:JEX524264 JOT524263:JOT524264 JYP524263:JYP524264 KIL524263:KIL524264 KSH524263:KSH524264 LCD524263:LCD524264 LLZ524263:LLZ524264 LVV524263:LVV524264 MFR524263:MFR524264 MPN524263:MPN524264 MZJ524263:MZJ524264 NJF524263:NJF524264 NTB524263:NTB524264 OCX524263:OCX524264 OMT524263:OMT524264 OWP524263:OWP524264 PGL524263:PGL524264 PQH524263:PQH524264 QAD524263:QAD524264 QJZ524263:QJZ524264 QTV524263:QTV524264 RDR524263:RDR524264 RNN524263:RNN524264 RXJ524263:RXJ524264 SHF524263:SHF524264 SRB524263:SRB524264 TAX524263:TAX524264 TKT524263:TKT524264 TUP524263:TUP524264 UEL524263:UEL524264 UOH524263:UOH524264 UYD524263:UYD524264 VHZ524263:VHZ524264 VRV524263:VRV524264 WBR524263:WBR524264 WLN524263:WLN524264 WVJ524263:WVJ524264 B589799:B589800 IX589799:IX589800 ST589799:ST589800 ACP589799:ACP589800 AML589799:AML589800 AWH589799:AWH589800 BGD589799:BGD589800 BPZ589799:BPZ589800 BZV589799:BZV589800 CJR589799:CJR589800 CTN589799:CTN589800 DDJ589799:DDJ589800 DNF589799:DNF589800 DXB589799:DXB589800 EGX589799:EGX589800 EQT589799:EQT589800 FAP589799:FAP589800 FKL589799:FKL589800 FUH589799:FUH589800 GED589799:GED589800 GNZ589799:GNZ589800 GXV589799:GXV589800 HHR589799:HHR589800 HRN589799:HRN589800 IBJ589799:IBJ589800 ILF589799:ILF589800 IVB589799:IVB589800 JEX589799:JEX589800 JOT589799:JOT589800 JYP589799:JYP589800 KIL589799:KIL589800 KSH589799:KSH589800 LCD589799:LCD589800 LLZ589799:LLZ589800 LVV589799:LVV589800 MFR589799:MFR589800 MPN589799:MPN589800 MZJ589799:MZJ589800 NJF589799:NJF589800 NTB589799:NTB589800 OCX589799:OCX589800 OMT589799:OMT589800 OWP589799:OWP589800 PGL589799:PGL589800 PQH589799:PQH589800 QAD589799:QAD589800 QJZ589799:QJZ589800 QTV589799:QTV589800 RDR589799:RDR589800 RNN589799:RNN589800 RXJ589799:RXJ589800 SHF589799:SHF589800 SRB589799:SRB589800 TAX589799:TAX589800 TKT589799:TKT589800 TUP589799:TUP589800 UEL589799:UEL589800 UOH589799:UOH589800 UYD589799:UYD589800 VHZ589799:VHZ589800 VRV589799:VRV589800 WBR589799:WBR589800 WLN589799:WLN589800 WVJ589799:WVJ589800 B655335:B655336 IX655335:IX655336 ST655335:ST655336 ACP655335:ACP655336 AML655335:AML655336 AWH655335:AWH655336 BGD655335:BGD655336 BPZ655335:BPZ655336 BZV655335:BZV655336 CJR655335:CJR655336 CTN655335:CTN655336 DDJ655335:DDJ655336 DNF655335:DNF655336 DXB655335:DXB655336 EGX655335:EGX655336 EQT655335:EQT655336 FAP655335:FAP655336 FKL655335:FKL655336 FUH655335:FUH655336 GED655335:GED655336 GNZ655335:GNZ655336 GXV655335:GXV655336 HHR655335:HHR655336 HRN655335:HRN655336 IBJ655335:IBJ655336 ILF655335:ILF655336 IVB655335:IVB655336 JEX655335:JEX655336 JOT655335:JOT655336 JYP655335:JYP655336 KIL655335:KIL655336 KSH655335:KSH655336 LCD655335:LCD655336 LLZ655335:LLZ655336 LVV655335:LVV655336 MFR655335:MFR655336 MPN655335:MPN655336 MZJ655335:MZJ655336 NJF655335:NJF655336 NTB655335:NTB655336 OCX655335:OCX655336 OMT655335:OMT655336 OWP655335:OWP655336 PGL655335:PGL655336 PQH655335:PQH655336 QAD655335:QAD655336 QJZ655335:QJZ655336 QTV655335:QTV655336 RDR655335:RDR655336 RNN655335:RNN655336 RXJ655335:RXJ655336 SHF655335:SHF655336 SRB655335:SRB655336 TAX655335:TAX655336 TKT655335:TKT655336 TUP655335:TUP655336 UEL655335:UEL655336 UOH655335:UOH655336 UYD655335:UYD655336 VHZ655335:VHZ655336 VRV655335:VRV655336 WBR655335:WBR655336 WLN655335:WLN655336 WVJ655335:WVJ655336 B720871:B720872 IX720871:IX720872 ST720871:ST720872 ACP720871:ACP720872 AML720871:AML720872 AWH720871:AWH720872 BGD720871:BGD720872 BPZ720871:BPZ720872 BZV720871:BZV720872 CJR720871:CJR720872 CTN720871:CTN720872 DDJ720871:DDJ720872 DNF720871:DNF720872 DXB720871:DXB720872 EGX720871:EGX720872 EQT720871:EQT720872 FAP720871:FAP720872 FKL720871:FKL720872 FUH720871:FUH720872 GED720871:GED720872 GNZ720871:GNZ720872 GXV720871:GXV720872 HHR720871:HHR720872 HRN720871:HRN720872 IBJ720871:IBJ720872 ILF720871:ILF720872 IVB720871:IVB720872 JEX720871:JEX720872 JOT720871:JOT720872 JYP720871:JYP720872 KIL720871:KIL720872 KSH720871:KSH720872 LCD720871:LCD720872 LLZ720871:LLZ720872 LVV720871:LVV720872 MFR720871:MFR720872 MPN720871:MPN720872 MZJ720871:MZJ720872 NJF720871:NJF720872 NTB720871:NTB720872 OCX720871:OCX720872 OMT720871:OMT720872 OWP720871:OWP720872 PGL720871:PGL720872 PQH720871:PQH720872 QAD720871:QAD720872 QJZ720871:QJZ720872 QTV720871:QTV720872 RDR720871:RDR720872 RNN720871:RNN720872 RXJ720871:RXJ720872 SHF720871:SHF720872 SRB720871:SRB720872 TAX720871:TAX720872 TKT720871:TKT720872 TUP720871:TUP720872 UEL720871:UEL720872 UOH720871:UOH720872 UYD720871:UYD720872 VHZ720871:VHZ720872 VRV720871:VRV720872 WBR720871:WBR720872 WLN720871:WLN720872 WVJ720871:WVJ720872 B786407:B786408 IX786407:IX786408 ST786407:ST786408 ACP786407:ACP786408 AML786407:AML786408 AWH786407:AWH786408 BGD786407:BGD786408 BPZ786407:BPZ786408 BZV786407:BZV786408 CJR786407:CJR786408 CTN786407:CTN786408 DDJ786407:DDJ786408 DNF786407:DNF786408 DXB786407:DXB786408 EGX786407:EGX786408 EQT786407:EQT786408 FAP786407:FAP786408 FKL786407:FKL786408 FUH786407:FUH786408 GED786407:GED786408 GNZ786407:GNZ786408 GXV786407:GXV786408 HHR786407:HHR786408 HRN786407:HRN786408 IBJ786407:IBJ786408 ILF786407:ILF786408 IVB786407:IVB786408 JEX786407:JEX786408 JOT786407:JOT786408 JYP786407:JYP786408 KIL786407:KIL786408 KSH786407:KSH786408 LCD786407:LCD786408 LLZ786407:LLZ786408 LVV786407:LVV786408 MFR786407:MFR786408 MPN786407:MPN786408 MZJ786407:MZJ786408 NJF786407:NJF786408 NTB786407:NTB786408 OCX786407:OCX786408 OMT786407:OMT786408 OWP786407:OWP786408 PGL786407:PGL786408 PQH786407:PQH786408 QAD786407:QAD786408 QJZ786407:QJZ786408 QTV786407:QTV786408 RDR786407:RDR786408 RNN786407:RNN786408 RXJ786407:RXJ786408 SHF786407:SHF786408 SRB786407:SRB786408 TAX786407:TAX786408 TKT786407:TKT786408 TUP786407:TUP786408 UEL786407:UEL786408 UOH786407:UOH786408 UYD786407:UYD786408 VHZ786407:VHZ786408 VRV786407:VRV786408 WBR786407:WBR786408 WLN786407:WLN786408 WVJ786407:WVJ786408 B851943:B851944 IX851943:IX851944 ST851943:ST851944 ACP851943:ACP851944 AML851943:AML851944 AWH851943:AWH851944 BGD851943:BGD851944 BPZ851943:BPZ851944 BZV851943:BZV851944 CJR851943:CJR851944 CTN851943:CTN851944 DDJ851943:DDJ851944 DNF851943:DNF851944 DXB851943:DXB851944 EGX851943:EGX851944 EQT851943:EQT851944 FAP851943:FAP851944 FKL851943:FKL851944 FUH851943:FUH851944 GED851943:GED851944 GNZ851943:GNZ851944 GXV851943:GXV851944 HHR851943:HHR851944 HRN851943:HRN851944 IBJ851943:IBJ851944 ILF851943:ILF851944 IVB851943:IVB851944 JEX851943:JEX851944 JOT851943:JOT851944 JYP851943:JYP851944 KIL851943:KIL851944 KSH851943:KSH851944 LCD851943:LCD851944 LLZ851943:LLZ851944 LVV851943:LVV851944 MFR851943:MFR851944 MPN851943:MPN851944 MZJ851943:MZJ851944 NJF851943:NJF851944 NTB851943:NTB851944 OCX851943:OCX851944 OMT851943:OMT851944 OWP851943:OWP851944 PGL851943:PGL851944 PQH851943:PQH851944 QAD851943:QAD851944 QJZ851943:QJZ851944 QTV851943:QTV851944 RDR851943:RDR851944 RNN851943:RNN851944 RXJ851943:RXJ851944 SHF851943:SHF851944 SRB851943:SRB851944 TAX851943:TAX851944 TKT851943:TKT851944 TUP851943:TUP851944 UEL851943:UEL851944 UOH851943:UOH851944 UYD851943:UYD851944 VHZ851943:VHZ851944 VRV851943:VRV851944 WBR851943:WBR851944 WLN851943:WLN851944 WVJ851943:WVJ851944 B917479:B917480 IX917479:IX917480 ST917479:ST917480 ACP917479:ACP917480 AML917479:AML917480 AWH917479:AWH917480 BGD917479:BGD917480 BPZ917479:BPZ917480 BZV917479:BZV917480 CJR917479:CJR917480 CTN917479:CTN917480 DDJ917479:DDJ917480 DNF917479:DNF917480 DXB917479:DXB917480 EGX917479:EGX917480 EQT917479:EQT917480 FAP917479:FAP917480 FKL917479:FKL917480 FUH917479:FUH917480 GED917479:GED917480 GNZ917479:GNZ917480 GXV917479:GXV917480 HHR917479:HHR917480 HRN917479:HRN917480 IBJ917479:IBJ917480 ILF917479:ILF917480 IVB917479:IVB917480 JEX917479:JEX917480 JOT917479:JOT917480 JYP917479:JYP917480 KIL917479:KIL917480 KSH917479:KSH917480 LCD917479:LCD917480 LLZ917479:LLZ917480 LVV917479:LVV917480 MFR917479:MFR917480 MPN917479:MPN917480 MZJ917479:MZJ917480 NJF917479:NJF917480 NTB917479:NTB917480 OCX917479:OCX917480 OMT917479:OMT917480 OWP917479:OWP917480 PGL917479:PGL917480 PQH917479:PQH917480 QAD917479:QAD917480 QJZ917479:QJZ917480 QTV917479:QTV917480 RDR917479:RDR917480 RNN917479:RNN917480 RXJ917479:RXJ917480 SHF917479:SHF917480 SRB917479:SRB917480 TAX917479:TAX917480 TKT917479:TKT917480 TUP917479:TUP917480 UEL917479:UEL917480 UOH917479:UOH917480 UYD917479:UYD917480 VHZ917479:VHZ917480 VRV917479:VRV917480 WBR917479:WBR917480 WLN917479:WLN917480 WVJ917479:WVJ917480 B983015:B983016 IX983015:IX983016 ST983015:ST983016 ACP983015:ACP983016 AML983015:AML983016 AWH983015:AWH983016 BGD983015:BGD983016 BPZ983015:BPZ983016 BZV983015:BZV983016 CJR983015:CJR983016 CTN983015:CTN983016 DDJ983015:DDJ983016 DNF983015:DNF983016 DXB983015:DXB983016 EGX983015:EGX983016 EQT983015:EQT983016 FAP983015:FAP983016 FKL983015:FKL983016 FUH983015:FUH983016 GED983015:GED983016 GNZ983015:GNZ983016 GXV983015:GXV983016 HHR983015:HHR983016 HRN983015:HRN983016 IBJ983015:IBJ983016 ILF983015:ILF983016 IVB983015:IVB983016 JEX983015:JEX983016 JOT983015:JOT983016 JYP983015:JYP983016 KIL983015:KIL983016 KSH983015:KSH983016 LCD983015:LCD983016 LLZ983015:LLZ983016 LVV983015:LVV983016 MFR983015:MFR983016 MPN983015:MPN983016 MZJ983015:MZJ983016 NJF983015:NJF983016 NTB983015:NTB983016 OCX983015:OCX983016 OMT983015:OMT983016 OWP983015:OWP983016 PGL983015:PGL983016 PQH983015:PQH983016 QAD983015:QAD983016 QJZ983015:QJZ983016 QTV983015:QTV983016 RDR983015:RDR983016 RNN983015:RNN983016 RXJ983015:RXJ983016 SHF983015:SHF983016 SRB983015:SRB983016 TAX983015:TAX983016 TKT983015:TKT983016 TUP983015:TUP983016 UEL983015:UEL983016 UOH983015:UOH983016 UYD983015:UYD983016 VHZ983015:VHZ983016 VRV983015:VRV983016 WBR983015:WBR983016 WLN983015:WLN983016 WVJ983015:WVJ983016">
      <formula1>$R$26</formula1>
    </dataValidation>
    <dataValidation type="list" allowBlank="1" showInputMessage="1" showErrorMessage="1" sqref="F7:K7">
      <formula1>$O$3:$O$8</formula1>
    </dataValidation>
    <dataValidation type="list" allowBlank="1" showInputMessage="1" showErrorMessage="1" sqref="B96:B98">
      <formula1>$R$97</formula1>
    </dataValidation>
    <dataValidation type="list" allowBlank="1" showInputMessage="1" showErrorMessage="1" sqref="B102:B103">
      <formula1>$R$103</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WVJ983128:WVJ983130 B65624:B65626 IX65624:IX65626 ST65624:ST65626 ACP65624:ACP65626 AML65624:AML65626 AWH65624:AWH65626 BGD65624:BGD65626 BPZ65624:BPZ65626 BZV65624:BZV65626 CJR65624:CJR65626 CTN65624:CTN65626 DDJ65624:DDJ65626 DNF65624:DNF65626 DXB65624:DXB65626 EGX65624:EGX65626 EQT65624:EQT65626 FAP65624:FAP65626 FKL65624:FKL65626 FUH65624:FUH65626 GED65624:GED65626 GNZ65624:GNZ65626 GXV65624:GXV65626 HHR65624:HHR65626 HRN65624:HRN65626 IBJ65624:IBJ65626 ILF65624:ILF65626 IVB65624:IVB65626 JEX65624:JEX65626 JOT65624:JOT65626 JYP65624:JYP65626 KIL65624:KIL65626 KSH65624:KSH65626 LCD65624:LCD65626 LLZ65624:LLZ65626 LVV65624:LVV65626 MFR65624:MFR65626 MPN65624:MPN65626 MZJ65624:MZJ65626 NJF65624:NJF65626 NTB65624:NTB65626 OCX65624:OCX65626 OMT65624:OMT65626 OWP65624:OWP65626 PGL65624:PGL65626 PQH65624:PQH65626 QAD65624:QAD65626 QJZ65624:QJZ65626 QTV65624:QTV65626 RDR65624:RDR65626 RNN65624:RNN65626 RXJ65624:RXJ65626 SHF65624:SHF65626 SRB65624:SRB65626 TAX65624:TAX65626 TKT65624:TKT65626 TUP65624:TUP65626 UEL65624:UEL65626 UOH65624:UOH65626 UYD65624:UYD65626 VHZ65624:VHZ65626 VRV65624:VRV65626 WBR65624:WBR65626 WLN65624:WLN65626 WVJ65624:WVJ65626 B131160:B131162 IX131160:IX131162 ST131160:ST131162 ACP131160:ACP131162 AML131160:AML131162 AWH131160:AWH131162 BGD131160:BGD131162 BPZ131160:BPZ131162 BZV131160:BZV131162 CJR131160:CJR131162 CTN131160:CTN131162 DDJ131160:DDJ131162 DNF131160:DNF131162 DXB131160:DXB131162 EGX131160:EGX131162 EQT131160:EQT131162 FAP131160:FAP131162 FKL131160:FKL131162 FUH131160:FUH131162 GED131160:GED131162 GNZ131160:GNZ131162 GXV131160:GXV131162 HHR131160:HHR131162 HRN131160:HRN131162 IBJ131160:IBJ131162 ILF131160:ILF131162 IVB131160:IVB131162 JEX131160:JEX131162 JOT131160:JOT131162 JYP131160:JYP131162 KIL131160:KIL131162 KSH131160:KSH131162 LCD131160:LCD131162 LLZ131160:LLZ131162 LVV131160:LVV131162 MFR131160:MFR131162 MPN131160:MPN131162 MZJ131160:MZJ131162 NJF131160:NJF131162 NTB131160:NTB131162 OCX131160:OCX131162 OMT131160:OMT131162 OWP131160:OWP131162 PGL131160:PGL131162 PQH131160:PQH131162 QAD131160:QAD131162 QJZ131160:QJZ131162 QTV131160:QTV131162 RDR131160:RDR131162 RNN131160:RNN131162 RXJ131160:RXJ131162 SHF131160:SHF131162 SRB131160:SRB131162 TAX131160:TAX131162 TKT131160:TKT131162 TUP131160:TUP131162 UEL131160:UEL131162 UOH131160:UOH131162 UYD131160:UYD131162 VHZ131160:VHZ131162 VRV131160:VRV131162 WBR131160:WBR131162 WLN131160:WLN131162 WVJ131160:WVJ131162 B196696:B196698 IX196696:IX196698 ST196696:ST196698 ACP196696:ACP196698 AML196696:AML196698 AWH196696:AWH196698 BGD196696:BGD196698 BPZ196696:BPZ196698 BZV196696:BZV196698 CJR196696:CJR196698 CTN196696:CTN196698 DDJ196696:DDJ196698 DNF196696:DNF196698 DXB196696:DXB196698 EGX196696:EGX196698 EQT196696:EQT196698 FAP196696:FAP196698 FKL196696:FKL196698 FUH196696:FUH196698 GED196696:GED196698 GNZ196696:GNZ196698 GXV196696:GXV196698 HHR196696:HHR196698 HRN196696:HRN196698 IBJ196696:IBJ196698 ILF196696:ILF196698 IVB196696:IVB196698 JEX196696:JEX196698 JOT196696:JOT196698 JYP196696:JYP196698 KIL196696:KIL196698 KSH196696:KSH196698 LCD196696:LCD196698 LLZ196696:LLZ196698 LVV196696:LVV196698 MFR196696:MFR196698 MPN196696:MPN196698 MZJ196696:MZJ196698 NJF196696:NJF196698 NTB196696:NTB196698 OCX196696:OCX196698 OMT196696:OMT196698 OWP196696:OWP196698 PGL196696:PGL196698 PQH196696:PQH196698 QAD196696:QAD196698 QJZ196696:QJZ196698 QTV196696:QTV196698 RDR196696:RDR196698 RNN196696:RNN196698 RXJ196696:RXJ196698 SHF196696:SHF196698 SRB196696:SRB196698 TAX196696:TAX196698 TKT196696:TKT196698 TUP196696:TUP196698 UEL196696:UEL196698 UOH196696:UOH196698 UYD196696:UYD196698 VHZ196696:VHZ196698 VRV196696:VRV196698 WBR196696:WBR196698 WLN196696:WLN196698 WVJ196696:WVJ196698 B262232:B262234 IX262232:IX262234 ST262232:ST262234 ACP262232:ACP262234 AML262232:AML262234 AWH262232:AWH262234 BGD262232:BGD262234 BPZ262232:BPZ262234 BZV262232:BZV262234 CJR262232:CJR262234 CTN262232:CTN262234 DDJ262232:DDJ262234 DNF262232:DNF262234 DXB262232:DXB262234 EGX262232:EGX262234 EQT262232:EQT262234 FAP262232:FAP262234 FKL262232:FKL262234 FUH262232:FUH262234 GED262232:GED262234 GNZ262232:GNZ262234 GXV262232:GXV262234 HHR262232:HHR262234 HRN262232:HRN262234 IBJ262232:IBJ262234 ILF262232:ILF262234 IVB262232:IVB262234 JEX262232:JEX262234 JOT262232:JOT262234 JYP262232:JYP262234 KIL262232:KIL262234 KSH262232:KSH262234 LCD262232:LCD262234 LLZ262232:LLZ262234 LVV262232:LVV262234 MFR262232:MFR262234 MPN262232:MPN262234 MZJ262232:MZJ262234 NJF262232:NJF262234 NTB262232:NTB262234 OCX262232:OCX262234 OMT262232:OMT262234 OWP262232:OWP262234 PGL262232:PGL262234 PQH262232:PQH262234 QAD262232:QAD262234 QJZ262232:QJZ262234 QTV262232:QTV262234 RDR262232:RDR262234 RNN262232:RNN262234 RXJ262232:RXJ262234 SHF262232:SHF262234 SRB262232:SRB262234 TAX262232:TAX262234 TKT262232:TKT262234 TUP262232:TUP262234 UEL262232:UEL262234 UOH262232:UOH262234 UYD262232:UYD262234 VHZ262232:VHZ262234 VRV262232:VRV262234 WBR262232:WBR262234 WLN262232:WLN262234 WVJ262232:WVJ262234 B327768:B327770 IX327768:IX327770 ST327768:ST327770 ACP327768:ACP327770 AML327768:AML327770 AWH327768:AWH327770 BGD327768:BGD327770 BPZ327768:BPZ327770 BZV327768:BZV327770 CJR327768:CJR327770 CTN327768:CTN327770 DDJ327768:DDJ327770 DNF327768:DNF327770 DXB327768:DXB327770 EGX327768:EGX327770 EQT327768:EQT327770 FAP327768:FAP327770 FKL327768:FKL327770 FUH327768:FUH327770 GED327768:GED327770 GNZ327768:GNZ327770 GXV327768:GXV327770 HHR327768:HHR327770 HRN327768:HRN327770 IBJ327768:IBJ327770 ILF327768:ILF327770 IVB327768:IVB327770 JEX327768:JEX327770 JOT327768:JOT327770 JYP327768:JYP327770 KIL327768:KIL327770 KSH327768:KSH327770 LCD327768:LCD327770 LLZ327768:LLZ327770 LVV327768:LVV327770 MFR327768:MFR327770 MPN327768:MPN327770 MZJ327768:MZJ327770 NJF327768:NJF327770 NTB327768:NTB327770 OCX327768:OCX327770 OMT327768:OMT327770 OWP327768:OWP327770 PGL327768:PGL327770 PQH327768:PQH327770 QAD327768:QAD327770 QJZ327768:QJZ327770 QTV327768:QTV327770 RDR327768:RDR327770 RNN327768:RNN327770 RXJ327768:RXJ327770 SHF327768:SHF327770 SRB327768:SRB327770 TAX327768:TAX327770 TKT327768:TKT327770 TUP327768:TUP327770 UEL327768:UEL327770 UOH327768:UOH327770 UYD327768:UYD327770 VHZ327768:VHZ327770 VRV327768:VRV327770 WBR327768:WBR327770 WLN327768:WLN327770 WVJ327768:WVJ327770 B393304:B393306 IX393304:IX393306 ST393304:ST393306 ACP393304:ACP393306 AML393304:AML393306 AWH393304:AWH393306 BGD393304:BGD393306 BPZ393304:BPZ393306 BZV393304:BZV393306 CJR393304:CJR393306 CTN393304:CTN393306 DDJ393304:DDJ393306 DNF393304:DNF393306 DXB393304:DXB393306 EGX393304:EGX393306 EQT393304:EQT393306 FAP393304:FAP393306 FKL393304:FKL393306 FUH393304:FUH393306 GED393304:GED393306 GNZ393304:GNZ393306 GXV393304:GXV393306 HHR393304:HHR393306 HRN393304:HRN393306 IBJ393304:IBJ393306 ILF393304:ILF393306 IVB393304:IVB393306 JEX393304:JEX393306 JOT393304:JOT393306 JYP393304:JYP393306 KIL393304:KIL393306 KSH393304:KSH393306 LCD393304:LCD393306 LLZ393304:LLZ393306 LVV393304:LVV393306 MFR393304:MFR393306 MPN393304:MPN393306 MZJ393304:MZJ393306 NJF393304:NJF393306 NTB393304:NTB393306 OCX393304:OCX393306 OMT393304:OMT393306 OWP393304:OWP393306 PGL393304:PGL393306 PQH393304:PQH393306 QAD393304:QAD393306 QJZ393304:QJZ393306 QTV393304:QTV393306 RDR393304:RDR393306 RNN393304:RNN393306 RXJ393304:RXJ393306 SHF393304:SHF393306 SRB393304:SRB393306 TAX393304:TAX393306 TKT393304:TKT393306 TUP393304:TUP393306 UEL393304:UEL393306 UOH393304:UOH393306 UYD393304:UYD393306 VHZ393304:VHZ393306 VRV393304:VRV393306 WBR393304:WBR393306 WLN393304:WLN393306 WVJ393304:WVJ393306 B458840:B458842 IX458840:IX458842 ST458840:ST458842 ACP458840:ACP458842 AML458840:AML458842 AWH458840:AWH458842 BGD458840:BGD458842 BPZ458840:BPZ458842 BZV458840:BZV458842 CJR458840:CJR458842 CTN458840:CTN458842 DDJ458840:DDJ458842 DNF458840:DNF458842 DXB458840:DXB458842 EGX458840:EGX458842 EQT458840:EQT458842 FAP458840:FAP458842 FKL458840:FKL458842 FUH458840:FUH458842 GED458840:GED458842 GNZ458840:GNZ458842 GXV458840:GXV458842 HHR458840:HHR458842 HRN458840:HRN458842 IBJ458840:IBJ458842 ILF458840:ILF458842 IVB458840:IVB458842 JEX458840:JEX458842 JOT458840:JOT458842 JYP458840:JYP458842 KIL458840:KIL458842 KSH458840:KSH458842 LCD458840:LCD458842 LLZ458840:LLZ458842 LVV458840:LVV458842 MFR458840:MFR458842 MPN458840:MPN458842 MZJ458840:MZJ458842 NJF458840:NJF458842 NTB458840:NTB458842 OCX458840:OCX458842 OMT458840:OMT458842 OWP458840:OWP458842 PGL458840:PGL458842 PQH458840:PQH458842 QAD458840:QAD458842 QJZ458840:QJZ458842 QTV458840:QTV458842 RDR458840:RDR458842 RNN458840:RNN458842 RXJ458840:RXJ458842 SHF458840:SHF458842 SRB458840:SRB458842 TAX458840:TAX458842 TKT458840:TKT458842 TUP458840:TUP458842 UEL458840:UEL458842 UOH458840:UOH458842 UYD458840:UYD458842 VHZ458840:VHZ458842 VRV458840:VRV458842 WBR458840:WBR458842 WLN458840:WLN458842 WVJ458840:WVJ458842 B524376:B524378 IX524376:IX524378 ST524376:ST524378 ACP524376:ACP524378 AML524376:AML524378 AWH524376:AWH524378 BGD524376:BGD524378 BPZ524376:BPZ524378 BZV524376:BZV524378 CJR524376:CJR524378 CTN524376:CTN524378 DDJ524376:DDJ524378 DNF524376:DNF524378 DXB524376:DXB524378 EGX524376:EGX524378 EQT524376:EQT524378 FAP524376:FAP524378 FKL524376:FKL524378 FUH524376:FUH524378 GED524376:GED524378 GNZ524376:GNZ524378 GXV524376:GXV524378 HHR524376:HHR524378 HRN524376:HRN524378 IBJ524376:IBJ524378 ILF524376:ILF524378 IVB524376:IVB524378 JEX524376:JEX524378 JOT524376:JOT524378 JYP524376:JYP524378 KIL524376:KIL524378 KSH524376:KSH524378 LCD524376:LCD524378 LLZ524376:LLZ524378 LVV524376:LVV524378 MFR524376:MFR524378 MPN524376:MPN524378 MZJ524376:MZJ524378 NJF524376:NJF524378 NTB524376:NTB524378 OCX524376:OCX524378 OMT524376:OMT524378 OWP524376:OWP524378 PGL524376:PGL524378 PQH524376:PQH524378 QAD524376:QAD524378 QJZ524376:QJZ524378 QTV524376:QTV524378 RDR524376:RDR524378 RNN524376:RNN524378 RXJ524376:RXJ524378 SHF524376:SHF524378 SRB524376:SRB524378 TAX524376:TAX524378 TKT524376:TKT524378 TUP524376:TUP524378 UEL524376:UEL524378 UOH524376:UOH524378 UYD524376:UYD524378 VHZ524376:VHZ524378 VRV524376:VRV524378 WBR524376:WBR524378 WLN524376:WLN524378 WVJ524376:WVJ524378 B589912:B589914 IX589912:IX589914 ST589912:ST589914 ACP589912:ACP589914 AML589912:AML589914 AWH589912:AWH589914 BGD589912:BGD589914 BPZ589912:BPZ589914 BZV589912:BZV589914 CJR589912:CJR589914 CTN589912:CTN589914 DDJ589912:DDJ589914 DNF589912:DNF589914 DXB589912:DXB589914 EGX589912:EGX589914 EQT589912:EQT589914 FAP589912:FAP589914 FKL589912:FKL589914 FUH589912:FUH589914 GED589912:GED589914 GNZ589912:GNZ589914 GXV589912:GXV589914 HHR589912:HHR589914 HRN589912:HRN589914 IBJ589912:IBJ589914 ILF589912:ILF589914 IVB589912:IVB589914 JEX589912:JEX589914 JOT589912:JOT589914 JYP589912:JYP589914 KIL589912:KIL589914 KSH589912:KSH589914 LCD589912:LCD589914 LLZ589912:LLZ589914 LVV589912:LVV589914 MFR589912:MFR589914 MPN589912:MPN589914 MZJ589912:MZJ589914 NJF589912:NJF589914 NTB589912:NTB589914 OCX589912:OCX589914 OMT589912:OMT589914 OWP589912:OWP589914 PGL589912:PGL589914 PQH589912:PQH589914 QAD589912:QAD589914 QJZ589912:QJZ589914 QTV589912:QTV589914 RDR589912:RDR589914 RNN589912:RNN589914 RXJ589912:RXJ589914 SHF589912:SHF589914 SRB589912:SRB589914 TAX589912:TAX589914 TKT589912:TKT589914 TUP589912:TUP589914 UEL589912:UEL589914 UOH589912:UOH589914 UYD589912:UYD589914 VHZ589912:VHZ589914 VRV589912:VRV589914 WBR589912:WBR589914 WLN589912:WLN589914 WVJ589912:WVJ589914 B655448:B655450 IX655448:IX655450 ST655448:ST655450 ACP655448:ACP655450 AML655448:AML655450 AWH655448:AWH655450 BGD655448:BGD655450 BPZ655448:BPZ655450 BZV655448:BZV655450 CJR655448:CJR655450 CTN655448:CTN655450 DDJ655448:DDJ655450 DNF655448:DNF655450 DXB655448:DXB655450 EGX655448:EGX655450 EQT655448:EQT655450 FAP655448:FAP655450 FKL655448:FKL655450 FUH655448:FUH655450 GED655448:GED655450 GNZ655448:GNZ655450 GXV655448:GXV655450 HHR655448:HHR655450 HRN655448:HRN655450 IBJ655448:IBJ655450 ILF655448:ILF655450 IVB655448:IVB655450 JEX655448:JEX655450 JOT655448:JOT655450 JYP655448:JYP655450 KIL655448:KIL655450 KSH655448:KSH655450 LCD655448:LCD655450 LLZ655448:LLZ655450 LVV655448:LVV655450 MFR655448:MFR655450 MPN655448:MPN655450 MZJ655448:MZJ655450 NJF655448:NJF655450 NTB655448:NTB655450 OCX655448:OCX655450 OMT655448:OMT655450 OWP655448:OWP655450 PGL655448:PGL655450 PQH655448:PQH655450 QAD655448:QAD655450 QJZ655448:QJZ655450 QTV655448:QTV655450 RDR655448:RDR655450 RNN655448:RNN655450 RXJ655448:RXJ655450 SHF655448:SHF655450 SRB655448:SRB655450 TAX655448:TAX655450 TKT655448:TKT655450 TUP655448:TUP655450 UEL655448:UEL655450 UOH655448:UOH655450 UYD655448:UYD655450 VHZ655448:VHZ655450 VRV655448:VRV655450 WBR655448:WBR655450 WLN655448:WLN655450 WVJ655448:WVJ655450 B720984:B720986 IX720984:IX720986 ST720984:ST720986 ACP720984:ACP720986 AML720984:AML720986 AWH720984:AWH720986 BGD720984:BGD720986 BPZ720984:BPZ720986 BZV720984:BZV720986 CJR720984:CJR720986 CTN720984:CTN720986 DDJ720984:DDJ720986 DNF720984:DNF720986 DXB720984:DXB720986 EGX720984:EGX720986 EQT720984:EQT720986 FAP720984:FAP720986 FKL720984:FKL720986 FUH720984:FUH720986 GED720984:GED720986 GNZ720984:GNZ720986 GXV720984:GXV720986 HHR720984:HHR720986 HRN720984:HRN720986 IBJ720984:IBJ720986 ILF720984:ILF720986 IVB720984:IVB720986 JEX720984:JEX720986 JOT720984:JOT720986 JYP720984:JYP720986 KIL720984:KIL720986 KSH720984:KSH720986 LCD720984:LCD720986 LLZ720984:LLZ720986 LVV720984:LVV720986 MFR720984:MFR720986 MPN720984:MPN720986 MZJ720984:MZJ720986 NJF720984:NJF720986 NTB720984:NTB720986 OCX720984:OCX720986 OMT720984:OMT720986 OWP720984:OWP720986 PGL720984:PGL720986 PQH720984:PQH720986 QAD720984:QAD720986 QJZ720984:QJZ720986 QTV720984:QTV720986 RDR720984:RDR720986 RNN720984:RNN720986 RXJ720984:RXJ720986 SHF720984:SHF720986 SRB720984:SRB720986 TAX720984:TAX720986 TKT720984:TKT720986 TUP720984:TUP720986 UEL720984:UEL720986 UOH720984:UOH720986 UYD720984:UYD720986 VHZ720984:VHZ720986 VRV720984:VRV720986 WBR720984:WBR720986 WLN720984:WLN720986 WVJ720984:WVJ720986 B786520:B786522 IX786520:IX786522 ST786520:ST786522 ACP786520:ACP786522 AML786520:AML786522 AWH786520:AWH786522 BGD786520:BGD786522 BPZ786520:BPZ786522 BZV786520:BZV786522 CJR786520:CJR786522 CTN786520:CTN786522 DDJ786520:DDJ786522 DNF786520:DNF786522 DXB786520:DXB786522 EGX786520:EGX786522 EQT786520:EQT786522 FAP786520:FAP786522 FKL786520:FKL786522 FUH786520:FUH786522 GED786520:GED786522 GNZ786520:GNZ786522 GXV786520:GXV786522 HHR786520:HHR786522 HRN786520:HRN786522 IBJ786520:IBJ786522 ILF786520:ILF786522 IVB786520:IVB786522 JEX786520:JEX786522 JOT786520:JOT786522 JYP786520:JYP786522 KIL786520:KIL786522 KSH786520:KSH786522 LCD786520:LCD786522 LLZ786520:LLZ786522 LVV786520:LVV786522 MFR786520:MFR786522 MPN786520:MPN786522 MZJ786520:MZJ786522 NJF786520:NJF786522 NTB786520:NTB786522 OCX786520:OCX786522 OMT786520:OMT786522 OWP786520:OWP786522 PGL786520:PGL786522 PQH786520:PQH786522 QAD786520:QAD786522 QJZ786520:QJZ786522 QTV786520:QTV786522 RDR786520:RDR786522 RNN786520:RNN786522 RXJ786520:RXJ786522 SHF786520:SHF786522 SRB786520:SRB786522 TAX786520:TAX786522 TKT786520:TKT786522 TUP786520:TUP786522 UEL786520:UEL786522 UOH786520:UOH786522 UYD786520:UYD786522 VHZ786520:VHZ786522 VRV786520:VRV786522 WBR786520:WBR786522 WLN786520:WLN786522 WVJ786520:WVJ786522 B852056:B852058 IX852056:IX852058 ST852056:ST852058 ACP852056:ACP852058 AML852056:AML852058 AWH852056:AWH852058 BGD852056:BGD852058 BPZ852056:BPZ852058 BZV852056:BZV852058 CJR852056:CJR852058 CTN852056:CTN852058 DDJ852056:DDJ852058 DNF852056:DNF852058 DXB852056:DXB852058 EGX852056:EGX852058 EQT852056:EQT852058 FAP852056:FAP852058 FKL852056:FKL852058 FUH852056:FUH852058 GED852056:GED852058 GNZ852056:GNZ852058 GXV852056:GXV852058 HHR852056:HHR852058 HRN852056:HRN852058 IBJ852056:IBJ852058 ILF852056:ILF852058 IVB852056:IVB852058 JEX852056:JEX852058 JOT852056:JOT852058 JYP852056:JYP852058 KIL852056:KIL852058 KSH852056:KSH852058 LCD852056:LCD852058 LLZ852056:LLZ852058 LVV852056:LVV852058 MFR852056:MFR852058 MPN852056:MPN852058 MZJ852056:MZJ852058 NJF852056:NJF852058 NTB852056:NTB852058 OCX852056:OCX852058 OMT852056:OMT852058 OWP852056:OWP852058 PGL852056:PGL852058 PQH852056:PQH852058 QAD852056:QAD852058 QJZ852056:QJZ852058 QTV852056:QTV852058 RDR852056:RDR852058 RNN852056:RNN852058 RXJ852056:RXJ852058 SHF852056:SHF852058 SRB852056:SRB852058 TAX852056:TAX852058 TKT852056:TKT852058 TUP852056:TUP852058 UEL852056:UEL852058 UOH852056:UOH852058 UYD852056:UYD852058 VHZ852056:VHZ852058 VRV852056:VRV852058 WBR852056:WBR852058 WLN852056:WLN852058 WVJ852056:WVJ852058 B917592:B917594 IX917592:IX917594 ST917592:ST917594 ACP917592:ACP917594 AML917592:AML917594 AWH917592:AWH917594 BGD917592:BGD917594 BPZ917592:BPZ917594 BZV917592:BZV917594 CJR917592:CJR917594 CTN917592:CTN917594 DDJ917592:DDJ917594 DNF917592:DNF917594 DXB917592:DXB917594 EGX917592:EGX917594 EQT917592:EQT917594 FAP917592:FAP917594 FKL917592:FKL917594 FUH917592:FUH917594 GED917592:GED917594 GNZ917592:GNZ917594 GXV917592:GXV917594 HHR917592:HHR917594 HRN917592:HRN917594 IBJ917592:IBJ917594 ILF917592:ILF917594 IVB917592:IVB917594 JEX917592:JEX917594 JOT917592:JOT917594 JYP917592:JYP917594 KIL917592:KIL917594 KSH917592:KSH917594 LCD917592:LCD917594 LLZ917592:LLZ917594 LVV917592:LVV917594 MFR917592:MFR917594 MPN917592:MPN917594 MZJ917592:MZJ917594 NJF917592:NJF917594 NTB917592:NTB917594 OCX917592:OCX917594 OMT917592:OMT917594 OWP917592:OWP917594 PGL917592:PGL917594 PQH917592:PQH917594 QAD917592:QAD917594 QJZ917592:QJZ917594 QTV917592:QTV917594 RDR917592:RDR917594 RNN917592:RNN917594 RXJ917592:RXJ917594 SHF917592:SHF917594 SRB917592:SRB917594 TAX917592:TAX917594 TKT917592:TKT917594 TUP917592:TUP917594 UEL917592:UEL917594 UOH917592:UOH917594 UYD917592:UYD917594 VHZ917592:VHZ917594 VRV917592:VRV917594 WBR917592:WBR917594 WLN917592:WLN917594 WVJ917592:WVJ917594 B983128:B983130 IX983128:IX983130 ST983128:ST983130 ACP983128:ACP983130 AML983128:AML983130 AWH983128:AWH983130 BGD983128:BGD983130 BPZ983128:BPZ983130 BZV983128:BZV983130 CJR983128:CJR983130 CTN983128:CTN983130 DDJ983128:DDJ983130 DNF983128:DNF983130 DXB983128:DXB983130 EGX983128:EGX983130 EQT983128:EQT983130 FAP983128:FAP983130 FKL983128:FKL983130 FUH983128:FUH983130 GED983128:GED983130 GNZ983128:GNZ983130 GXV983128:GXV983130 HHR983128:HHR983130 HRN983128:HRN983130 IBJ983128:IBJ983130 ILF983128:ILF983130 IVB983128:IVB983130 JEX983128:JEX983130 JOT983128:JOT983130 JYP983128:JYP983130 KIL983128:KIL983130 KSH983128:KSH983130 LCD983128:LCD983130 LLZ983128:LLZ983130 LVV983128:LVV983130 MFR983128:MFR983130 MPN983128:MPN983130 MZJ983128:MZJ983130 NJF983128:NJF983130 NTB983128:NTB983130 OCX983128:OCX983130 OMT983128:OMT983130 OWP983128:OWP983130 PGL983128:PGL983130 PQH983128:PQH983130 QAD983128:QAD983130 QJZ983128:QJZ983130 QTV983128:QTV983130 RDR983128:RDR983130 RNN983128:RNN983130 RXJ983128:RXJ983130 SHF983128:SHF983130 SRB983128:SRB983130 TAX983128:TAX983130 TKT983128:TKT983130 TUP983128:TUP983130 UEL983128:UEL983130 UOH983128:UOH983130 UYD983128:UYD983130 VHZ983128:VHZ983130 VRV983128:VRV983130 WBR983128:WBR983130 WLN983128:WLN983130 D65534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D65538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D983040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D917504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D851968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D786432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D720896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D655360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D589824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D524288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D458752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D393216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D327680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D262144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D196608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D131072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D65536 WVL983038 WLP983038 WBT983038 VRX983038 VIB983038 UYF983038 UOJ983038 UEN983038 TUR983038 TKV983038 TAZ983038 SRD983038 SHH983038 RXL983038 RNP983038 RDT983038 QTX983038 QKB983038 QAF983038 PQJ983038 PGN983038 OWR983038 OMV983038 OCZ983038 NTD983038 NJH983038 MZL983038 MPP983038 MFT983038 LVX983038 LMB983038 LCF983038 KSJ983038 KIN983038 JYR983038 JOV983038 JEZ983038 IVD983038 ILH983038 IBL983038 HRP983038 HHT983038 GXX983038 GOB983038 GEF983038 FUJ983038 FKN983038 FAR983038 EQV983038 EGZ983038 DXD983038 DNH983038 DDL983038 CTP983038 CJT983038 BZX983038 BQB983038 BGF983038 AWJ983038 AMN983038 ACR983038 SV983038 IZ983038 D983038 WVL917502 WLP917502 WBT917502 VRX917502 VIB917502 UYF917502 UOJ917502 UEN917502 TUR917502 TKV917502 TAZ917502 SRD917502 SHH917502 RXL917502 RNP917502 RDT917502 QTX917502 QKB917502 QAF917502 PQJ917502 PGN917502 OWR917502 OMV917502 OCZ917502 NTD917502 NJH917502 MZL917502 MPP917502 MFT917502 LVX917502 LMB917502 LCF917502 KSJ917502 KIN917502 JYR917502 JOV917502 JEZ917502 IVD917502 ILH917502 IBL917502 HRP917502 HHT917502 GXX917502 GOB917502 GEF917502 FUJ917502 FKN917502 FAR917502 EQV917502 EGZ917502 DXD917502 DNH917502 DDL917502 CTP917502 CJT917502 BZX917502 BQB917502 BGF917502 AWJ917502 AMN917502 ACR917502 SV917502 IZ917502 D917502 WVL851966 WLP851966 WBT851966 VRX851966 VIB851966 UYF851966 UOJ851966 UEN851966 TUR851966 TKV851966 TAZ851966 SRD851966 SHH851966 RXL851966 RNP851966 RDT851966 QTX851966 QKB851966 QAF851966 PQJ851966 PGN851966 OWR851966 OMV851966 OCZ851966 NTD851966 NJH851966 MZL851966 MPP851966 MFT851966 LVX851966 LMB851966 LCF851966 KSJ851966 KIN851966 JYR851966 JOV851966 JEZ851966 IVD851966 ILH851966 IBL851966 HRP851966 HHT851966 GXX851966 GOB851966 GEF851966 FUJ851966 FKN851966 FAR851966 EQV851966 EGZ851966 DXD851966 DNH851966 DDL851966 CTP851966 CJT851966 BZX851966 BQB851966 BGF851966 AWJ851966 AMN851966 ACR851966 SV851966 IZ851966 D851966 WVL786430 WLP786430 WBT786430 VRX786430 VIB786430 UYF786430 UOJ786430 UEN786430 TUR786430 TKV786430 TAZ786430 SRD786430 SHH786430 RXL786430 RNP786430 RDT786430 QTX786430 QKB786430 QAF786430 PQJ786430 PGN786430 OWR786430 OMV786430 OCZ786430 NTD786430 NJH786430 MZL786430 MPP786430 MFT786430 LVX786430 LMB786430 LCF786430 KSJ786430 KIN786430 JYR786430 JOV786430 JEZ786430 IVD786430 ILH786430 IBL786430 HRP786430 HHT786430 GXX786430 GOB786430 GEF786430 FUJ786430 FKN786430 FAR786430 EQV786430 EGZ786430 DXD786430 DNH786430 DDL786430 CTP786430 CJT786430 BZX786430 BQB786430 BGF786430 AWJ786430 AMN786430 ACR786430 SV786430 IZ786430 D786430 WVL720894 WLP720894 WBT720894 VRX720894 VIB720894 UYF720894 UOJ720894 UEN720894 TUR720894 TKV720894 TAZ720894 SRD720894 SHH720894 RXL720894 RNP720894 RDT720894 QTX720894 QKB720894 QAF720894 PQJ720894 PGN720894 OWR720894 OMV720894 OCZ720894 NTD720894 NJH720894 MZL720894 MPP720894 MFT720894 LVX720894 LMB720894 LCF720894 KSJ720894 KIN720894 JYR720894 JOV720894 JEZ720894 IVD720894 ILH720894 IBL720894 HRP720894 HHT720894 GXX720894 GOB720894 GEF720894 FUJ720894 FKN720894 FAR720894 EQV720894 EGZ720894 DXD720894 DNH720894 DDL720894 CTP720894 CJT720894 BZX720894 BQB720894 BGF720894 AWJ720894 AMN720894 ACR720894 SV720894 IZ720894 D720894 WVL655358 WLP655358 WBT655358 VRX655358 VIB655358 UYF655358 UOJ655358 UEN655358 TUR655358 TKV655358 TAZ655358 SRD655358 SHH655358 RXL655358 RNP655358 RDT655358 QTX655358 QKB655358 QAF655358 PQJ655358 PGN655358 OWR655358 OMV655358 OCZ655358 NTD655358 NJH655358 MZL655358 MPP655358 MFT655358 LVX655358 LMB655358 LCF655358 KSJ655358 KIN655358 JYR655358 JOV655358 JEZ655358 IVD655358 ILH655358 IBL655358 HRP655358 HHT655358 GXX655358 GOB655358 GEF655358 FUJ655358 FKN655358 FAR655358 EQV655358 EGZ655358 DXD655358 DNH655358 DDL655358 CTP655358 CJT655358 BZX655358 BQB655358 BGF655358 AWJ655358 AMN655358 ACR655358 SV655358 IZ655358 D655358 WVL589822 WLP589822 WBT589822 VRX589822 VIB589822 UYF589822 UOJ589822 UEN589822 TUR589822 TKV589822 TAZ589822 SRD589822 SHH589822 RXL589822 RNP589822 RDT589822 QTX589822 QKB589822 QAF589822 PQJ589822 PGN589822 OWR589822 OMV589822 OCZ589822 NTD589822 NJH589822 MZL589822 MPP589822 MFT589822 LVX589822 LMB589822 LCF589822 KSJ589822 KIN589822 JYR589822 JOV589822 JEZ589822 IVD589822 ILH589822 IBL589822 HRP589822 HHT589822 GXX589822 GOB589822 GEF589822 FUJ589822 FKN589822 FAR589822 EQV589822 EGZ589822 DXD589822 DNH589822 DDL589822 CTP589822 CJT589822 BZX589822 BQB589822 BGF589822 AWJ589822 AMN589822 ACR589822 SV589822 IZ589822 D589822 WVL524286 WLP524286 WBT524286 VRX524286 VIB524286 UYF524286 UOJ524286 UEN524286 TUR524286 TKV524286 TAZ524286 SRD524286 SHH524286 RXL524286 RNP524286 RDT524286 QTX524286 QKB524286 QAF524286 PQJ524286 PGN524286 OWR524286 OMV524286 OCZ524286 NTD524286 NJH524286 MZL524286 MPP524286 MFT524286 LVX524286 LMB524286 LCF524286 KSJ524286 KIN524286 JYR524286 JOV524286 JEZ524286 IVD524286 ILH524286 IBL524286 HRP524286 HHT524286 GXX524286 GOB524286 GEF524286 FUJ524286 FKN524286 FAR524286 EQV524286 EGZ524286 DXD524286 DNH524286 DDL524286 CTP524286 CJT524286 BZX524286 BQB524286 BGF524286 AWJ524286 AMN524286 ACR524286 SV524286 IZ524286 D524286 WVL458750 WLP458750 WBT458750 VRX458750 VIB458750 UYF458750 UOJ458750 UEN458750 TUR458750 TKV458750 TAZ458750 SRD458750 SHH458750 RXL458750 RNP458750 RDT458750 QTX458750 QKB458750 QAF458750 PQJ458750 PGN458750 OWR458750 OMV458750 OCZ458750 NTD458750 NJH458750 MZL458750 MPP458750 MFT458750 LVX458750 LMB458750 LCF458750 KSJ458750 KIN458750 JYR458750 JOV458750 JEZ458750 IVD458750 ILH458750 IBL458750 HRP458750 HHT458750 GXX458750 GOB458750 GEF458750 FUJ458750 FKN458750 FAR458750 EQV458750 EGZ458750 DXD458750 DNH458750 DDL458750 CTP458750 CJT458750 BZX458750 BQB458750 BGF458750 AWJ458750 AMN458750 ACR458750 SV458750 IZ458750 D458750 WVL393214 WLP393214 WBT393214 VRX393214 VIB393214 UYF393214 UOJ393214 UEN393214 TUR393214 TKV393214 TAZ393214 SRD393214 SHH393214 RXL393214 RNP393214 RDT393214 QTX393214 QKB393214 QAF393214 PQJ393214 PGN393214 OWR393214 OMV393214 OCZ393214 NTD393214 NJH393214 MZL393214 MPP393214 MFT393214 LVX393214 LMB393214 LCF393214 KSJ393214 KIN393214 JYR393214 JOV393214 JEZ393214 IVD393214 ILH393214 IBL393214 HRP393214 HHT393214 GXX393214 GOB393214 GEF393214 FUJ393214 FKN393214 FAR393214 EQV393214 EGZ393214 DXD393214 DNH393214 DDL393214 CTP393214 CJT393214 BZX393214 BQB393214 BGF393214 AWJ393214 AMN393214 ACR393214 SV393214 IZ393214 D393214 WVL327678 WLP327678 WBT327678 VRX327678 VIB327678 UYF327678 UOJ327678 UEN327678 TUR327678 TKV327678 TAZ327678 SRD327678 SHH327678 RXL327678 RNP327678 RDT327678 QTX327678 QKB327678 QAF327678 PQJ327678 PGN327678 OWR327678 OMV327678 OCZ327678 NTD327678 NJH327678 MZL327678 MPP327678 MFT327678 LVX327678 LMB327678 LCF327678 KSJ327678 KIN327678 JYR327678 JOV327678 JEZ327678 IVD327678 ILH327678 IBL327678 HRP327678 HHT327678 GXX327678 GOB327678 GEF327678 FUJ327678 FKN327678 FAR327678 EQV327678 EGZ327678 DXD327678 DNH327678 DDL327678 CTP327678 CJT327678 BZX327678 BQB327678 BGF327678 AWJ327678 AMN327678 ACR327678 SV327678 IZ327678 D327678 WVL262142 WLP262142 WBT262142 VRX262142 VIB262142 UYF262142 UOJ262142 UEN262142 TUR262142 TKV262142 TAZ262142 SRD262142 SHH262142 RXL262142 RNP262142 RDT262142 QTX262142 QKB262142 QAF262142 PQJ262142 PGN262142 OWR262142 OMV262142 OCZ262142 NTD262142 NJH262142 MZL262142 MPP262142 MFT262142 LVX262142 LMB262142 LCF262142 KSJ262142 KIN262142 JYR262142 JOV262142 JEZ262142 IVD262142 ILH262142 IBL262142 HRP262142 HHT262142 GXX262142 GOB262142 GEF262142 FUJ262142 FKN262142 FAR262142 EQV262142 EGZ262142 DXD262142 DNH262142 DDL262142 CTP262142 CJT262142 BZX262142 BQB262142 BGF262142 AWJ262142 AMN262142 ACR262142 SV262142 IZ262142 D262142 WVL196606 WLP196606 WBT196606 VRX196606 VIB196606 UYF196606 UOJ196606 UEN196606 TUR196606 TKV196606 TAZ196606 SRD196606 SHH196606 RXL196606 RNP196606 RDT196606 QTX196606 QKB196606 QAF196606 PQJ196606 PGN196606 OWR196606 OMV196606 OCZ196606 NTD196606 NJH196606 MZL196606 MPP196606 MFT196606 LVX196606 LMB196606 LCF196606 KSJ196606 KIN196606 JYR196606 JOV196606 JEZ196606 IVD196606 ILH196606 IBL196606 HRP196606 HHT196606 GXX196606 GOB196606 GEF196606 FUJ196606 FKN196606 FAR196606 EQV196606 EGZ196606 DXD196606 DNH196606 DDL196606 CTP196606 CJT196606 BZX196606 BQB196606 BGF196606 AWJ196606 AMN196606 ACR196606 SV196606 IZ196606 D196606 WVL131070 WLP131070 WBT131070 VRX131070 VIB131070 UYF131070 UOJ131070 UEN131070 TUR131070 TKV131070 TAZ131070 SRD131070 SHH131070 RXL131070 RNP131070 RDT131070 QTX131070 QKB131070 QAF131070 PQJ131070 PGN131070 OWR131070 OMV131070 OCZ131070 NTD131070 NJH131070 MZL131070 MPP131070 MFT131070 LVX131070 LMB131070 LCF131070 KSJ131070 KIN131070 JYR131070 JOV131070 JEZ131070 IVD131070 ILH131070 IBL131070 HRP131070 HHT131070 GXX131070 GOB131070 GEF131070 FUJ131070 FKN131070 FAR131070 EQV131070 EGZ131070 DXD131070 DNH131070 DDL131070 CTP131070 CJT131070 BZX131070 BQB131070 BGF131070 AWJ131070 AMN131070 ACR131070 SV131070 IZ131070 D131070 WVL65534 WLP65534 WBT65534 VRX65534 VIB65534 UYF65534 UOJ65534 UEN65534 TUR65534 TKV65534 TAZ65534 SRD65534 SHH65534 RXL65534 RNP65534 RDT65534 QTX65534 QKB65534 QAF65534 PQJ65534 PGN65534 OWR65534 OMV65534 OCZ65534 NTD65534 NJH65534 MZL65534 MPP65534 MFT65534 LVX65534 LMB65534 LCF65534 KSJ65534 KIN65534 JYR65534 JOV65534 JEZ65534 IVD65534 ILH65534 IBL65534 HRP65534 HHT65534 GXX65534 GOB65534 GEF65534 FUJ65534 FKN65534 FAR65534 EQV65534 EGZ65534 DXD65534 DNH65534 DDL65534 CTP65534 CJT65534 BZX65534 BQB65534 BGF65534 AWJ65534 AMN65534 ACR65534 SV65534 IZ65534 B65562:B65565 WVJ983066:WVJ983069 WLN983066:WLN983069 WBR983066:WBR983069 VRV983066:VRV983069 VHZ983066:VHZ983069 UYD983066:UYD983069 UOH983066:UOH983069 UEL983066:UEL983069 TUP983066:TUP983069 TKT983066:TKT983069 TAX983066:TAX983069 SRB983066:SRB983069 SHF983066:SHF983069 RXJ983066:RXJ983069 RNN983066:RNN983069 RDR983066:RDR983069 QTV983066:QTV983069 QJZ983066:QJZ983069 QAD983066:QAD983069 PQH983066:PQH983069 PGL983066:PGL983069 OWP983066:OWP983069 OMT983066:OMT983069 OCX983066:OCX983069 NTB983066:NTB983069 NJF983066:NJF983069 MZJ983066:MZJ983069 MPN983066:MPN983069 MFR983066:MFR983069 LVV983066:LVV983069 LLZ983066:LLZ983069 LCD983066:LCD983069 KSH983066:KSH983069 KIL983066:KIL983069 JYP983066:JYP983069 JOT983066:JOT983069 JEX983066:JEX983069 IVB983066:IVB983069 ILF983066:ILF983069 IBJ983066:IBJ983069 HRN983066:HRN983069 HHR983066:HHR983069 GXV983066:GXV983069 GNZ983066:GNZ983069 GED983066:GED983069 FUH983066:FUH983069 FKL983066:FKL983069 FAP983066:FAP983069 EQT983066:EQT983069 EGX983066:EGX983069 DXB983066:DXB983069 DNF983066:DNF983069 DDJ983066:DDJ983069 CTN983066:CTN983069 CJR983066:CJR983069 BZV983066:BZV983069 BPZ983066:BPZ983069 BGD983066:BGD983069 AWH983066:AWH983069 AML983066:AML983069 ACP983066:ACP983069 ST983066:ST983069 IX983066:IX983069 B983066:B983069 WVJ917530:WVJ917533 WLN917530:WLN917533 WBR917530:WBR917533 VRV917530:VRV917533 VHZ917530:VHZ917533 UYD917530:UYD917533 UOH917530:UOH917533 UEL917530:UEL917533 TUP917530:TUP917533 TKT917530:TKT917533 TAX917530:TAX917533 SRB917530:SRB917533 SHF917530:SHF917533 RXJ917530:RXJ917533 RNN917530:RNN917533 RDR917530:RDR917533 QTV917530:QTV917533 QJZ917530:QJZ917533 QAD917530:QAD917533 PQH917530:PQH917533 PGL917530:PGL917533 OWP917530:OWP917533 OMT917530:OMT917533 OCX917530:OCX917533 NTB917530:NTB917533 NJF917530:NJF917533 MZJ917530:MZJ917533 MPN917530:MPN917533 MFR917530:MFR917533 LVV917530:LVV917533 LLZ917530:LLZ917533 LCD917530:LCD917533 KSH917530:KSH917533 KIL917530:KIL917533 JYP917530:JYP917533 JOT917530:JOT917533 JEX917530:JEX917533 IVB917530:IVB917533 ILF917530:ILF917533 IBJ917530:IBJ917533 HRN917530:HRN917533 HHR917530:HHR917533 GXV917530:GXV917533 GNZ917530:GNZ917533 GED917530:GED917533 FUH917530:FUH917533 FKL917530:FKL917533 FAP917530:FAP917533 EQT917530:EQT917533 EGX917530:EGX917533 DXB917530:DXB917533 DNF917530:DNF917533 DDJ917530:DDJ917533 CTN917530:CTN917533 CJR917530:CJR917533 BZV917530:BZV917533 BPZ917530:BPZ917533 BGD917530:BGD917533 AWH917530:AWH917533 AML917530:AML917533 ACP917530:ACP917533 ST917530:ST917533 IX917530:IX917533 B917530:B917533 WVJ851994:WVJ851997 WLN851994:WLN851997 WBR851994:WBR851997 VRV851994:VRV851997 VHZ851994:VHZ851997 UYD851994:UYD851997 UOH851994:UOH851997 UEL851994:UEL851997 TUP851994:TUP851997 TKT851994:TKT851997 TAX851994:TAX851997 SRB851994:SRB851997 SHF851994:SHF851997 RXJ851994:RXJ851997 RNN851994:RNN851997 RDR851994:RDR851997 QTV851994:QTV851997 QJZ851994:QJZ851997 QAD851994:QAD851997 PQH851994:PQH851997 PGL851994:PGL851997 OWP851994:OWP851997 OMT851994:OMT851997 OCX851994:OCX851997 NTB851994:NTB851997 NJF851994:NJF851997 MZJ851994:MZJ851997 MPN851994:MPN851997 MFR851994:MFR851997 LVV851994:LVV851997 LLZ851994:LLZ851997 LCD851994:LCD851997 KSH851994:KSH851997 KIL851994:KIL851997 JYP851994:JYP851997 JOT851994:JOT851997 JEX851994:JEX851997 IVB851994:IVB851997 ILF851994:ILF851997 IBJ851994:IBJ851997 HRN851994:HRN851997 HHR851994:HHR851997 GXV851994:GXV851997 GNZ851994:GNZ851997 GED851994:GED851997 FUH851994:FUH851997 FKL851994:FKL851997 FAP851994:FAP851997 EQT851994:EQT851997 EGX851994:EGX851997 DXB851994:DXB851997 DNF851994:DNF851997 DDJ851994:DDJ851997 CTN851994:CTN851997 CJR851994:CJR851997 BZV851994:BZV851997 BPZ851994:BPZ851997 BGD851994:BGD851997 AWH851994:AWH851997 AML851994:AML851997 ACP851994:ACP851997 ST851994:ST851997 IX851994:IX851997 B851994:B851997 WVJ786458:WVJ786461 WLN786458:WLN786461 WBR786458:WBR786461 VRV786458:VRV786461 VHZ786458:VHZ786461 UYD786458:UYD786461 UOH786458:UOH786461 UEL786458:UEL786461 TUP786458:TUP786461 TKT786458:TKT786461 TAX786458:TAX786461 SRB786458:SRB786461 SHF786458:SHF786461 RXJ786458:RXJ786461 RNN786458:RNN786461 RDR786458:RDR786461 QTV786458:QTV786461 QJZ786458:QJZ786461 QAD786458:QAD786461 PQH786458:PQH786461 PGL786458:PGL786461 OWP786458:OWP786461 OMT786458:OMT786461 OCX786458:OCX786461 NTB786458:NTB786461 NJF786458:NJF786461 MZJ786458:MZJ786461 MPN786458:MPN786461 MFR786458:MFR786461 LVV786458:LVV786461 LLZ786458:LLZ786461 LCD786458:LCD786461 KSH786458:KSH786461 KIL786458:KIL786461 JYP786458:JYP786461 JOT786458:JOT786461 JEX786458:JEX786461 IVB786458:IVB786461 ILF786458:ILF786461 IBJ786458:IBJ786461 HRN786458:HRN786461 HHR786458:HHR786461 GXV786458:GXV786461 GNZ786458:GNZ786461 GED786458:GED786461 FUH786458:FUH786461 FKL786458:FKL786461 FAP786458:FAP786461 EQT786458:EQT786461 EGX786458:EGX786461 DXB786458:DXB786461 DNF786458:DNF786461 DDJ786458:DDJ786461 CTN786458:CTN786461 CJR786458:CJR786461 BZV786458:BZV786461 BPZ786458:BPZ786461 BGD786458:BGD786461 AWH786458:AWH786461 AML786458:AML786461 ACP786458:ACP786461 ST786458:ST786461 IX786458:IX786461 B786458:B786461 WVJ720922:WVJ720925 WLN720922:WLN720925 WBR720922:WBR720925 VRV720922:VRV720925 VHZ720922:VHZ720925 UYD720922:UYD720925 UOH720922:UOH720925 UEL720922:UEL720925 TUP720922:TUP720925 TKT720922:TKT720925 TAX720922:TAX720925 SRB720922:SRB720925 SHF720922:SHF720925 RXJ720922:RXJ720925 RNN720922:RNN720925 RDR720922:RDR720925 QTV720922:QTV720925 QJZ720922:QJZ720925 QAD720922:QAD720925 PQH720922:PQH720925 PGL720922:PGL720925 OWP720922:OWP720925 OMT720922:OMT720925 OCX720922:OCX720925 NTB720922:NTB720925 NJF720922:NJF720925 MZJ720922:MZJ720925 MPN720922:MPN720925 MFR720922:MFR720925 LVV720922:LVV720925 LLZ720922:LLZ720925 LCD720922:LCD720925 KSH720922:KSH720925 KIL720922:KIL720925 JYP720922:JYP720925 JOT720922:JOT720925 JEX720922:JEX720925 IVB720922:IVB720925 ILF720922:ILF720925 IBJ720922:IBJ720925 HRN720922:HRN720925 HHR720922:HHR720925 GXV720922:GXV720925 GNZ720922:GNZ720925 GED720922:GED720925 FUH720922:FUH720925 FKL720922:FKL720925 FAP720922:FAP720925 EQT720922:EQT720925 EGX720922:EGX720925 DXB720922:DXB720925 DNF720922:DNF720925 DDJ720922:DDJ720925 CTN720922:CTN720925 CJR720922:CJR720925 BZV720922:BZV720925 BPZ720922:BPZ720925 BGD720922:BGD720925 AWH720922:AWH720925 AML720922:AML720925 ACP720922:ACP720925 ST720922:ST720925 IX720922:IX720925 B720922:B720925 WVJ655386:WVJ655389 WLN655386:WLN655389 WBR655386:WBR655389 VRV655386:VRV655389 VHZ655386:VHZ655389 UYD655386:UYD655389 UOH655386:UOH655389 UEL655386:UEL655389 TUP655386:TUP655389 TKT655386:TKT655389 TAX655386:TAX655389 SRB655386:SRB655389 SHF655386:SHF655389 RXJ655386:RXJ655389 RNN655386:RNN655389 RDR655386:RDR655389 QTV655386:QTV655389 QJZ655386:QJZ655389 QAD655386:QAD655389 PQH655386:PQH655389 PGL655386:PGL655389 OWP655386:OWP655389 OMT655386:OMT655389 OCX655386:OCX655389 NTB655386:NTB655389 NJF655386:NJF655389 MZJ655386:MZJ655389 MPN655386:MPN655389 MFR655386:MFR655389 LVV655386:LVV655389 LLZ655386:LLZ655389 LCD655386:LCD655389 KSH655386:KSH655389 KIL655386:KIL655389 JYP655386:JYP655389 JOT655386:JOT655389 JEX655386:JEX655389 IVB655386:IVB655389 ILF655386:ILF655389 IBJ655386:IBJ655389 HRN655386:HRN655389 HHR655386:HHR655389 GXV655386:GXV655389 GNZ655386:GNZ655389 GED655386:GED655389 FUH655386:FUH655389 FKL655386:FKL655389 FAP655386:FAP655389 EQT655386:EQT655389 EGX655386:EGX655389 DXB655386:DXB655389 DNF655386:DNF655389 DDJ655386:DDJ655389 CTN655386:CTN655389 CJR655386:CJR655389 BZV655386:BZV655389 BPZ655386:BPZ655389 BGD655386:BGD655389 AWH655386:AWH655389 AML655386:AML655389 ACP655386:ACP655389 ST655386:ST655389 IX655386:IX655389 B655386:B655389 WVJ589850:WVJ589853 WLN589850:WLN589853 WBR589850:WBR589853 VRV589850:VRV589853 VHZ589850:VHZ589853 UYD589850:UYD589853 UOH589850:UOH589853 UEL589850:UEL589853 TUP589850:TUP589853 TKT589850:TKT589853 TAX589850:TAX589853 SRB589850:SRB589853 SHF589850:SHF589853 RXJ589850:RXJ589853 RNN589850:RNN589853 RDR589850:RDR589853 QTV589850:QTV589853 QJZ589850:QJZ589853 QAD589850:QAD589853 PQH589850:PQH589853 PGL589850:PGL589853 OWP589850:OWP589853 OMT589850:OMT589853 OCX589850:OCX589853 NTB589850:NTB589853 NJF589850:NJF589853 MZJ589850:MZJ589853 MPN589850:MPN589853 MFR589850:MFR589853 LVV589850:LVV589853 LLZ589850:LLZ589853 LCD589850:LCD589853 KSH589850:KSH589853 KIL589850:KIL589853 JYP589850:JYP589853 JOT589850:JOT589853 JEX589850:JEX589853 IVB589850:IVB589853 ILF589850:ILF589853 IBJ589850:IBJ589853 HRN589850:HRN589853 HHR589850:HHR589853 GXV589850:GXV589853 GNZ589850:GNZ589853 GED589850:GED589853 FUH589850:FUH589853 FKL589850:FKL589853 FAP589850:FAP589853 EQT589850:EQT589853 EGX589850:EGX589853 DXB589850:DXB589853 DNF589850:DNF589853 DDJ589850:DDJ589853 CTN589850:CTN589853 CJR589850:CJR589853 BZV589850:BZV589853 BPZ589850:BPZ589853 BGD589850:BGD589853 AWH589850:AWH589853 AML589850:AML589853 ACP589850:ACP589853 ST589850:ST589853 IX589850:IX589853 B589850:B589853 WVJ524314:WVJ524317 WLN524314:WLN524317 WBR524314:WBR524317 VRV524314:VRV524317 VHZ524314:VHZ524317 UYD524314:UYD524317 UOH524314:UOH524317 UEL524314:UEL524317 TUP524314:TUP524317 TKT524314:TKT524317 TAX524314:TAX524317 SRB524314:SRB524317 SHF524314:SHF524317 RXJ524314:RXJ524317 RNN524314:RNN524317 RDR524314:RDR524317 QTV524314:QTV524317 QJZ524314:QJZ524317 QAD524314:QAD524317 PQH524314:PQH524317 PGL524314:PGL524317 OWP524314:OWP524317 OMT524314:OMT524317 OCX524314:OCX524317 NTB524314:NTB524317 NJF524314:NJF524317 MZJ524314:MZJ524317 MPN524314:MPN524317 MFR524314:MFR524317 LVV524314:LVV524317 LLZ524314:LLZ524317 LCD524314:LCD524317 KSH524314:KSH524317 KIL524314:KIL524317 JYP524314:JYP524317 JOT524314:JOT524317 JEX524314:JEX524317 IVB524314:IVB524317 ILF524314:ILF524317 IBJ524314:IBJ524317 HRN524314:HRN524317 HHR524314:HHR524317 GXV524314:GXV524317 GNZ524314:GNZ524317 GED524314:GED524317 FUH524314:FUH524317 FKL524314:FKL524317 FAP524314:FAP524317 EQT524314:EQT524317 EGX524314:EGX524317 DXB524314:DXB524317 DNF524314:DNF524317 DDJ524314:DDJ524317 CTN524314:CTN524317 CJR524314:CJR524317 BZV524314:BZV524317 BPZ524314:BPZ524317 BGD524314:BGD524317 AWH524314:AWH524317 AML524314:AML524317 ACP524314:ACP524317 ST524314:ST524317 IX524314:IX524317 B524314:B524317 WVJ458778:WVJ458781 WLN458778:WLN458781 WBR458778:WBR458781 VRV458778:VRV458781 VHZ458778:VHZ458781 UYD458778:UYD458781 UOH458778:UOH458781 UEL458778:UEL458781 TUP458778:TUP458781 TKT458778:TKT458781 TAX458778:TAX458781 SRB458778:SRB458781 SHF458778:SHF458781 RXJ458778:RXJ458781 RNN458778:RNN458781 RDR458778:RDR458781 QTV458778:QTV458781 QJZ458778:QJZ458781 QAD458778:QAD458781 PQH458778:PQH458781 PGL458778:PGL458781 OWP458778:OWP458781 OMT458778:OMT458781 OCX458778:OCX458781 NTB458778:NTB458781 NJF458778:NJF458781 MZJ458778:MZJ458781 MPN458778:MPN458781 MFR458778:MFR458781 LVV458778:LVV458781 LLZ458778:LLZ458781 LCD458778:LCD458781 KSH458778:KSH458781 KIL458778:KIL458781 JYP458778:JYP458781 JOT458778:JOT458781 JEX458778:JEX458781 IVB458778:IVB458781 ILF458778:ILF458781 IBJ458778:IBJ458781 HRN458778:HRN458781 HHR458778:HHR458781 GXV458778:GXV458781 GNZ458778:GNZ458781 GED458778:GED458781 FUH458778:FUH458781 FKL458778:FKL458781 FAP458778:FAP458781 EQT458778:EQT458781 EGX458778:EGX458781 DXB458778:DXB458781 DNF458778:DNF458781 DDJ458778:DDJ458781 CTN458778:CTN458781 CJR458778:CJR458781 BZV458778:BZV458781 BPZ458778:BPZ458781 BGD458778:BGD458781 AWH458778:AWH458781 AML458778:AML458781 ACP458778:ACP458781 ST458778:ST458781 IX458778:IX458781 B458778:B458781 WVJ393242:WVJ393245 WLN393242:WLN393245 WBR393242:WBR393245 VRV393242:VRV393245 VHZ393242:VHZ393245 UYD393242:UYD393245 UOH393242:UOH393245 UEL393242:UEL393245 TUP393242:TUP393245 TKT393242:TKT393245 TAX393242:TAX393245 SRB393242:SRB393245 SHF393242:SHF393245 RXJ393242:RXJ393245 RNN393242:RNN393245 RDR393242:RDR393245 QTV393242:QTV393245 QJZ393242:QJZ393245 QAD393242:QAD393245 PQH393242:PQH393245 PGL393242:PGL393245 OWP393242:OWP393245 OMT393242:OMT393245 OCX393242:OCX393245 NTB393242:NTB393245 NJF393242:NJF393245 MZJ393242:MZJ393245 MPN393242:MPN393245 MFR393242:MFR393245 LVV393242:LVV393245 LLZ393242:LLZ393245 LCD393242:LCD393245 KSH393242:KSH393245 KIL393242:KIL393245 JYP393242:JYP393245 JOT393242:JOT393245 JEX393242:JEX393245 IVB393242:IVB393245 ILF393242:ILF393245 IBJ393242:IBJ393245 HRN393242:HRN393245 HHR393242:HHR393245 GXV393242:GXV393245 GNZ393242:GNZ393245 GED393242:GED393245 FUH393242:FUH393245 FKL393242:FKL393245 FAP393242:FAP393245 EQT393242:EQT393245 EGX393242:EGX393245 DXB393242:DXB393245 DNF393242:DNF393245 DDJ393242:DDJ393245 CTN393242:CTN393245 CJR393242:CJR393245 BZV393242:BZV393245 BPZ393242:BPZ393245 BGD393242:BGD393245 AWH393242:AWH393245 AML393242:AML393245 ACP393242:ACP393245 ST393242:ST393245 IX393242:IX393245 B393242:B393245 WVJ327706:WVJ327709 WLN327706:WLN327709 WBR327706:WBR327709 VRV327706:VRV327709 VHZ327706:VHZ327709 UYD327706:UYD327709 UOH327706:UOH327709 UEL327706:UEL327709 TUP327706:TUP327709 TKT327706:TKT327709 TAX327706:TAX327709 SRB327706:SRB327709 SHF327706:SHF327709 RXJ327706:RXJ327709 RNN327706:RNN327709 RDR327706:RDR327709 QTV327706:QTV327709 QJZ327706:QJZ327709 QAD327706:QAD327709 PQH327706:PQH327709 PGL327706:PGL327709 OWP327706:OWP327709 OMT327706:OMT327709 OCX327706:OCX327709 NTB327706:NTB327709 NJF327706:NJF327709 MZJ327706:MZJ327709 MPN327706:MPN327709 MFR327706:MFR327709 LVV327706:LVV327709 LLZ327706:LLZ327709 LCD327706:LCD327709 KSH327706:KSH327709 KIL327706:KIL327709 JYP327706:JYP327709 JOT327706:JOT327709 JEX327706:JEX327709 IVB327706:IVB327709 ILF327706:ILF327709 IBJ327706:IBJ327709 HRN327706:HRN327709 HHR327706:HHR327709 GXV327706:GXV327709 GNZ327706:GNZ327709 GED327706:GED327709 FUH327706:FUH327709 FKL327706:FKL327709 FAP327706:FAP327709 EQT327706:EQT327709 EGX327706:EGX327709 DXB327706:DXB327709 DNF327706:DNF327709 DDJ327706:DDJ327709 CTN327706:CTN327709 CJR327706:CJR327709 BZV327706:BZV327709 BPZ327706:BPZ327709 BGD327706:BGD327709 AWH327706:AWH327709 AML327706:AML327709 ACP327706:ACP327709 ST327706:ST327709 IX327706:IX327709 B327706:B327709 WVJ262170:WVJ262173 WLN262170:WLN262173 WBR262170:WBR262173 VRV262170:VRV262173 VHZ262170:VHZ262173 UYD262170:UYD262173 UOH262170:UOH262173 UEL262170:UEL262173 TUP262170:TUP262173 TKT262170:TKT262173 TAX262170:TAX262173 SRB262170:SRB262173 SHF262170:SHF262173 RXJ262170:RXJ262173 RNN262170:RNN262173 RDR262170:RDR262173 QTV262170:QTV262173 QJZ262170:QJZ262173 QAD262170:QAD262173 PQH262170:PQH262173 PGL262170:PGL262173 OWP262170:OWP262173 OMT262170:OMT262173 OCX262170:OCX262173 NTB262170:NTB262173 NJF262170:NJF262173 MZJ262170:MZJ262173 MPN262170:MPN262173 MFR262170:MFR262173 LVV262170:LVV262173 LLZ262170:LLZ262173 LCD262170:LCD262173 KSH262170:KSH262173 KIL262170:KIL262173 JYP262170:JYP262173 JOT262170:JOT262173 JEX262170:JEX262173 IVB262170:IVB262173 ILF262170:ILF262173 IBJ262170:IBJ262173 HRN262170:HRN262173 HHR262170:HHR262173 GXV262170:GXV262173 GNZ262170:GNZ262173 GED262170:GED262173 FUH262170:FUH262173 FKL262170:FKL262173 FAP262170:FAP262173 EQT262170:EQT262173 EGX262170:EGX262173 DXB262170:DXB262173 DNF262170:DNF262173 DDJ262170:DDJ262173 CTN262170:CTN262173 CJR262170:CJR262173 BZV262170:BZV262173 BPZ262170:BPZ262173 BGD262170:BGD262173 AWH262170:AWH262173 AML262170:AML262173 ACP262170:ACP262173 ST262170:ST262173 IX262170:IX262173 B262170:B262173 WVJ196634:WVJ196637 WLN196634:WLN196637 WBR196634:WBR196637 VRV196634:VRV196637 VHZ196634:VHZ196637 UYD196634:UYD196637 UOH196634:UOH196637 UEL196634:UEL196637 TUP196634:TUP196637 TKT196634:TKT196637 TAX196634:TAX196637 SRB196634:SRB196637 SHF196634:SHF196637 RXJ196634:RXJ196637 RNN196634:RNN196637 RDR196634:RDR196637 QTV196634:QTV196637 QJZ196634:QJZ196637 QAD196634:QAD196637 PQH196634:PQH196637 PGL196634:PGL196637 OWP196634:OWP196637 OMT196634:OMT196637 OCX196634:OCX196637 NTB196634:NTB196637 NJF196634:NJF196637 MZJ196634:MZJ196637 MPN196634:MPN196637 MFR196634:MFR196637 LVV196634:LVV196637 LLZ196634:LLZ196637 LCD196634:LCD196637 KSH196634:KSH196637 KIL196634:KIL196637 JYP196634:JYP196637 JOT196634:JOT196637 JEX196634:JEX196637 IVB196634:IVB196637 ILF196634:ILF196637 IBJ196634:IBJ196637 HRN196634:HRN196637 HHR196634:HHR196637 GXV196634:GXV196637 GNZ196634:GNZ196637 GED196634:GED196637 FUH196634:FUH196637 FKL196634:FKL196637 FAP196634:FAP196637 EQT196634:EQT196637 EGX196634:EGX196637 DXB196634:DXB196637 DNF196634:DNF196637 DDJ196634:DDJ196637 CTN196634:CTN196637 CJR196634:CJR196637 BZV196634:BZV196637 BPZ196634:BPZ196637 BGD196634:BGD196637 AWH196634:AWH196637 AML196634:AML196637 ACP196634:ACP196637 ST196634:ST196637 IX196634:IX196637 B196634:B196637 WVJ131098:WVJ131101 WLN131098:WLN131101 WBR131098:WBR131101 VRV131098:VRV131101 VHZ131098:VHZ131101 UYD131098:UYD131101 UOH131098:UOH131101 UEL131098:UEL131101 TUP131098:TUP131101 TKT131098:TKT131101 TAX131098:TAX131101 SRB131098:SRB131101 SHF131098:SHF131101 RXJ131098:RXJ131101 RNN131098:RNN131101 RDR131098:RDR131101 QTV131098:QTV131101 QJZ131098:QJZ131101 QAD131098:QAD131101 PQH131098:PQH131101 PGL131098:PGL131101 OWP131098:OWP131101 OMT131098:OMT131101 OCX131098:OCX131101 NTB131098:NTB131101 NJF131098:NJF131101 MZJ131098:MZJ131101 MPN131098:MPN131101 MFR131098:MFR131101 LVV131098:LVV131101 LLZ131098:LLZ131101 LCD131098:LCD131101 KSH131098:KSH131101 KIL131098:KIL131101 JYP131098:JYP131101 JOT131098:JOT131101 JEX131098:JEX131101 IVB131098:IVB131101 ILF131098:ILF131101 IBJ131098:IBJ131101 HRN131098:HRN131101 HHR131098:HHR131101 GXV131098:GXV131101 GNZ131098:GNZ131101 GED131098:GED131101 FUH131098:FUH131101 FKL131098:FKL131101 FAP131098:FAP131101 EQT131098:EQT131101 EGX131098:EGX131101 DXB131098:DXB131101 DNF131098:DNF131101 DDJ131098:DDJ131101 CTN131098:CTN131101 CJR131098:CJR131101 BZV131098:BZV131101 BPZ131098:BPZ131101 BGD131098:BGD131101 AWH131098:AWH131101 AML131098:AML131101 ACP131098:ACP131101 ST131098:ST131101 IX131098:IX131101 B131098:B131101 WVJ65562:WVJ65565 WLN65562:WLN65565 WBR65562:WBR65565 VRV65562:VRV65565 VHZ65562:VHZ65565 UYD65562:UYD65565 UOH65562:UOH65565 UEL65562:UEL65565 TUP65562:TUP65565 TKT65562:TKT65565 TAX65562:TAX65565 SRB65562:SRB65565 SHF65562:SHF65565 RXJ65562:RXJ65565 RNN65562:RNN65565 RDR65562:RDR65565 QTV65562:QTV65565 QJZ65562:QJZ65565 QAD65562:QAD65565 PQH65562:PQH65565 PGL65562:PGL65565 OWP65562:OWP65565 OMT65562:OMT65565 OCX65562:OCX65565 NTB65562:NTB65565 NJF65562:NJF65565 MZJ65562:MZJ65565 MPN65562:MPN65565 MFR65562:MFR65565 LVV65562:LVV65565 LLZ65562:LLZ65565 LCD65562:LCD65565 KSH65562:KSH65565 KIL65562:KIL65565 JYP65562:JYP65565 JOT65562:JOT65565 JEX65562:JEX65565 IVB65562:IVB65565 ILF65562:ILF65565 IBJ65562:IBJ65565 HRN65562:HRN65565 HHR65562:HHR65565 GXV65562:GXV65565 GNZ65562:GNZ65565 GED65562:GED65565 FUH65562:FUH65565 FKL65562:FKL65565 FAP65562:FAP65565 EQT65562:EQT65565 EGX65562:EGX65565 DXB65562:DXB65565 DNF65562:DNF65565 DDJ65562:DDJ65565 CTN65562:CTN65565 CJR65562:CJR65565 BZV65562:BZV65565 BPZ65562:BPZ65565 BGD65562:BGD65565 AWH65562:AWH65565 AML65562:AML65565 ACP65562:ACP65565 ST65562:ST65565 IX65562:IX65565 WVJ983052 B65544:B65546 IX65544:IX65546 ST65544:ST65546 ACP65544:ACP65546 AML65544:AML65546 AWH65544:AWH65546 BGD65544:BGD65546 BPZ65544:BPZ65546 BZV65544:BZV65546 CJR65544:CJR65546 CTN65544:CTN65546 DDJ65544:DDJ65546 DNF65544:DNF65546 DXB65544:DXB65546 EGX65544:EGX65546 EQT65544:EQT65546 FAP65544:FAP65546 FKL65544:FKL65546 FUH65544:FUH65546 GED65544:GED65546 GNZ65544:GNZ65546 GXV65544:GXV65546 HHR65544:HHR65546 HRN65544:HRN65546 IBJ65544:IBJ65546 ILF65544:ILF65546 IVB65544:IVB65546 JEX65544:JEX65546 JOT65544:JOT65546 JYP65544:JYP65546 KIL65544:KIL65546 KSH65544:KSH65546 LCD65544:LCD65546 LLZ65544:LLZ65546 LVV65544:LVV65546 MFR65544:MFR65546 MPN65544:MPN65546 MZJ65544:MZJ65546 NJF65544:NJF65546 NTB65544:NTB65546 OCX65544:OCX65546 OMT65544:OMT65546 OWP65544:OWP65546 PGL65544:PGL65546 PQH65544:PQH65546 QAD65544:QAD65546 QJZ65544:QJZ65546 QTV65544:QTV65546 RDR65544:RDR65546 RNN65544:RNN65546 RXJ65544:RXJ65546 SHF65544:SHF65546 SRB65544:SRB65546 TAX65544:TAX65546 TKT65544:TKT65546 TUP65544:TUP65546 UEL65544:UEL65546 UOH65544:UOH65546 UYD65544:UYD65546 VHZ65544:VHZ65546 VRV65544:VRV65546 WBR65544:WBR65546 WLN65544:WLN65546 WVJ65544:WVJ65546 B131080:B131082 IX131080:IX131082 ST131080:ST131082 ACP131080:ACP131082 AML131080:AML131082 AWH131080:AWH131082 BGD131080:BGD131082 BPZ131080:BPZ131082 BZV131080:BZV131082 CJR131080:CJR131082 CTN131080:CTN131082 DDJ131080:DDJ131082 DNF131080:DNF131082 DXB131080:DXB131082 EGX131080:EGX131082 EQT131080:EQT131082 FAP131080:FAP131082 FKL131080:FKL131082 FUH131080:FUH131082 GED131080:GED131082 GNZ131080:GNZ131082 GXV131080:GXV131082 HHR131080:HHR131082 HRN131080:HRN131082 IBJ131080:IBJ131082 ILF131080:ILF131082 IVB131080:IVB131082 JEX131080:JEX131082 JOT131080:JOT131082 JYP131080:JYP131082 KIL131080:KIL131082 KSH131080:KSH131082 LCD131080:LCD131082 LLZ131080:LLZ131082 LVV131080:LVV131082 MFR131080:MFR131082 MPN131080:MPN131082 MZJ131080:MZJ131082 NJF131080:NJF131082 NTB131080:NTB131082 OCX131080:OCX131082 OMT131080:OMT131082 OWP131080:OWP131082 PGL131080:PGL131082 PQH131080:PQH131082 QAD131080:QAD131082 QJZ131080:QJZ131082 QTV131080:QTV131082 RDR131080:RDR131082 RNN131080:RNN131082 RXJ131080:RXJ131082 SHF131080:SHF131082 SRB131080:SRB131082 TAX131080:TAX131082 TKT131080:TKT131082 TUP131080:TUP131082 UEL131080:UEL131082 UOH131080:UOH131082 UYD131080:UYD131082 VHZ131080:VHZ131082 VRV131080:VRV131082 WBR131080:WBR131082 WLN131080:WLN131082 WVJ131080:WVJ131082 B196616:B196618 IX196616:IX196618 ST196616:ST196618 ACP196616:ACP196618 AML196616:AML196618 AWH196616:AWH196618 BGD196616:BGD196618 BPZ196616:BPZ196618 BZV196616:BZV196618 CJR196616:CJR196618 CTN196616:CTN196618 DDJ196616:DDJ196618 DNF196616:DNF196618 DXB196616:DXB196618 EGX196616:EGX196618 EQT196616:EQT196618 FAP196616:FAP196618 FKL196616:FKL196618 FUH196616:FUH196618 GED196616:GED196618 GNZ196616:GNZ196618 GXV196616:GXV196618 HHR196616:HHR196618 HRN196616:HRN196618 IBJ196616:IBJ196618 ILF196616:ILF196618 IVB196616:IVB196618 JEX196616:JEX196618 JOT196616:JOT196618 JYP196616:JYP196618 KIL196616:KIL196618 KSH196616:KSH196618 LCD196616:LCD196618 LLZ196616:LLZ196618 LVV196616:LVV196618 MFR196616:MFR196618 MPN196616:MPN196618 MZJ196616:MZJ196618 NJF196616:NJF196618 NTB196616:NTB196618 OCX196616:OCX196618 OMT196616:OMT196618 OWP196616:OWP196618 PGL196616:PGL196618 PQH196616:PQH196618 QAD196616:QAD196618 QJZ196616:QJZ196618 QTV196616:QTV196618 RDR196616:RDR196618 RNN196616:RNN196618 RXJ196616:RXJ196618 SHF196616:SHF196618 SRB196616:SRB196618 TAX196616:TAX196618 TKT196616:TKT196618 TUP196616:TUP196618 UEL196616:UEL196618 UOH196616:UOH196618 UYD196616:UYD196618 VHZ196616:VHZ196618 VRV196616:VRV196618 WBR196616:WBR196618 WLN196616:WLN196618 WVJ196616:WVJ196618 B262152:B262154 IX262152:IX262154 ST262152:ST262154 ACP262152:ACP262154 AML262152:AML262154 AWH262152:AWH262154 BGD262152:BGD262154 BPZ262152:BPZ262154 BZV262152:BZV262154 CJR262152:CJR262154 CTN262152:CTN262154 DDJ262152:DDJ262154 DNF262152:DNF262154 DXB262152:DXB262154 EGX262152:EGX262154 EQT262152:EQT262154 FAP262152:FAP262154 FKL262152:FKL262154 FUH262152:FUH262154 GED262152:GED262154 GNZ262152:GNZ262154 GXV262152:GXV262154 HHR262152:HHR262154 HRN262152:HRN262154 IBJ262152:IBJ262154 ILF262152:ILF262154 IVB262152:IVB262154 JEX262152:JEX262154 JOT262152:JOT262154 JYP262152:JYP262154 KIL262152:KIL262154 KSH262152:KSH262154 LCD262152:LCD262154 LLZ262152:LLZ262154 LVV262152:LVV262154 MFR262152:MFR262154 MPN262152:MPN262154 MZJ262152:MZJ262154 NJF262152:NJF262154 NTB262152:NTB262154 OCX262152:OCX262154 OMT262152:OMT262154 OWP262152:OWP262154 PGL262152:PGL262154 PQH262152:PQH262154 QAD262152:QAD262154 QJZ262152:QJZ262154 QTV262152:QTV262154 RDR262152:RDR262154 RNN262152:RNN262154 RXJ262152:RXJ262154 SHF262152:SHF262154 SRB262152:SRB262154 TAX262152:TAX262154 TKT262152:TKT262154 TUP262152:TUP262154 UEL262152:UEL262154 UOH262152:UOH262154 UYD262152:UYD262154 VHZ262152:VHZ262154 VRV262152:VRV262154 WBR262152:WBR262154 WLN262152:WLN262154 WVJ262152:WVJ262154 B327688:B327690 IX327688:IX327690 ST327688:ST327690 ACP327688:ACP327690 AML327688:AML327690 AWH327688:AWH327690 BGD327688:BGD327690 BPZ327688:BPZ327690 BZV327688:BZV327690 CJR327688:CJR327690 CTN327688:CTN327690 DDJ327688:DDJ327690 DNF327688:DNF327690 DXB327688:DXB327690 EGX327688:EGX327690 EQT327688:EQT327690 FAP327688:FAP327690 FKL327688:FKL327690 FUH327688:FUH327690 GED327688:GED327690 GNZ327688:GNZ327690 GXV327688:GXV327690 HHR327688:HHR327690 HRN327688:HRN327690 IBJ327688:IBJ327690 ILF327688:ILF327690 IVB327688:IVB327690 JEX327688:JEX327690 JOT327688:JOT327690 JYP327688:JYP327690 KIL327688:KIL327690 KSH327688:KSH327690 LCD327688:LCD327690 LLZ327688:LLZ327690 LVV327688:LVV327690 MFR327688:MFR327690 MPN327688:MPN327690 MZJ327688:MZJ327690 NJF327688:NJF327690 NTB327688:NTB327690 OCX327688:OCX327690 OMT327688:OMT327690 OWP327688:OWP327690 PGL327688:PGL327690 PQH327688:PQH327690 QAD327688:QAD327690 QJZ327688:QJZ327690 QTV327688:QTV327690 RDR327688:RDR327690 RNN327688:RNN327690 RXJ327688:RXJ327690 SHF327688:SHF327690 SRB327688:SRB327690 TAX327688:TAX327690 TKT327688:TKT327690 TUP327688:TUP327690 UEL327688:UEL327690 UOH327688:UOH327690 UYD327688:UYD327690 VHZ327688:VHZ327690 VRV327688:VRV327690 WBR327688:WBR327690 WLN327688:WLN327690 WVJ327688:WVJ327690 B393224:B393226 IX393224:IX393226 ST393224:ST393226 ACP393224:ACP393226 AML393224:AML393226 AWH393224:AWH393226 BGD393224:BGD393226 BPZ393224:BPZ393226 BZV393224:BZV393226 CJR393224:CJR393226 CTN393224:CTN393226 DDJ393224:DDJ393226 DNF393224:DNF393226 DXB393224:DXB393226 EGX393224:EGX393226 EQT393224:EQT393226 FAP393224:FAP393226 FKL393224:FKL393226 FUH393224:FUH393226 GED393224:GED393226 GNZ393224:GNZ393226 GXV393224:GXV393226 HHR393224:HHR393226 HRN393224:HRN393226 IBJ393224:IBJ393226 ILF393224:ILF393226 IVB393224:IVB393226 JEX393224:JEX393226 JOT393224:JOT393226 JYP393224:JYP393226 KIL393224:KIL393226 KSH393224:KSH393226 LCD393224:LCD393226 LLZ393224:LLZ393226 LVV393224:LVV393226 MFR393224:MFR393226 MPN393224:MPN393226 MZJ393224:MZJ393226 NJF393224:NJF393226 NTB393224:NTB393226 OCX393224:OCX393226 OMT393224:OMT393226 OWP393224:OWP393226 PGL393224:PGL393226 PQH393224:PQH393226 QAD393224:QAD393226 QJZ393224:QJZ393226 QTV393224:QTV393226 RDR393224:RDR393226 RNN393224:RNN393226 RXJ393224:RXJ393226 SHF393224:SHF393226 SRB393224:SRB393226 TAX393224:TAX393226 TKT393224:TKT393226 TUP393224:TUP393226 UEL393224:UEL393226 UOH393224:UOH393226 UYD393224:UYD393226 VHZ393224:VHZ393226 VRV393224:VRV393226 WBR393224:WBR393226 WLN393224:WLN393226 WVJ393224:WVJ393226 B458760:B458762 IX458760:IX458762 ST458760:ST458762 ACP458760:ACP458762 AML458760:AML458762 AWH458760:AWH458762 BGD458760:BGD458762 BPZ458760:BPZ458762 BZV458760:BZV458762 CJR458760:CJR458762 CTN458760:CTN458762 DDJ458760:DDJ458762 DNF458760:DNF458762 DXB458760:DXB458762 EGX458760:EGX458762 EQT458760:EQT458762 FAP458760:FAP458762 FKL458760:FKL458762 FUH458760:FUH458762 GED458760:GED458762 GNZ458760:GNZ458762 GXV458760:GXV458762 HHR458760:HHR458762 HRN458760:HRN458762 IBJ458760:IBJ458762 ILF458760:ILF458762 IVB458760:IVB458762 JEX458760:JEX458762 JOT458760:JOT458762 JYP458760:JYP458762 KIL458760:KIL458762 KSH458760:KSH458762 LCD458760:LCD458762 LLZ458760:LLZ458762 LVV458760:LVV458762 MFR458760:MFR458762 MPN458760:MPN458762 MZJ458760:MZJ458762 NJF458760:NJF458762 NTB458760:NTB458762 OCX458760:OCX458762 OMT458760:OMT458762 OWP458760:OWP458762 PGL458760:PGL458762 PQH458760:PQH458762 QAD458760:QAD458762 QJZ458760:QJZ458762 QTV458760:QTV458762 RDR458760:RDR458762 RNN458760:RNN458762 RXJ458760:RXJ458762 SHF458760:SHF458762 SRB458760:SRB458762 TAX458760:TAX458762 TKT458760:TKT458762 TUP458760:TUP458762 UEL458760:UEL458762 UOH458760:UOH458762 UYD458760:UYD458762 VHZ458760:VHZ458762 VRV458760:VRV458762 WBR458760:WBR458762 WLN458760:WLN458762 WVJ458760:WVJ458762 B524296:B524298 IX524296:IX524298 ST524296:ST524298 ACP524296:ACP524298 AML524296:AML524298 AWH524296:AWH524298 BGD524296:BGD524298 BPZ524296:BPZ524298 BZV524296:BZV524298 CJR524296:CJR524298 CTN524296:CTN524298 DDJ524296:DDJ524298 DNF524296:DNF524298 DXB524296:DXB524298 EGX524296:EGX524298 EQT524296:EQT524298 FAP524296:FAP524298 FKL524296:FKL524298 FUH524296:FUH524298 GED524296:GED524298 GNZ524296:GNZ524298 GXV524296:GXV524298 HHR524296:HHR524298 HRN524296:HRN524298 IBJ524296:IBJ524298 ILF524296:ILF524298 IVB524296:IVB524298 JEX524296:JEX524298 JOT524296:JOT524298 JYP524296:JYP524298 KIL524296:KIL524298 KSH524296:KSH524298 LCD524296:LCD524298 LLZ524296:LLZ524298 LVV524296:LVV524298 MFR524296:MFR524298 MPN524296:MPN524298 MZJ524296:MZJ524298 NJF524296:NJF524298 NTB524296:NTB524298 OCX524296:OCX524298 OMT524296:OMT524298 OWP524296:OWP524298 PGL524296:PGL524298 PQH524296:PQH524298 QAD524296:QAD524298 QJZ524296:QJZ524298 QTV524296:QTV524298 RDR524296:RDR524298 RNN524296:RNN524298 RXJ524296:RXJ524298 SHF524296:SHF524298 SRB524296:SRB524298 TAX524296:TAX524298 TKT524296:TKT524298 TUP524296:TUP524298 UEL524296:UEL524298 UOH524296:UOH524298 UYD524296:UYD524298 VHZ524296:VHZ524298 VRV524296:VRV524298 WBR524296:WBR524298 WLN524296:WLN524298 WVJ524296:WVJ524298 B589832:B589834 IX589832:IX589834 ST589832:ST589834 ACP589832:ACP589834 AML589832:AML589834 AWH589832:AWH589834 BGD589832:BGD589834 BPZ589832:BPZ589834 BZV589832:BZV589834 CJR589832:CJR589834 CTN589832:CTN589834 DDJ589832:DDJ589834 DNF589832:DNF589834 DXB589832:DXB589834 EGX589832:EGX589834 EQT589832:EQT589834 FAP589832:FAP589834 FKL589832:FKL589834 FUH589832:FUH589834 GED589832:GED589834 GNZ589832:GNZ589834 GXV589832:GXV589834 HHR589832:HHR589834 HRN589832:HRN589834 IBJ589832:IBJ589834 ILF589832:ILF589834 IVB589832:IVB589834 JEX589832:JEX589834 JOT589832:JOT589834 JYP589832:JYP589834 KIL589832:KIL589834 KSH589832:KSH589834 LCD589832:LCD589834 LLZ589832:LLZ589834 LVV589832:LVV589834 MFR589832:MFR589834 MPN589832:MPN589834 MZJ589832:MZJ589834 NJF589832:NJF589834 NTB589832:NTB589834 OCX589832:OCX589834 OMT589832:OMT589834 OWP589832:OWP589834 PGL589832:PGL589834 PQH589832:PQH589834 QAD589832:QAD589834 QJZ589832:QJZ589834 QTV589832:QTV589834 RDR589832:RDR589834 RNN589832:RNN589834 RXJ589832:RXJ589834 SHF589832:SHF589834 SRB589832:SRB589834 TAX589832:TAX589834 TKT589832:TKT589834 TUP589832:TUP589834 UEL589832:UEL589834 UOH589832:UOH589834 UYD589832:UYD589834 VHZ589832:VHZ589834 VRV589832:VRV589834 WBR589832:WBR589834 WLN589832:WLN589834 WVJ589832:WVJ589834 B655368:B655370 IX655368:IX655370 ST655368:ST655370 ACP655368:ACP655370 AML655368:AML655370 AWH655368:AWH655370 BGD655368:BGD655370 BPZ655368:BPZ655370 BZV655368:BZV655370 CJR655368:CJR655370 CTN655368:CTN655370 DDJ655368:DDJ655370 DNF655368:DNF655370 DXB655368:DXB655370 EGX655368:EGX655370 EQT655368:EQT655370 FAP655368:FAP655370 FKL655368:FKL655370 FUH655368:FUH655370 GED655368:GED655370 GNZ655368:GNZ655370 GXV655368:GXV655370 HHR655368:HHR655370 HRN655368:HRN655370 IBJ655368:IBJ655370 ILF655368:ILF655370 IVB655368:IVB655370 JEX655368:JEX655370 JOT655368:JOT655370 JYP655368:JYP655370 KIL655368:KIL655370 KSH655368:KSH655370 LCD655368:LCD655370 LLZ655368:LLZ655370 LVV655368:LVV655370 MFR655368:MFR655370 MPN655368:MPN655370 MZJ655368:MZJ655370 NJF655368:NJF655370 NTB655368:NTB655370 OCX655368:OCX655370 OMT655368:OMT655370 OWP655368:OWP655370 PGL655368:PGL655370 PQH655368:PQH655370 QAD655368:QAD655370 QJZ655368:QJZ655370 QTV655368:QTV655370 RDR655368:RDR655370 RNN655368:RNN655370 RXJ655368:RXJ655370 SHF655368:SHF655370 SRB655368:SRB655370 TAX655368:TAX655370 TKT655368:TKT655370 TUP655368:TUP655370 UEL655368:UEL655370 UOH655368:UOH655370 UYD655368:UYD655370 VHZ655368:VHZ655370 VRV655368:VRV655370 WBR655368:WBR655370 WLN655368:WLN655370 WVJ655368:WVJ655370 B720904:B720906 IX720904:IX720906 ST720904:ST720906 ACP720904:ACP720906 AML720904:AML720906 AWH720904:AWH720906 BGD720904:BGD720906 BPZ720904:BPZ720906 BZV720904:BZV720906 CJR720904:CJR720906 CTN720904:CTN720906 DDJ720904:DDJ720906 DNF720904:DNF720906 DXB720904:DXB720906 EGX720904:EGX720906 EQT720904:EQT720906 FAP720904:FAP720906 FKL720904:FKL720906 FUH720904:FUH720906 GED720904:GED720906 GNZ720904:GNZ720906 GXV720904:GXV720906 HHR720904:HHR720906 HRN720904:HRN720906 IBJ720904:IBJ720906 ILF720904:ILF720906 IVB720904:IVB720906 JEX720904:JEX720906 JOT720904:JOT720906 JYP720904:JYP720906 KIL720904:KIL720906 KSH720904:KSH720906 LCD720904:LCD720906 LLZ720904:LLZ720906 LVV720904:LVV720906 MFR720904:MFR720906 MPN720904:MPN720906 MZJ720904:MZJ720906 NJF720904:NJF720906 NTB720904:NTB720906 OCX720904:OCX720906 OMT720904:OMT720906 OWP720904:OWP720906 PGL720904:PGL720906 PQH720904:PQH720906 QAD720904:QAD720906 QJZ720904:QJZ720906 QTV720904:QTV720906 RDR720904:RDR720906 RNN720904:RNN720906 RXJ720904:RXJ720906 SHF720904:SHF720906 SRB720904:SRB720906 TAX720904:TAX720906 TKT720904:TKT720906 TUP720904:TUP720906 UEL720904:UEL720906 UOH720904:UOH720906 UYD720904:UYD720906 VHZ720904:VHZ720906 VRV720904:VRV720906 WBR720904:WBR720906 WLN720904:WLN720906 WVJ720904:WVJ720906 B786440:B786442 IX786440:IX786442 ST786440:ST786442 ACP786440:ACP786442 AML786440:AML786442 AWH786440:AWH786442 BGD786440:BGD786442 BPZ786440:BPZ786442 BZV786440:BZV786442 CJR786440:CJR786442 CTN786440:CTN786442 DDJ786440:DDJ786442 DNF786440:DNF786442 DXB786440:DXB786442 EGX786440:EGX786442 EQT786440:EQT786442 FAP786440:FAP786442 FKL786440:FKL786442 FUH786440:FUH786442 GED786440:GED786442 GNZ786440:GNZ786442 GXV786440:GXV786442 HHR786440:HHR786442 HRN786440:HRN786442 IBJ786440:IBJ786442 ILF786440:ILF786442 IVB786440:IVB786442 JEX786440:JEX786442 JOT786440:JOT786442 JYP786440:JYP786442 KIL786440:KIL786442 KSH786440:KSH786442 LCD786440:LCD786442 LLZ786440:LLZ786442 LVV786440:LVV786442 MFR786440:MFR786442 MPN786440:MPN786442 MZJ786440:MZJ786442 NJF786440:NJF786442 NTB786440:NTB786442 OCX786440:OCX786442 OMT786440:OMT786442 OWP786440:OWP786442 PGL786440:PGL786442 PQH786440:PQH786442 QAD786440:QAD786442 QJZ786440:QJZ786442 QTV786440:QTV786442 RDR786440:RDR786442 RNN786440:RNN786442 RXJ786440:RXJ786442 SHF786440:SHF786442 SRB786440:SRB786442 TAX786440:TAX786442 TKT786440:TKT786442 TUP786440:TUP786442 UEL786440:UEL786442 UOH786440:UOH786442 UYD786440:UYD786442 VHZ786440:VHZ786442 VRV786440:VRV786442 WBR786440:WBR786442 WLN786440:WLN786442 WVJ786440:WVJ786442 B851976:B851978 IX851976:IX851978 ST851976:ST851978 ACP851976:ACP851978 AML851976:AML851978 AWH851976:AWH851978 BGD851976:BGD851978 BPZ851976:BPZ851978 BZV851976:BZV851978 CJR851976:CJR851978 CTN851976:CTN851978 DDJ851976:DDJ851978 DNF851976:DNF851978 DXB851976:DXB851978 EGX851976:EGX851978 EQT851976:EQT851978 FAP851976:FAP851978 FKL851976:FKL851978 FUH851976:FUH851978 GED851976:GED851978 GNZ851976:GNZ851978 GXV851976:GXV851978 HHR851976:HHR851978 HRN851976:HRN851978 IBJ851976:IBJ851978 ILF851976:ILF851978 IVB851976:IVB851978 JEX851976:JEX851978 JOT851976:JOT851978 JYP851976:JYP851978 KIL851976:KIL851978 KSH851976:KSH851978 LCD851976:LCD851978 LLZ851976:LLZ851978 LVV851976:LVV851978 MFR851976:MFR851978 MPN851976:MPN851978 MZJ851976:MZJ851978 NJF851976:NJF851978 NTB851976:NTB851978 OCX851976:OCX851978 OMT851976:OMT851978 OWP851976:OWP851978 PGL851976:PGL851978 PQH851976:PQH851978 QAD851976:QAD851978 QJZ851976:QJZ851978 QTV851976:QTV851978 RDR851976:RDR851978 RNN851976:RNN851978 RXJ851976:RXJ851978 SHF851976:SHF851978 SRB851976:SRB851978 TAX851976:TAX851978 TKT851976:TKT851978 TUP851976:TUP851978 UEL851976:UEL851978 UOH851976:UOH851978 UYD851976:UYD851978 VHZ851976:VHZ851978 VRV851976:VRV851978 WBR851976:WBR851978 WLN851976:WLN851978 WVJ851976:WVJ851978 B917512:B917514 IX917512:IX917514 ST917512:ST917514 ACP917512:ACP917514 AML917512:AML917514 AWH917512:AWH917514 BGD917512:BGD917514 BPZ917512:BPZ917514 BZV917512:BZV917514 CJR917512:CJR917514 CTN917512:CTN917514 DDJ917512:DDJ917514 DNF917512:DNF917514 DXB917512:DXB917514 EGX917512:EGX917514 EQT917512:EQT917514 FAP917512:FAP917514 FKL917512:FKL917514 FUH917512:FUH917514 GED917512:GED917514 GNZ917512:GNZ917514 GXV917512:GXV917514 HHR917512:HHR917514 HRN917512:HRN917514 IBJ917512:IBJ917514 ILF917512:ILF917514 IVB917512:IVB917514 JEX917512:JEX917514 JOT917512:JOT917514 JYP917512:JYP917514 KIL917512:KIL917514 KSH917512:KSH917514 LCD917512:LCD917514 LLZ917512:LLZ917514 LVV917512:LVV917514 MFR917512:MFR917514 MPN917512:MPN917514 MZJ917512:MZJ917514 NJF917512:NJF917514 NTB917512:NTB917514 OCX917512:OCX917514 OMT917512:OMT917514 OWP917512:OWP917514 PGL917512:PGL917514 PQH917512:PQH917514 QAD917512:QAD917514 QJZ917512:QJZ917514 QTV917512:QTV917514 RDR917512:RDR917514 RNN917512:RNN917514 RXJ917512:RXJ917514 SHF917512:SHF917514 SRB917512:SRB917514 TAX917512:TAX917514 TKT917512:TKT917514 TUP917512:TUP917514 UEL917512:UEL917514 UOH917512:UOH917514 UYD917512:UYD917514 VHZ917512:VHZ917514 VRV917512:VRV917514 WBR917512:WBR917514 WLN917512:WLN917514 WVJ917512:WVJ917514 B983048:B983050 IX983048:IX983050 ST983048:ST983050 ACP983048:ACP983050 AML983048:AML983050 AWH983048:AWH983050 BGD983048:BGD983050 BPZ983048:BPZ983050 BZV983048:BZV983050 CJR983048:CJR983050 CTN983048:CTN983050 DDJ983048:DDJ983050 DNF983048:DNF983050 DXB983048:DXB983050 EGX983048:EGX983050 EQT983048:EQT983050 FAP983048:FAP983050 FKL983048:FKL983050 FUH983048:FUH983050 GED983048:GED983050 GNZ983048:GNZ983050 GXV983048:GXV983050 HHR983048:HHR983050 HRN983048:HRN983050 IBJ983048:IBJ983050 ILF983048:ILF983050 IVB983048:IVB983050 JEX983048:JEX983050 JOT983048:JOT983050 JYP983048:JYP983050 KIL983048:KIL983050 KSH983048:KSH983050 LCD983048:LCD983050 LLZ983048:LLZ983050 LVV983048:LVV983050 MFR983048:MFR983050 MPN983048:MPN983050 MZJ983048:MZJ983050 NJF983048:NJF983050 NTB983048:NTB983050 OCX983048:OCX983050 OMT983048:OMT983050 OWP983048:OWP983050 PGL983048:PGL983050 PQH983048:PQH983050 QAD983048:QAD983050 QJZ983048:QJZ983050 QTV983048:QTV983050 RDR983048:RDR983050 RNN983048:RNN983050 RXJ983048:RXJ983050 SHF983048:SHF983050 SRB983048:SRB983050 TAX983048:TAX983050 TKT983048:TKT983050 TUP983048:TUP983050 UEL983048:UEL983050 UOH983048:UOH983050 UYD983048:UYD983050 VHZ983048:VHZ983050 VRV983048:VRV983050 WBR983048:WBR983050 WLN983048:WLN983050 WVJ983048:WVJ983050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B65533 WVJ983035 WLN983035 WBR983035 VRV983035 VHZ983035 UYD983035 UOH983035 UEL983035 TUP983035 TKT983035 TAX983035 SRB983035 SHF983035 RXJ983035 RNN983035 RDR983035 QTV983035 QJZ983035 QAD983035 PQH983035 PGL983035 OWP983035 OMT983035 OCX983035 NTB983035 NJF983035 MZJ983035 MPN983035 MFR983035 LVV983035 LLZ983035 LCD983035 KSH983035 KIL983035 JYP983035 JOT983035 JEX983035 IVB983035 ILF983035 IBJ983035 HRN983035 HHR983035 GXV983035 GNZ983035 GED983035 FUH983035 FKL983035 FAP983035 EQT983035 EGX983035 DXB983035 DNF983035 DDJ983035 CTN983035 CJR983035 BZV983035 BPZ983035 BGD983035 AWH983035 AML983035 ACP983035 ST983035 IX983035 B983035 WVJ917499 WLN917499 WBR917499 VRV917499 VHZ917499 UYD917499 UOH917499 UEL917499 TUP917499 TKT917499 TAX917499 SRB917499 SHF917499 RXJ917499 RNN917499 RDR917499 QTV917499 QJZ917499 QAD917499 PQH917499 PGL917499 OWP917499 OMT917499 OCX917499 NTB917499 NJF917499 MZJ917499 MPN917499 MFR917499 LVV917499 LLZ917499 LCD917499 KSH917499 KIL917499 JYP917499 JOT917499 JEX917499 IVB917499 ILF917499 IBJ917499 HRN917499 HHR917499 GXV917499 GNZ917499 GED917499 FUH917499 FKL917499 FAP917499 EQT917499 EGX917499 DXB917499 DNF917499 DDJ917499 CTN917499 CJR917499 BZV917499 BPZ917499 BGD917499 AWH917499 AML917499 ACP917499 ST917499 IX917499 B917499 WVJ851963 WLN851963 WBR851963 VRV851963 VHZ851963 UYD851963 UOH851963 UEL851963 TUP851963 TKT851963 TAX851963 SRB851963 SHF851963 RXJ851963 RNN851963 RDR851963 QTV851963 QJZ851963 QAD851963 PQH851963 PGL851963 OWP851963 OMT851963 OCX851963 NTB851963 NJF851963 MZJ851963 MPN851963 MFR851963 LVV851963 LLZ851963 LCD851963 KSH851963 KIL851963 JYP851963 JOT851963 JEX851963 IVB851963 ILF851963 IBJ851963 HRN851963 HHR851963 GXV851963 GNZ851963 GED851963 FUH851963 FKL851963 FAP851963 EQT851963 EGX851963 DXB851963 DNF851963 DDJ851963 CTN851963 CJR851963 BZV851963 BPZ851963 BGD851963 AWH851963 AML851963 ACP851963 ST851963 IX851963 B851963 WVJ786427 WLN786427 WBR786427 VRV786427 VHZ786427 UYD786427 UOH786427 UEL786427 TUP786427 TKT786427 TAX786427 SRB786427 SHF786427 RXJ786427 RNN786427 RDR786427 QTV786427 QJZ786427 QAD786427 PQH786427 PGL786427 OWP786427 OMT786427 OCX786427 NTB786427 NJF786427 MZJ786427 MPN786427 MFR786427 LVV786427 LLZ786427 LCD786427 KSH786427 KIL786427 JYP786427 JOT786427 JEX786427 IVB786427 ILF786427 IBJ786427 HRN786427 HHR786427 GXV786427 GNZ786427 GED786427 FUH786427 FKL786427 FAP786427 EQT786427 EGX786427 DXB786427 DNF786427 DDJ786427 CTN786427 CJR786427 BZV786427 BPZ786427 BGD786427 AWH786427 AML786427 ACP786427 ST786427 IX786427 B786427 WVJ720891 WLN720891 WBR720891 VRV720891 VHZ720891 UYD720891 UOH720891 UEL720891 TUP720891 TKT720891 TAX720891 SRB720891 SHF720891 RXJ720891 RNN720891 RDR720891 QTV720891 QJZ720891 QAD720891 PQH720891 PGL720891 OWP720891 OMT720891 OCX720891 NTB720891 NJF720891 MZJ720891 MPN720891 MFR720891 LVV720891 LLZ720891 LCD720891 KSH720891 KIL720891 JYP720891 JOT720891 JEX720891 IVB720891 ILF720891 IBJ720891 HRN720891 HHR720891 GXV720891 GNZ720891 GED720891 FUH720891 FKL720891 FAP720891 EQT720891 EGX720891 DXB720891 DNF720891 DDJ720891 CTN720891 CJR720891 BZV720891 BPZ720891 BGD720891 AWH720891 AML720891 ACP720891 ST720891 IX720891 B720891 WVJ655355 WLN655355 WBR655355 VRV655355 VHZ655355 UYD655355 UOH655355 UEL655355 TUP655355 TKT655355 TAX655355 SRB655355 SHF655355 RXJ655355 RNN655355 RDR655355 QTV655355 QJZ655355 QAD655355 PQH655355 PGL655355 OWP655355 OMT655355 OCX655355 NTB655355 NJF655355 MZJ655355 MPN655355 MFR655355 LVV655355 LLZ655355 LCD655355 KSH655355 KIL655355 JYP655355 JOT655355 JEX655355 IVB655355 ILF655355 IBJ655355 HRN655355 HHR655355 GXV655355 GNZ655355 GED655355 FUH655355 FKL655355 FAP655355 EQT655355 EGX655355 DXB655355 DNF655355 DDJ655355 CTN655355 CJR655355 BZV655355 BPZ655355 BGD655355 AWH655355 AML655355 ACP655355 ST655355 IX655355 B655355 WVJ589819 WLN589819 WBR589819 VRV589819 VHZ589819 UYD589819 UOH589819 UEL589819 TUP589819 TKT589819 TAX589819 SRB589819 SHF589819 RXJ589819 RNN589819 RDR589819 QTV589819 QJZ589819 QAD589819 PQH589819 PGL589819 OWP589819 OMT589819 OCX589819 NTB589819 NJF589819 MZJ589819 MPN589819 MFR589819 LVV589819 LLZ589819 LCD589819 KSH589819 KIL589819 JYP589819 JOT589819 JEX589819 IVB589819 ILF589819 IBJ589819 HRN589819 HHR589819 GXV589819 GNZ589819 GED589819 FUH589819 FKL589819 FAP589819 EQT589819 EGX589819 DXB589819 DNF589819 DDJ589819 CTN589819 CJR589819 BZV589819 BPZ589819 BGD589819 AWH589819 AML589819 ACP589819 ST589819 IX589819 B589819 WVJ524283 WLN524283 WBR524283 VRV524283 VHZ524283 UYD524283 UOH524283 UEL524283 TUP524283 TKT524283 TAX524283 SRB524283 SHF524283 RXJ524283 RNN524283 RDR524283 QTV524283 QJZ524283 QAD524283 PQH524283 PGL524283 OWP524283 OMT524283 OCX524283 NTB524283 NJF524283 MZJ524283 MPN524283 MFR524283 LVV524283 LLZ524283 LCD524283 KSH524283 KIL524283 JYP524283 JOT524283 JEX524283 IVB524283 ILF524283 IBJ524283 HRN524283 HHR524283 GXV524283 GNZ524283 GED524283 FUH524283 FKL524283 FAP524283 EQT524283 EGX524283 DXB524283 DNF524283 DDJ524283 CTN524283 CJR524283 BZV524283 BPZ524283 BGD524283 AWH524283 AML524283 ACP524283 ST524283 IX524283 B524283 WVJ458747 WLN458747 WBR458747 VRV458747 VHZ458747 UYD458747 UOH458747 UEL458747 TUP458747 TKT458747 TAX458747 SRB458747 SHF458747 RXJ458747 RNN458747 RDR458747 QTV458747 QJZ458747 QAD458747 PQH458747 PGL458747 OWP458747 OMT458747 OCX458747 NTB458747 NJF458747 MZJ458747 MPN458747 MFR458747 LVV458747 LLZ458747 LCD458747 KSH458747 KIL458747 JYP458747 JOT458747 JEX458747 IVB458747 ILF458747 IBJ458747 HRN458747 HHR458747 GXV458747 GNZ458747 GED458747 FUH458747 FKL458747 FAP458747 EQT458747 EGX458747 DXB458747 DNF458747 DDJ458747 CTN458747 CJR458747 BZV458747 BPZ458747 BGD458747 AWH458747 AML458747 ACP458747 ST458747 IX458747 B458747 WVJ393211 WLN393211 WBR393211 VRV393211 VHZ393211 UYD393211 UOH393211 UEL393211 TUP393211 TKT393211 TAX393211 SRB393211 SHF393211 RXJ393211 RNN393211 RDR393211 QTV393211 QJZ393211 QAD393211 PQH393211 PGL393211 OWP393211 OMT393211 OCX393211 NTB393211 NJF393211 MZJ393211 MPN393211 MFR393211 LVV393211 LLZ393211 LCD393211 KSH393211 KIL393211 JYP393211 JOT393211 JEX393211 IVB393211 ILF393211 IBJ393211 HRN393211 HHR393211 GXV393211 GNZ393211 GED393211 FUH393211 FKL393211 FAP393211 EQT393211 EGX393211 DXB393211 DNF393211 DDJ393211 CTN393211 CJR393211 BZV393211 BPZ393211 BGD393211 AWH393211 AML393211 ACP393211 ST393211 IX393211 B393211 WVJ327675 WLN327675 WBR327675 VRV327675 VHZ327675 UYD327675 UOH327675 UEL327675 TUP327675 TKT327675 TAX327675 SRB327675 SHF327675 RXJ327675 RNN327675 RDR327675 QTV327675 QJZ327675 QAD327675 PQH327675 PGL327675 OWP327675 OMT327675 OCX327675 NTB327675 NJF327675 MZJ327675 MPN327675 MFR327675 LVV327675 LLZ327675 LCD327675 KSH327675 KIL327675 JYP327675 JOT327675 JEX327675 IVB327675 ILF327675 IBJ327675 HRN327675 HHR327675 GXV327675 GNZ327675 GED327675 FUH327675 FKL327675 FAP327675 EQT327675 EGX327675 DXB327675 DNF327675 DDJ327675 CTN327675 CJR327675 BZV327675 BPZ327675 BGD327675 AWH327675 AML327675 ACP327675 ST327675 IX327675 B327675 WVJ262139 WLN262139 WBR262139 VRV262139 VHZ262139 UYD262139 UOH262139 UEL262139 TUP262139 TKT262139 TAX262139 SRB262139 SHF262139 RXJ262139 RNN262139 RDR262139 QTV262139 QJZ262139 QAD262139 PQH262139 PGL262139 OWP262139 OMT262139 OCX262139 NTB262139 NJF262139 MZJ262139 MPN262139 MFR262139 LVV262139 LLZ262139 LCD262139 KSH262139 KIL262139 JYP262139 JOT262139 JEX262139 IVB262139 ILF262139 IBJ262139 HRN262139 HHR262139 GXV262139 GNZ262139 GED262139 FUH262139 FKL262139 FAP262139 EQT262139 EGX262139 DXB262139 DNF262139 DDJ262139 CTN262139 CJR262139 BZV262139 BPZ262139 BGD262139 AWH262139 AML262139 ACP262139 ST262139 IX262139 B262139 WVJ196603 WLN196603 WBR196603 VRV196603 VHZ196603 UYD196603 UOH196603 UEL196603 TUP196603 TKT196603 TAX196603 SRB196603 SHF196603 RXJ196603 RNN196603 RDR196603 QTV196603 QJZ196603 QAD196603 PQH196603 PGL196603 OWP196603 OMT196603 OCX196603 NTB196603 NJF196603 MZJ196603 MPN196603 MFR196603 LVV196603 LLZ196603 LCD196603 KSH196603 KIL196603 JYP196603 JOT196603 JEX196603 IVB196603 ILF196603 IBJ196603 HRN196603 HHR196603 GXV196603 GNZ196603 GED196603 FUH196603 FKL196603 FAP196603 EQT196603 EGX196603 DXB196603 DNF196603 DDJ196603 CTN196603 CJR196603 BZV196603 BPZ196603 BGD196603 AWH196603 AML196603 ACP196603 ST196603 IX196603 B196603 WVJ131067 WLN131067 WBR131067 VRV131067 VHZ131067 UYD131067 UOH131067 UEL131067 TUP131067 TKT131067 TAX131067 SRB131067 SHF131067 RXJ131067 RNN131067 RDR131067 QTV131067 QJZ131067 QAD131067 PQH131067 PGL131067 OWP131067 OMT131067 OCX131067 NTB131067 NJF131067 MZJ131067 MPN131067 MFR131067 LVV131067 LLZ131067 LCD131067 KSH131067 KIL131067 JYP131067 JOT131067 JEX131067 IVB131067 ILF131067 IBJ131067 HRN131067 HHR131067 GXV131067 GNZ131067 GED131067 FUH131067 FKL131067 FAP131067 EQT131067 EGX131067 DXB131067 DNF131067 DDJ131067 CTN131067 CJR131067 BZV131067 BPZ131067 BGD131067 AWH131067 AML131067 ACP131067 ST131067 IX131067 B131067 WVJ65531 WLN65531 WBR65531 VRV65531 VHZ65531 UYD65531 UOH65531 UEL65531 TUP65531 TKT65531 TAX65531 SRB65531 SHF65531 RXJ65531 RNN65531 RDR65531 QTV65531 QJZ65531 QAD65531 PQH65531 PGL65531 OWP65531 OMT65531 OCX65531 NTB65531 NJF65531 MZJ65531 MPN65531 MFR65531 LVV65531 LLZ65531 LCD65531 KSH65531 KIL65531 JYP65531 JOT65531 JEX65531 IVB65531 ILF65531 IBJ65531 HRN65531 HHR65531 GXV65531 GNZ65531 GED65531 FUH65531 FKL65531 FAP65531 EQT65531 EGX65531 DXB65531 DNF65531 DDJ65531 CTN65531 CJR65531 BZV65531 BPZ65531 BGD65531 AWH65531 AML65531 ACP65531 ST65531 IX65531 B65531 WVJ983037 WLN983037 WBR983037 VRV983037 VHZ983037 UYD983037 UOH983037 UEL983037 TUP983037 TKT983037 TAX983037 SRB983037 SHF983037 RXJ983037 RNN983037 RDR983037 QTV983037 QJZ983037 QAD983037 PQH983037 PGL983037 OWP983037 OMT983037 OCX983037 NTB983037 NJF983037 MZJ983037 MPN983037 MFR983037 LVV983037 LLZ983037 LCD983037 KSH983037 KIL983037 JYP983037 JOT983037 JEX983037 IVB983037 ILF983037 IBJ983037 HRN983037 HHR983037 GXV983037 GNZ983037 GED983037 FUH983037 FKL983037 FAP983037 EQT983037 EGX983037 DXB983037 DNF983037 DDJ983037 CTN983037 CJR983037 BZV983037 BPZ983037 BGD983037 AWH983037 AML983037 ACP983037 ST983037 IX983037 B983037 WVJ917501 WLN917501 WBR917501 VRV917501 VHZ917501 UYD917501 UOH917501 UEL917501 TUP917501 TKT917501 TAX917501 SRB917501 SHF917501 RXJ917501 RNN917501 RDR917501 QTV917501 QJZ917501 QAD917501 PQH917501 PGL917501 OWP917501 OMT917501 OCX917501 NTB917501 NJF917501 MZJ917501 MPN917501 MFR917501 LVV917501 LLZ917501 LCD917501 KSH917501 KIL917501 JYP917501 JOT917501 JEX917501 IVB917501 ILF917501 IBJ917501 HRN917501 HHR917501 GXV917501 GNZ917501 GED917501 FUH917501 FKL917501 FAP917501 EQT917501 EGX917501 DXB917501 DNF917501 DDJ917501 CTN917501 CJR917501 BZV917501 BPZ917501 BGD917501 AWH917501 AML917501 ACP917501 ST917501 IX917501 B917501 WVJ851965 WLN851965 WBR851965 VRV851965 VHZ851965 UYD851965 UOH851965 UEL851965 TUP851965 TKT851965 TAX851965 SRB851965 SHF851965 RXJ851965 RNN851965 RDR851965 QTV851965 QJZ851965 QAD851965 PQH851965 PGL851965 OWP851965 OMT851965 OCX851965 NTB851965 NJF851965 MZJ851965 MPN851965 MFR851965 LVV851965 LLZ851965 LCD851965 KSH851965 KIL851965 JYP851965 JOT851965 JEX851965 IVB851965 ILF851965 IBJ851965 HRN851965 HHR851965 GXV851965 GNZ851965 GED851965 FUH851965 FKL851965 FAP851965 EQT851965 EGX851965 DXB851965 DNF851965 DDJ851965 CTN851965 CJR851965 BZV851965 BPZ851965 BGD851965 AWH851965 AML851965 ACP851965 ST851965 IX851965 B851965 WVJ786429 WLN786429 WBR786429 VRV786429 VHZ786429 UYD786429 UOH786429 UEL786429 TUP786429 TKT786429 TAX786429 SRB786429 SHF786429 RXJ786429 RNN786429 RDR786429 QTV786429 QJZ786429 QAD786429 PQH786429 PGL786429 OWP786429 OMT786429 OCX786429 NTB786429 NJF786429 MZJ786429 MPN786429 MFR786429 LVV786429 LLZ786429 LCD786429 KSH786429 KIL786429 JYP786429 JOT786429 JEX786429 IVB786429 ILF786429 IBJ786429 HRN786429 HHR786429 GXV786429 GNZ786429 GED786429 FUH786429 FKL786429 FAP786429 EQT786429 EGX786429 DXB786429 DNF786429 DDJ786429 CTN786429 CJR786429 BZV786429 BPZ786429 BGD786429 AWH786429 AML786429 ACP786429 ST786429 IX786429 B786429 WVJ720893 WLN720893 WBR720893 VRV720893 VHZ720893 UYD720893 UOH720893 UEL720893 TUP720893 TKT720893 TAX720893 SRB720893 SHF720893 RXJ720893 RNN720893 RDR720893 QTV720893 QJZ720893 QAD720893 PQH720893 PGL720893 OWP720893 OMT720893 OCX720893 NTB720893 NJF720893 MZJ720893 MPN720893 MFR720893 LVV720893 LLZ720893 LCD720893 KSH720893 KIL720893 JYP720893 JOT720893 JEX720893 IVB720893 ILF720893 IBJ720893 HRN720893 HHR720893 GXV720893 GNZ720893 GED720893 FUH720893 FKL720893 FAP720893 EQT720893 EGX720893 DXB720893 DNF720893 DDJ720893 CTN720893 CJR720893 BZV720893 BPZ720893 BGD720893 AWH720893 AML720893 ACP720893 ST720893 IX720893 B720893 WVJ655357 WLN655357 WBR655357 VRV655357 VHZ655357 UYD655357 UOH655357 UEL655357 TUP655357 TKT655357 TAX655357 SRB655357 SHF655357 RXJ655357 RNN655357 RDR655357 QTV655357 QJZ655357 QAD655357 PQH655357 PGL655357 OWP655357 OMT655357 OCX655357 NTB655357 NJF655357 MZJ655357 MPN655357 MFR655357 LVV655357 LLZ655357 LCD655357 KSH655357 KIL655357 JYP655357 JOT655357 JEX655357 IVB655357 ILF655357 IBJ655357 HRN655357 HHR655357 GXV655357 GNZ655357 GED655357 FUH655357 FKL655357 FAP655357 EQT655357 EGX655357 DXB655357 DNF655357 DDJ655357 CTN655357 CJR655357 BZV655357 BPZ655357 BGD655357 AWH655357 AML655357 ACP655357 ST655357 IX655357 B655357 WVJ589821 WLN589821 WBR589821 VRV589821 VHZ589821 UYD589821 UOH589821 UEL589821 TUP589821 TKT589821 TAX589821 SRB589821 SHF589821 RXJ589821 RNN589821 RDR589821 QTV589821 QJZ589821 QAD589821 PQH589821 PGL589821 OWP589821 OMT589821 OCX589821 NTB589821 NJF589821 MZJ589821 MPN589821 MFR589821 LVV589821 LLZ589821 LCD589821 KSH589821 KIL589821 JYP589821 JOT589821 JEX589821 IVB589821 ILF589821 IBJ589821 HRN589821 HHR589821 GXV589821 GNZ589821 GED589821 FUH589821 FKL589821 FAP589821 EQT589821 EGX589821 DXB589821 DNF589821 DDJ589821 CTN589821 CJR589821 BZV589821 BPZ589821 BGD589821 AWH589821 AML589821 ACP589821 ST589821 IX589821 B589821 WVJ524285 WLN524285 WBR524285 VRV524285 VHZ524285 UYD524285 UOH524285 UEL524285 TUP524285 TKT524285 TAX524285 SRB524285 SHF524285 RXJ524285 RNN524285 RDR524285 QTV524285 QJZ524285 QAD524285 PQH524285 PGL524285 OWP524285 OMT524285 OCX524285 NTB524285 NJF524285 MZJ524285 MPN524285 MFR524285 LVV524285 LLZ524285 LCD524285 KSH524285 KIL524285 JYP524285 JOT524285 JEX524285 IVB524285 ILF524285 IBJ524285 HRN524285 HHR524285 GXV524285 GNZ524285 GED524285 FUH524285 FKL524285 FAP524285 EQT524285 EGX524285 DXB524285 DNF524285 DDJ524285 CTN524285 CJR524285 BZV524285 BPZ524285 BGD524285 AWH524285 AML524285 ACP524285 ST524285 IX524285 B524285 WVJ458749 WLN458749 WBR458749 VRV458749 VHZ458749 UYD458749 UOH458749 UEL458749 TUP458749 TKT458749 TAX458749 SRB458749 SHF458749 RXJ458749 RNN458749 RDR458749 QTV458749 QJZ458749 QAD458749 PQH458749 PGL458749 OWP458749 OMT458749 OCX458749 NTB458749 NJF458749 MZJ458749 MPN458749 MFR458749 LVV458749 LLZ458749 LCD458749 KSH458749 KIL458749 JYP458749 JOT458749 JEX458749 IVB458749 ILF458749 IBJ458749 HRN458749 HHR458749 GXV458749 GNZ458749 GED458749 FUH458749 FKL458749 FAP458749 EQT458749 EGX458749 DXB458749 DNF458749 DDJ458749 CTN458749 CJR458749 BZV458749 BPZ458749 BGD458749 AWH458749 AML458749 ACP458749 ST458749 IX458749 B458749 WVJ393213 WLN393213 WBR393213 VRV393213 VHZ393213 UYD393213 UOH393213 UEL393213 TUP393213 TKT393213 TAX393213 SRB393213 SHF393213 RXJ393213 RNN393213 RDR393213 QTV393213 QJZ393213 QAD393213 PQH393213 PGL393213 OWP393213 OMT393213 OCX393213 NTB393213 NJF393213 MZJ393213 MPN393213 MFR393213 LVV393213 LLZ393213 LCD393213 KSH393213 KIL393213 JYP393213 JOT393213 JEX393213 IVB393213 ILF393213 IBJ393213 HRN393213 HHR393213 GXV393213 GNZ393213 GED393213 FUH393213 FKL393213 FAP393213 EQT393213 EGX393213 DXB393213 DNF393213 DDJ393213 CTN393213 CJR393213 BZV393213 BPZ393213 BGD393213 AWH393213 AML393213 ACP393213 ST393213 IX393213 B393213 WVJ327677 WLN327677 WBR327677 VRV327677 VHZ327677 UYD327677 UOH327677 UEL327677 TUP327677 TKT327677 TAX327677 SRB327677 SHF327677 RXJ327677 RNN327677 RDR327677 QTV327677 QJZ327677 QAD327677 PQH327677 PGL327677 OWP327677 OMT327677 OCX327677 NTB327677 NJF327677 MZJ327677 MPN327677 MFR327677 LVV327677 LLZ327677 LCD327677 KSH327677 KIL327677 JYP327677 JOT327677 JEX327677 IVB327677 ILF327677 IBJ327677 HRN327677 HHR327677 GXV327677 GNZ327677 GED327677 FUH327677 FKL327677 FAP327677 EQT327677 EGX327677 DXB327677 DNF327677 DDJ327677 CTN327677 CJR327677 BZV327677 BPZ327677 BGD327677 AWH327677 AML327677 ACP327677 ST327677 IX327677 B327677 WVJ262141 WLN262141 WBR262141 VRV262141 VHZ262141 UYD262141 UOH262141 UEL262141 TUP262141 TKT262141 TAX262141 SRB262141 SHF262141 RXJ262141 RNN262141 RDR262141 QTV262141 QJZ262141 QAD262141 PQH262141 PGL262141 OWP262141 OMT262141 OCX262141 NTB262141 NJF262141 MZJ262141 MPN262141 MFR262141 LVV262141 LLZ262141 LCD262141 KSH262141 KIL262141 JYP262141 JOT262141 JEX262141 IVB262141 ILF262141 IBJ262141 HRN262141 HHR262141 GXV262141 GNZ262141 GED262141 FUH262141 FKL262141 FAP262141 EQT262141 EGX262141 DXB262141 DNF262141 DDJ262141 CTN262141 CJR262141 BZV262141 BPZ262141 BGD262141 AWH262141 AML262141 ACP262141 ST262141 IX262141 B262141 WVJ196605 WLN196605 WBR196605 VRV196605 VHZ196605 UYD196605 UOH196605 UEL196605 TUP196605 TKT196605 TAX196605 SRB196605 SHF196605 RXJ196605 RNN196605 RDR196605 QTV196605 QJZ196605 QAD196605 PQH196605 PGL196605 OWP196605 OMT196605 OCX196605 NTB196605 NJF196605 MZJ196605 MPN196605 MFR196605 LVV196605 LLZ196605 LCD196605 KSH196605 KIL196605 JYP196605 JOT196605 JEX196605 IVB196605 ILF196605 IBJ196605 HRN196605 HHR196605 GXV196605 GNZ196605 GED196605 FUH196605 FKL196605 FAP196605 EQT196605 EGX196605 DXB196605 DNF196605 DDJ196605 CTN196605 CJR196605 BZV196605 BPZ196605 BGD196605 AWH196605 AML196605 ACP196605 ST196605 IX196605 B196605 WVJ131069 WLN131069 WBR131069 VRV131069 VHZ131069 UYD131069 UOH131069 UEL131069 TUP131069 TKT131069 TAX131069 SRB131069 SHF131069 RXJ131069 RNN131069 RDR131069 QTV131069 QJZ131069 QAD131069 PQH131069 PGL131069 OWP131069 OMT131069 OCX131069 NTB131069 NJF131069 MZJ131069 MPN131069 MFR131069 LVV131069 LLZ131069 LCD131069 KSH131069 KIL131069 JYP131069 JOT131069 JEX131069 IVB131069 ILF131069 IBJ131069 HRN131069 HHR131069 GXV131069 GNZ131069 GED131069 FUH131069 FKL131069 FAP131069 EQT131069 EGX131069 DXB131069 DNF131069 DDJ131069 CTN131069 CJR131069 BZV131069 BPZ131069 BGD131069 AWH131069 AML131069 ACP131069 ST131069 IX131069 B131069 WVJ65533 WLN65533 WBR65533 VRV65533 VHZ65533 UYD65533 UOH65533 UEL65533 TUP65533 TKT65533 TAX65533 SRB65533 SHF65533 RXJ65533 RNN65533 RDR65533 QTV65533 QJZ65533 QAD65533 PQH65533 PGL65533 OWP65533 OMT65533 OCX65533 NTB65533 NJF65533 MZJ65533 MPN65533 MFR65533 LVV65533 LLZ65533 LCD65533 KSH65533 KIL65533 JYP65533 JOT65533 JEX65533 IVB65533 ILF65533 IBJ65533 HRN65533 HHR65533 GXV65533 GNZ65533 GED65533 FUH65533 FKL65533 FAP65533 EQT65533 EGX65533 DXB65533 DNF65533 DDJ65533 CTN65533 CJR65533 BZV65533 BPZ65533 BGD65533 AWH65533 AML65533 ACP65533 ST65533 IX65533 B65599:B65603 WVJ983074:WVJ983078 WLN983074:WLN983078 WBR983074:WBR983078 VRV983074:VRV983078 VHZ983074:VHZ983078 UYD983074:UYD983078 UOH983074:UOH983078 UEL983074:UEL983078 TUP983074:TUP983078 TKT983074:TKT983078 TAX983074:TAX983078 SRB983074:SRB983078 SHF983074:SHF983078 RXJ983074:RXJ983078 RNN983074:RNN983078 RDR983074:RDR983078 QTV983074:QTV983078 QJZ983074:QJZ983078 QAD983074:QAD983078 PQH983074:PQH983078 PGL983074:PGL983078 OWP983074:OWP983078 OMT983074:OMT983078 OCX983074:OCX983078 NTB983074:NTB983078 NJF983074:NJF983078 MZJ983074:MZJ983078 MPN983074:MPN983078 MFR983074:MFR983078 LVV983074:LVV983078 LLZ983074:LLZ983078 LCD983074:LCD983078 KSH983074:KSH983078 KIL983074:KIL983078 JYP983074:JYP983078 JOT983074:JOT983078 JEX983074:JEX983078 IVB983074:IVB983078 ILF983074:ILF983078 IBJ983074:IBJ983078 HRN983074:HRN983078 HHR983074:HHR983078 GXV983074:GXV983078 GNZ983074:GNZ983078 GED983074:GED983078 FUH983074:FUH983078 FKL983074:FKL983078 FAP983074:FAP983078 EQT983074:EQT983078 EGX983074:EGX983078 DXB983074:DXB983078 DNF983074:DNF983078 DDJ983074:DDJ983078 CTN983074:CTN983078 CJR983074:CJR983078 BZV983074:BZV983078 BPZ983074:BPZ983078 BGD983074:BGD983078 AWH983074:AWH983078 AML983074:AML983078 ACP983074:ACP983078 ST983074:ST983078 IX983074:IX983078 B983074:B983078 WVJ917538:WVJ917542 WLN917538:WLN917542 WBR917538:WBR917542 VRV917538:VRV917542 VHZ917538:VHZ917542 UYD917538:UYD917542 UOH917538:UOH917542 UEL917538:UEL917542 TUP917538:TUP917542 TKT917538:TKT917542 TAX917538:TAX917542 SRB917538:SRB917542 SHF917538:SHF917542 RXJ917538:RXJ917542 RNN917538:RNN917542 RDR917538:RDR917542 QTV917538:QTV917542 QJZ917538:QJZ917542 QAD917538:QAD917542 PQH917538:PQH917542 PGL917538:PGL917542 OWP917538:OWP917542 OMT917538:OMT917542 OCX917538:OCX917542 NTB917538:NTB917542 NJF917538:NJF917542 MZJ917538:MZJ917542 MPN917538:MPN917542 MFR917538:MFR917542 LVV917538:LVV917542 LLZ917538:LLZ917542 LCD917538:LCD917542 KSH917538:KSH917542 KIL917538:KIL917542 JYP917538:JYP917542 JOT917538:JOT917542 JEX917538:JEX917542 IVB917538:IVB917542 ILF917538:ILF917542 IBJ917538:IBJ917542 HRN917538:HRN917542 HHR917538:HHR917542 GXV917538:GXV917542 GNZ917538:GNZ917542 GED917538:GED917542 FUH917538:FUH917542 FKL917538:FKL917542 FAP917538:FAP917542 EQT917538:EQT917542 EGX917538:EGX917542 DXB917538:DXB917542 DNF917538:DNF917542 DDJ917538:DDJ917542 CTN917538:CTN917542 CJR917538:CJR917542 BZV917538:BZV917542 BPZ917538:BPZ917542 BGD917538:BGD917542 AWH917538:AWH917542 AML917538:AML917542 ACP917538:ACP917542 ST917538:ST917542 IX917538:IX917542 B917538:B917542 WVJ852002:WVJ852006 WLN852002:WLN852006 WBR852002:WBR852006 VRV852002:VRV852006 VHZ852002:VHZ852006 UYD852002:UYD852006 UOH852002:UOH852006 UEL852002:UEL852006 TUP852002:TUP852006 TKT852002:TKT852006 TAX852002:TAX852006 SRB852002:SRB852006 SHF852002:SHF852006 RXJ852002:RXJ852006 RNN852002:RNN852006 RDR852002:RDR852006 QTV852002:QTV852006 QJZ852002:QJZ852006 QAD852002:QAD852006 PQH852002:PQH852006 PGL852002:PGL852006 OWP852002:OWP852006 OMT852002:OMT852006 OCX852002:OCX852006 NTB852002:NTB852006 NJF852002:NJF852006 MZJ852002:MZJ852006 MPN852002:MPN852006 MFR852002:MFR852006 LVV852002:LVV852006 LLZ852002:LLZ852006 LCD852002:LCD852006 KSH852002:KSH852006 KIL852002:KIL852006 JYP852002:JYP852006 JOT852002:JOT852006 JEX852002:JEX852006 IVB852002:IVB852006 ILF852002:ILF852006 IBJ852002:IBJ852006 HRN852002:HRN852006 HHR852002:HHR852006 GXV852002:GXV852006 GNZ852002:GNZ852006 GED852002:GED852006 FUH852002:FUH852006 FKL852002:FKL852006 FAP852002:FAP852006 EQT852002:EQT852006 EGX852002:EGX852006 DXB852002:DXB852006 DNF852002:DNF852006 DDJ852002:DDJ852006 CTN852002:CTN852006 CJR852002:CJR852006 BZV852002:BZV852006 BPZ852002:BPZ852006 BGD852002:BGD852006 AWH852002:AWH852006 AML852002:AML852006 ACP852002:ACP852006 ST852002:ST852006 IX852002:IX852006 B852002:B852006 WVJ786466:WVJ786470 WLN786466:WLN786470 WBR786466:WBR786470 VRV786466:VRV786470 VHZ786466:VHZ786470 UYD786466:UYD786470 UOH786466:UOH786470 UEL786466:UEL786470 TUP786466:TUP786470 TKT786466:TKT786470 TAX786466:TAX786470 SRB786466:SRB786470 SHF786466:SHF786470 RXJ786466:RXJ786470 RNN786466:RNN786470 RDR786466:RDR786470 QTV786466:QTV786470 QJZ786466:QJZ786470 QAD786466:QAD786470 PQH786466:PQH786470 PGL786466:PGL786470 OWP786466:OWP786470 OMT786466:OMT786470 OCX786466:OCX786470 NTB786466:NTB786470 NJF786466:NJF786470 MZJ786466:MZJ786470 MPN786466:MPN786470 MFR786466:MFR786470 LVV786466:LVV786470 LLZ786466:LLZ786470 LCD786466:LCD786470 KSH786466:KSH786470 KIL786466:KIL786470 JYP786466:JYP786470 JOT786466:JOT786470 JEX786466:JEX786470 IVB786466:IVB786470 ILF786466:ILF786470 IBJ786466:IBJ786470 HRN786466:HRN786470 HHR786466:HHR786470 GXV786466:GXV786470 GNZ786466:GNZ786470 GED786466:GED786470 FUH786466:FUH786470 FKL786466:FKL786470 FAP786466:FAP786470 EQT786466:EQT786470 EGX786466:EGX786470 DXB786466:DXB786470 DNF786466:DNF786470 DDJ786466:DDJ786470 CTN786466:CTN786470 CJR786466:CJR786470 BZV786466:BZV786470 BPZ786466:BPZ786470 BGD786466:BGD786470 AWH786466:AWH786470 AML786466:AML786470 ACP786466:ACP786470 ST786466:ST786470 IX786466:IX786470 B786466:B786470 WVJ720930:WVJ720934 WLN720930:WLN720934 WBR720930:WBR720934 VRV720930:VRV720934 VHZ720930:VHZ720934 UYD720930:UYD720934 UOH720930:UOH720934 UEL720930:UEL720934 TUP720930:TUP720934 TKT720930:TKT720934 TAX720930:TAX720934 SRB720930:SRB720934 SHF720930:SHF720934 RXJ720930:RXJ720934 RNN720930:RNN720934 RDR720930:RDR720934 QTV720930:QTV720934 QJZ720930:QJZ720934 QAD720930:QAD720934 PQH720930:PQH720934 PGL720930:PGL720934 OWP720930:OWP720934 OMT720930:OMT720934 OCX720930:OCX720934 NTB720930:NTB720934 NJF720930:NJF720934 MZJ720930:MZJ720934 MPN720930:MPN720934 MFR720930:MFR720934 LVV720930:LVV720934 LLZ720930:LLZ720934 LCD720930:LCD720934 KSH720930:KSH720934 KIL720930:KIL720934 JYP720930:JYP720934 JOT720930:JOT720934 JEX720930:JEX720934 IVB720930:IVB720934 ILF720930:ILF720934 IBJ720930:IBJ720934 HRN720930:HRN720934 HHR720930:HHR720934 GXV720930:GXV720934 GNZ720930:GNZ720934 GED720930:GED720934 FUH720930:FUH720934 FKL720930:FKL720934 FAP720930:FAP720934 EQT720930:EQT720934 EGX720930:EGX720934 DXB720930:DXB720934 DNF720930:DNF720934 DDJ720930:DDJ720934 CTN720930:CTN720934 CJR720930:CJR720934 BZV720930:BZV720934 BPZ720930:BPZ720934 BGD720930:BGD720934 AWH720930:AWH720934 AML720930:AML720934 ACP720930:ACP720934 ST720930:ST720934 IX720930:IX720934 B720930:B720934 WVJ655394:WVJ655398 WLN655394:WLN655398 WBR655394:WBR655398 VRV655394:VRV655398 VHZ655394:VHZ655398 UYD655394:UYD655398 UOH655394:UOH655398 UEL655394:UEL655398 TUP655394:TUP655398 TKT655394:TKT655398 TAX655394:TAX655398 SRB655394:SRB655398 SHF655394:SHF655398 RXJ655394:RXJ655398 RNN655394:RNN655398 RDR655394:RDR655398 QTV655394:QTV655398 QJZ655394:QJZ655398 QAD655394:QAD655398 PQH655394:PQH655398 PGL655394:PGL655398 OWP655394:OWP655398 OMT655394:OMT655398 OCX655394:OCX655398 NTB655394:NTB655398 NJF655394:NJF655398 MZJ655394:MZJ655398 MPN655394:MPN655398 MFR655394:MFR655398 LVV655394:LVV655398 LLZ655394:LLZ655398 LCD655394:LCD655398 KSH655394:KSH655398 KIL655394:KIL655398 JYP655394:JYP655398 JOT655394:JOT655398 JEX655394:JEX655398 IVB655394:IVB655398 ILF655394:ILF655398 IBJ655394:IBJ655398 HRN655394:HRN655398 HHR655394:HHR655398 GXV655394:GXV655398 GNZ655394:GNZ655398 GED655394:GED655398 FUH655394:FUH655398 FKL655394:FKL655398 FAP655394:FAP655398 EQT655394:EQT655398 EGX655394:EGX655398 DXB655394:DXB655398 DNF655394:DNF655398 DDJ655394:DDJ655398 CTN655394:CTN655398 CJR655394:CJR655398 BZV655394:BZV655398 BPZ655394:BPZ655398 BGD655394:BGD655398 AWH655394:AWH655398 AML655394:AML655398 ACP655394:ACP655398 ST655394:ST655398 IX655394:IX655398 B655394:B655398 WVJ589858:WVJ589862 WLN589858:WLN589862 WBR589858:WBR589862 VRV589858:VRV589862 VHZ589858:VHZ589862 UYD589858:UYD589862 UOH589858:UOH589862 UEL589858:UEL589862 TUP589858:TUP589862 TKT589858:TKT589862 TAX589858:TAX589862 SRB589858:SRB589862 SHF589858:SHF589862 RXJ589858:RXJ589862 RNN589858:RNN589862 RDR589858:RDR589862 QTV589858:QTV589862 QJZ589858:QJZ589862 QAD589858:QAD589862 PQH589858:PQH589862 PGL589858:PGL589862 OWP589858:OWP589862 OMT589858:OMT589862 OCX589858:OCX589862 NTB589858:NTB589862 NJF589858:NJF589862 MZJ589858:MZJ589862 MPN589858:MPN589862 MFR589858:MFR589862 LVV589858:LVV589862 LLZ589858:LLZ589862 LCD589858:LCD589862 KSH589858:KSH589862 KIL589858:KIL589862 JYP589858:JYP589862 JOT589858:JOT589862 JEX589858:JEX589862 IVB589858:IVB589862 ILF589858:ILF589862 IBJ589858:IBJ589862 HRN589858:HRN589862 HHR589858:HHR589862 GXV589858:GXV589862 GNZ589858:GNZ589862 GED589858:GED589862 FUH589858:FUH589862 FKL589858:FKL589862 FAP589858:FAP589862 EQT589858:EQT589862 EGX589858:EGX589862 DXB589858:DXB589862 DNF589858:DNF589862 DDJ589858:DDJ589862 CTN589858:CTN589862 CJR589858:CJR589862 BZV589858:BZV589862 BPZ589858:BPZ589862 BGD589858:BGD589862 AWH589858:AWH589862 AML589858:AML589862 ACP589858:ACP589862 ST589858:ST589862 IX589858:IX589862 B589858:B589862 WVJ524322:WVJ524326 WLN524322:WLN524326 WBR524322:WBR524326 VRV524322:VRV524326 VHZ524322:VHZ524326 UYD524322:UYD524326 UOH524322:UOH524326 UEL524322:UEL524326 TUP524322:TUP524326 TKT524322:TKT524326 TAX524322:TAX524326 SRB524322:SRB524326 SHF524322:SHF524326 RXJ524322:RXJ524326 RNN524322:RNN524326 RDR524322:RDR524326 QTV524322:QTV524326 QJZ524322:QJZ524326 QAD524322:QAD524326 PQH524322:PQH524326 PGL524322:PGL524326 OWP524322:OWP524326 OMT524322:OMT524326 OCX524322:OCX524326 NTB524322:NTB524326 NJF524322:NJF524326 MZJ524322:MZJ524326 MPN524322:MPN524326 MFR524322:MFR524326 LVV524322:LVV524326 LLZ524322:LLZ524326 LCD524322:LCD524326 KSH524322:KSH524326 KIL524322:KIL524326 JYP524322:JYP524326 JOT524322:JOT524326 JEX524322:JEX524326 IVB524322:IVB524326 ILF524322:ILF524326 IBJ524322:IBJ524326 HRN524322:HRN524326 HHR524322:HHR524326 GXV524322:GXV524326 GNZ524322:GNZ524326 GED524322:GED524326 FUH524322:FUH524326 FKL524322:FKL524326 FAP524322:FAP524326 EQT524322:EQT524326 EGX524322:EGX524326 DXB524322:DXB524326 DNF524322:DNF524326 DDJ524322:DDJ524326 CTN524322:CTN524326 CJR524322:CJR524326 BZV524322:BZV524326 BPZ524322:BPZ524326 BGD524322:BGD524326 AWH524322:AWH524326 AML524322:AML524326 ACP524322:ACP524326 ST524322:ST524326 IX524322:IX524326 B524322:B524326 WVJ458786:WVJ458790 WLN458786:WLN458790 WBR458786:WBR458790 VRV458786:VRV458790 VHZ458786:VHZ458790 UYD458786:UYD458790 UOH458786:UOH458790 UEL458786:UEL458790 TUP458786:TUP458790 TKT458786:TKT458790 TAX458786:TAX458790 SRB458786:SRB458790 SHF458786:SHF458790 RXJ458786:RXJ458790 RNN458786:RNN458790 RDR458786:RDR458790 QTV458786:QTV458790 QJZ458786:QJZ458790 QAD458786:QAD458790 PQH458786:PQH458790 PGL458786:PGL458790 OWP458786:OWP458790 OMT458786:OMT458790 OCX458786:OCX458790 NTB458786:NTB458790 NJF458786:NJF458790 MZJ458786:MZJ458790 MPN458786:MPN458790 MFR458786:MFR458790 LVV458786:LVV458790 LLZ458786:LLZ458790 LCD458786:LCD458790 KSH458786:KSH458790 KIL458786:KIL458790 JYP458786:JYP458790 JOT458786:JOT458790 JEX458786:JEX458790 IVB458786:IVB458790 ILF458786:ILF458790 IBJ458786:IBJ458790 HRN458786:HRN458790 HHR458786:HHR458790 GXV458786:GXV458790 GNZ458786:GNZ458790 GED458786:GED458790 FUH458786:FUH458790 FKL458786:FKL458790 FAP458786:FAP458790 EQT458786:EQT458790 EGX458786:EGX458790 DXB458786:DXB458790 DNF458786:DNF458790 DDJ458786:DDJ458790 CTN458786:CTN458790 CJR458786:CJR458790 BZV458786:BZV458790 BPZ458786:BPZ458790 BGD458786:BGD458790 AWH458786:AWH458790 AML458786:AML458790 ACP458786:ACP458790 ST458786:ST458790 IX458786:IX458790 B458786:B458790 WVJ393250:WVJ393254 WLN393250:WLN393254 WBR393250:WBR393254 VRV393250:VRV393254 VHZ393250:VHZ393254 UYD393250:UYD393254 UOH393250:UOH393254 UEL393250:UEL393254 TUP393250:TUP393254 TKT393250:TKT393254 TAX393250:TAX393254 SRB393250:SRB393254 SHF393250:SHF393254 RXJ393250:RXJ393254 RNN393250:RNN393254 RDR393250:RDR393254 QTV393250:QTV393254 QJZ393250:QJZ393254 QAD393250:QAD393254 PQH393250:PQH393254 PGL393250:PGL393254 OWP393250:OWP393254 OMT393250:OMT393254 OCX393250:OCX393254 NTB393250:NTB393254 NJF393250:NJF393254 MZJ393250:MZJ393254 MPN393250:MPN393254 MFR393250:MFR393254 LVV393250:LVV393254 LLZ393250:LLZ393254 LCD393250:LCD393254 KSH393250:KSH393254 KIL393250:KIL393254 JYP393250:JYP393254 JOT393250:JOT393254 JEX393250:JEX393254 IVB393250:IVB393254 ILF393250:ILF393254 IBJ393250:IBJ393254 HRN393250:HRN393254 HHR393250:HHR393254 GXV393250:GXV393254 GNZ393250:GNZ393254 GED393250:GED393254 FUH393250:FUH393254 FKL393250:FKL393254 FAP393250:FAP393254 EQT393250:EQT393254 EGX393250:EGX393254 DXB393250:DXB393254 DNF393250:DNF393254 DDJ393250:DDJ393254 CTN393250:CTN393254 CJR393250:CJR393254 BZV393250:BZV393254 BPZ393250:BPZ393254 BGD393250:BGD393254 AWH393250:AWH393254 AML393250:AML393254 ACP393250:ACP393254 ST393250:ST393254 IX393250:IX393254 B393250:B393254 WVJ327714:WVJ327718 WLN327714:WLN327718 WBR327714:WBR327718 VRV327714:VRV327718 VHZ327714:VHZ327718 UYD327714:UYD327718 UOH327714:UOH327718 UEL327714:UEL327718 TUP327714:TUP327718 TKT327714:TKT327718 TAX327714:TAX327718 SRB327714:SRB327718 SHF327714:SHF327718 RXJ327714:RXJ327718 RNN327714:RNN327718 RDR327714:RDR327718 QTV327714:QTV327718 QJZ327714:QJZ327718 QAD327714:QAD327718 PQH327714:PQH327718 PGL327714:PGL327718 OWP327714:OWP327718 OMT327714:OMT327718 OCX327714:OCX327718 NTB327714:NTB327718 NJF327714:NJF327718 MZJ327714:MZJ327718 MPN327714:MPN327718 MFR327714:MFR327718 LVV327714:LVV327718 LLZ327714:LLZ327718 LCD327714:LCD327718 KSH327714:KSH327718 KIL327714:KIL327718 JYP327714:JYP327718 JOT327714:JOT327718 JEX327714:JEX327718 IVB327714:IVB327718 ILF327714:ILF327718 IBJ327714:IBJ327718 HRN327714:HRN327718 HHR327714:HHR327718 GXV327714:GXV327718 GNZ327714:GNZ327718 GED327714:GED327718 FUH327714:FUH327718 FKL327714:FKL327718 FAP327714:FAP327718 EQT327714:EQT327718 EGX327714:EGX327718 DXB327714:DXB327718 DNF327714:DNF327718 DDJ327714:DDJ327718 CTN327714:CTN327718 CJR327714:CJR327718 BZV327714:BZV327718 BPZ327714:BPZ327718 BGD327714:BGD327718 AWH327714:AWH327718 AML327714:AML327718 ACP327714:ACP327718 ST327714:ST327718 IX327714:IX327718 B327714:B327718 WVJ262178:WVJ262182 WLN262178:WLN262182 WBR262178:WBR262182 VRV262178:VRV262182 VHZ262178:VHZ262182 UYD262178:UYD262182 UOH262178:UOH262182 UEL262178:UEL262182 TUP262178:TUP262182 TKT262178:TKT262182 TAX262178:TAX262182 SRB262178:SRB262182 SHF262178:SHF262182 RXJ262178:RXJ262182 RNN262178:RNN262182 RDR262178:RDR262182 QTV262178:QTV262182 QJZ262178:QJZ262182 QAD262178:QAD262182 PQH262178:PQH262182 PGL262178:PGL262182 OWP262178:OWP262182 OMT262178:OMT262182 OCX262178:OCX262182 NTB262178:NTB262182 NJF262178:NJF262182 MZJ262178:MZJ262182 MPN262178:MPN262182 MFR262178:MFR262182 LVV262178:LVV262182 LLZ262178:LLZ262182 LCD262178:LCD262182 KSH262178:KSH262182 KIL262178:KIL262182 JYP262178:JYP262182 JOT262178:JOT262182 JEX262178:JEX262182 IVB262178:IVB262182 ILF262178:ILF262182 IBJ262178:IBJ262182 HRN262178:HRN262182 HHR262178:HHR262182 GXV262178:GXV262182 GNZ262178:GNZ262182 GED262178:GED262182 FUH262178:FUH262182 FKL262178:FKL262182 FAP262178:FAP262182 EQT262178:EQT262182 EGX262178:EGX262182 DXB262178:DXB262182 DNF262178:DNF262182 DDJ262178:DDJ262182 CTN262178:CTN262182 CJR262178:CJR262182 BZV262178:BZV262182 BPZ262178:BPZ262182 BGD262178:BGD262182 AWH262178:AWH262182 AML262178:AML262182 ACP262178:ACP262182 ST262178:ST262182 IX262178:IX262182 B262178:B262182 WVJ196642:WVJ196646 WLN196642:WLN196646 WBR196642:WBR196646 VRV196642:VRV196646 VHZ196642:VHZ196646 UYD196642:UYD196646 UOH196642:UOH196646 UEL196642:UEL196646 TUP196642:TUP196646 TKT196642:TKT196646 TAX196642:TAX196646 SRB196642:SRB196646 SHF196642:SHF196646 RXJ196642:RXJ196646 RNN196642:RNN196646 RDR196642:RDR196646 QTV196642:QTV196646 QJZ196642:QJZ196646 QAD196642:QAD196646 PQH196642:PQH196646 PGL196642:PGL196646 OWP196642:OWP196646 OMT196642:OMT196646 OCX196642:OCX196646 NTB196642:NTB196646 NJF196642:NJF196646 MZJ196642:MZJ196646 MPN196642:MPN196646 MFR196642:MFR196646 LVV196642:LVV196646 LLZ196642:LLZ196646 LCD196642:LCD196646 KSH196642:KSH196646 KIL196642:KIL196646 JYP196642:JYP196646 JOT196642:JOT196646 JEX196642:JEX196646 IVB196642:IVB196646 ILF196642:ILF196646 IBJ196642:IBJ196646 HRN196642:HRN196646 HHR196642:HHR196646 GXV196642:GXV196646 GNZ196642:GNZ196646 GED196642:GED196646 FUH196642:FUH196646 FKL196642:FKL196646 FAP196642:FAP196646 EQT196642:EQT196646 EGX196642:EGX196646 DXB196642:DXB196646 DNF196642:DNF196646 DDJ196642:DDJ196646 CTN196642:CTN196646 CJR196642:CJR196646 BZV196642:BZV196646 BPZ196642:BPZ196646 BGD196642:BGD196646 AWH196642:AWH196646 AML196642:AML196646 ACP196642:ACP196646 ST196642:ST196646 IX196642:IX196646 B196642:B196646 WVJ131106:WVJ131110 WLN131106:WLN131110 WBR131106:WBR131110 VRV131106:VRV131110 VHZ131106:VHZ131110 UYD131106:UYD131110 UOH131106:UOH131110 UEL131106:UEL131110 TUP131106:TUP131110 TKT131106:TKT131110 TAX131106:TAX131110 SRB131106:SRB131110 SHF131106:SHF131110 RXJ131106:RXJ131110 RNN131106:RNN131110 RDR131106:RDR131110 QTV131106:QTV131110 QJZ131106:QJZ131110 QAD131106:QAD131110 PQH131106:PQH131110 PGL131106:PGL131110 OWP131106:OWP131110 OMT131106:OMT131110 OCX131106:OCX131110 NTB131106:NTB131110 NJF131106:NJF131110 MZJ131106:MZJ131110 MPN131106:MPN131110 MFR131106:MFR131110 LVV131106:LVV131110 LLZ131106:LLZ131110 LCD131106:LCD131110 KSH131106:KSH131110 KIL131106:KIL131110 JYP131106:JYP131110 JOT131106:JOT131110 JEX131106:JEX131110 IVB131106:IVB131110 ILF131106:ILF131110 IBJ131106:IBJ131110 HRN131106:HRN131110 HHR131106:HHR131110 GXV131106:GXV131110 GNZ131106:GNZ131110 GED131106:GED131110 FUH131106:FUH131110 FKL131106:FKL131110 FAP131106:FAP131110 EQT131106:EQT131110 EGX131106:EGX131110 DXB131106:DXB131110 DNF131106:DNF131110 DDJ131106:DDJ131110 CTN131106:CTN131110 CJR131106:CJR131110 BZV131106:BZV131110 BPZ131106:BPZ131110 BGD131106:BGD131110 AWH131106:AWH131110 AML131106:AML131110 ACP131106:ACP131110 ST131106:ST131110 IX131106:IX131110 B131106:B131110 WVJ65570:WVJ65574 WLN65570:WLN65574 WBR65570:WBR65574 VRV65570:VRV65574 VHZ65570:VHZ65574 UYD65570:UYD65574 UOH65570:UOH65574 UEL65570:UEL65574 TUP65570:TUP65574 TKT65570:TKT65574 TAX65570:TAX65574 SRB65570:SRB65574 SHF65570:SHF65574 RXJ65570:RXJ65574 RNN65570:RNN65574 RDR65570:RDR65574 QTV65570:QTV65574 QJZ65570:QJZ65574 QAD65570:QAD65574 PQH65570:PQH65574 PGL65570:PGL65574 OWP65570:OWP65574 OMT65570:OMT65574 OCX65570:OCX65574 NTB65570:NTB65574 NJF65570:NJF65574 MZJ65570:MZJ65574 MPN65570:MPN65574 MFR65570:MFR65574 LVV65570:LVV65574 LLZ65570:LLZ65574 LCD65570:LCD65574 KSH65570:KSH65574 KIL65570:KIL65574 JYP65570:JYP65574 JOT65570:JOT65574 JEX65570:JEX65574 IVB65570:IVB65574 ILF65570:ILF65574 IBJ65570:IBJ65574 HRN65570:HRN65574 HHR65570:HHR65574 GXV65570:GXV65574 GNZ65570:GNZ65574 GED65570:GED65574 FUH65570:FUH65574 FKL65570:FKL65574 FAP65570:FAP65574 EQT65570:EQT65574 EGX65570:EGX65574 DXB65570:DXB65574 DNF65570:DNF65574 DDJ65570:DDJ65574 CTN65570:CTN65574 CJR65570:CJR65574 BZV65570:BZV65574 BPZ65570:BPZ65574 BGD65570:BGD65574 AWH65570:AWH65574 AML65570:AML65574 ACP65570:ACP65574 ST65570:ST65574 IX65570:IX65574 B65570:B65574 IX65599:IX65603 WVJ983103:WVJ983107 WLN983103:WLN983107 WBR983103:WBR983107 VRV983103:VRV983107 VHZ983103:VHZ983107 UYD983103:UYD983107 UOH983103:UOH983107 UEL983103:UEL983107 TUP983103:TUP983107 TKT983103:TKT983107 TAX983103:TAX983107 SRB983103:SRB983107 SHF983103:SHF983107 RXJ983103:RXJ983107 RNN983103:RNN983107 RDR983103:RDR983107 QTV983103:QTV983107 QJZ983103:QJZ983107 QAD983103:QAD983107 PQH983103:PQH983107 PGL983103:PGL983107 OWP983103:OWP983107 OMT983103:OMT983107 OCX983103:OCX983107 NTB983103:NTB983107 NJF983103:NJF983107 MZJ983103:MZJ983107 MPN983103:MPN983107 MFR983103:MFR983107 LVV983103:LVV983107 LLZ983103:LLZ983107 LCD983103:LCD983107 KSH983103:KSH983107 KIL983103:KIL983107 JYP983103:JYP983107 JOT983103:JOT983107 JEX983103:JEX983107 IVB983103:IVB983107 ILF983103:ILF983107 IBJ983103:IBJ983107 HRN983103:HRN983107 HHR983103:HHR983107 GXV983103:GXV983107 GNZ983103:GNZ983107 GED983103:GED983107 FUH983103:FUH983107 FKL983103:FKL983107 FAP983103:FAP983107 EQT983103:EQT983107 EGX983103:EGX983107 DXB983103:DXB983107 DNF983103:DNF983107 DDJ983103:DDJ983107 CTN983103:CTN983107 CJR983103:CJR983107 BZV983103:BZV983107 BPZ983103:BPZ983107 BGD983103:BGD983107 AWH983103:AWH983107 AML983103:AML983107 ACP983103:ACP983107 ST983103:ST983107 IX983103:IX983107 B983103:B983107 WVJ917567:WVJ917571 WLN917567:WLN917571 WBR917567:WBR917571 VRV917567:VRV917571 VHZ917567:VHZ917571 UYD917567:UYD917571 UOH917567:UOH917571 UEL917567:UEL917571 TUP917567:TUP917571 TKT917567:TKT917571 TAX917567:TAX917571 SRB917567:SRB917571 SHF917567:SHF917571 RXJ917567:RXJ917571 RNN917567:RNN917571 RDR917567:RDR917571 QTV917567:QTV917571 QJZ917567:QJZ917571 QAD917567:QAD917571 PQH917567:PQH917571 PGL917567:PGL917571 OWP917567:OWP917571 OMT917567:OMT917571 OCX917567:OCX917571 NTB917567:NTB917571 NJF917567:NJF917571 MZJ917567:MZJ917571 MPN917567:MPN917571 MFR917567:MFR917571 LVV917567:LVV917571 LLZ917567:LLZ917571 LCD917567:LCD917571 KSH917567:KSH917571 KIL917567:KIL917571 JYP917567:JYP917571 JOT917567:JOT917571 JEX917567:JEX917571 IVB917567:IVB917571 ILF917567:ILF917571 IBJ917567:IBJ917571 HRN917567:HRN917571 HHR917567:HHR917571 GXV917567:GXV917571 GNZ917567:GNZ917571 GED917567:GED917571 FUH917567:FUH917571 FKL917567:FKL917571 FAP917567:FAP917571 EQT917567:EQT917571 EGX917567:EGX917571 DXB917567:DXB917571 DNF917567:DNF917571 DDJ917567:DDJ917571 CTN917567:CTN917571 CJR917567:CJR917571 BZV917567:BZV917571 BPZ917567:BPZ917571 BGD917567:BGD917571 AWH917567:AWH917571 AML917567:AML917571 ACP917567:ACP917571 ST917567:ST917571 IX917567:IX917571 B917567:B917571 WVJ852031:WVJ852035 WLN852031:WLN852035 WBR852031:WBR852035 VRV852031:VRV852035 VHZ852031:VHZ852035 UYD852031:UYD852035 UOH852031:UOH852035 UEL852031:UEL852035 TUP852031:TUP852035 TKT852031:TKT852035 TAX852031:TAX852035 SRB852031:SRB852035 SHF852031:SHF852035 RXJ852031:RXJ852035 RNN852031:RNN852035 RDR852031:RDR852035 QTV852031:QTV852035 QJZ852031:QJZ852035 QAD852031:QAD852035 PQH852031:PQH852035 PGL852031:PGL852035 OWP852031:OWP852035 OMT852031:OMT852035 OCX852031:OCX852035 NTB852031:NTB852035 NJF852031:NJF852035 MZJ852031:MZJ852035 MPN852031:MPN852035 MFR852031:MFR852035 LVV852031:LVV852035 LLZ852031:LLZ852035 LCD852031:LCD852035 KSH852031:KSH852035 KIL852031:KIL852035 JYP852031:JYP852035 JOT852031:JOT852035 JEX852031:JEX852035 IVB852031:IVB852035 ILF852031:ILF852035 IBJ852031:IBJ852035 HRN852031:HRN852035 HHR852031:HHR852035 GXV852031:GXV852035 GNZ852031:GNZ852035 GED852031:GED852035 FUH852031:FUH852035 FKL852031:FKL852035 FAP852031:FAP852035 EQT852031:EQT852035 EGX852031:EGX852035 DXB852031:DXB852035 DNF852031:DNF852035 DDJ852031:DDJ852035 CTN852031:CTN852035 CJR852031:CJR852035 BZV852031:BZV852035 BPZ852031:BPZ852035 BGD852031:BGD852035 AWH852031:AWH852035 AML852031:AML852035 ACP852031:ACP852035 ST852031:ST852035 IX852031:IX852035 B852031:B852035 WVJ786495:WVJ786499 WLN786495:WLN786499 WBR786495:WBR786499 VRV786495:VRV786499 VHZ786495:VHZ786499 UYD786495:UYD786499 UOH786495:UOH786499 UEL786495:UEL786499 TUP786495:TUP786499 TKT786495:TKT786499 TAX786495:TAX786499 SRB786495:SRB786499 SHF786495:SHF786499 RXJ786495:RXJ786499 RNN786495:RNN786499 RDR786495:RDR786499 QTV786495:QTV786499 QJZ786495:QJZ786499 QAD786495:QAD786499 PQH786495:PQH786499 PGL786495:PGL786499 OWP786495:OWP786499 OMT786495:OMT786499 OCX786495:OCX786499 NTB786495:NTB786499 NJF786495:NJF786499 MZJ786495:MZJ786499 MPN786495:MPN786499 MFR786495:MFR786499 LVV786495:LVV786499 LLZ786495:LLZ786499 LCD786495:LCD786499 KSH786495:KSH786499 KIL786495:KIL786499 JYP786495:JYP786499 JOT786495:JOT786499 JEX786495:JEX786499 IVB786495:IVB786499 ILF786495:ILF786499 IBJ786495:IBJ786499 HRN786495:HRN786499 HHR786495:HHR786499 GXV786495:GXV786499 GNZ786495:GNZ786499 GED786495:GED786499 FUH786495:FUH786499 FKL786495:FKL786499 FAP786495:FAP786499 EQT786495:EQT786499 EGX786495:EGX786499 DXB786495:DXB786499 DNF786495:DNF786499 DDJ786495:DDJ786499 CTN786495:CTN786499 CJR786495:CJR786499 BZV786495:BZV786499 BPZ786495:BPZ786499 BGD786495:BGD786499 AWH786495:AWH786499 AML786495:AML786499 ACP786495:ACP786499 ST786495:ST786499 IX786495:IX786499 B786495:B786499 WVJ720959:WVJ720963 WLN720959:WLN720963 WBR720959:WBR720963 VRV720959:VRV720963 VHZ720959:VHZ720963 UYD720959:UYD720963 UOH720959:UOH720963 UEL720959:UEL720963 TUP720959:TUP720963 TKT720959:TKT720963 TAX720959:TAX720963 SRB720959:SRB720963 SHF720959:SHF720963 RXJ720959:RXJ720963 RNN720959:RNN720963 RDR720959:RDR720963 QTV720959:QTV720963 QJZ720959:QJZ720963 QAD720959:QAD720963 PQH720959:PQH720963 PGL720959:PGL720963 OWP720959:OWP720963 OMT720959:OMT720963 OCX720959:OCX720963 NTB720959:NTB720963 NJF720959:NJF720963 MZJ720959:MZJ720963 MPN720959:MPN720963 MFR720959:MFR720963 LVV720959:LVV720963 LLZ720959:LLZ720963 LCD720959:LCD720963 KSH720959:KSH720963 KIL720959:KIL720963 JYP720959:JYP720963 JOT720959:JOT720963 JEX720959:JEX720963 IVB720959:IVB720963 ILF720959:ILF720963 IBJ720959:IBJ720963 HRN720959:HRN720963 HHR720959:HHR720963 GXV720959:GXV720963 GNZ720959:GNZ720963 GED720959:GED720963 FUH720959:FUH720963 FKL720959:FKL720963 FAP720959:FAP720963 EQT720959:EQT720963 EGX720959:EGX720963 DXB720959:DXB720963 DNF720959:DNF720963 DDJ720959:DDJ720963 CTN720959:CTN720963 CJR720959:CJR720963 BZV720959:BZV720963 BPZ720959:BPZ720963 BGD720959:BGD720963 AWH720959:AWH720963 AML720959:AML720963 ACP720959:ACP720963 ST720959:ST720963 IX720959:IX720963 B720959:B720963 WVJ655423:WVJ655427 WLN655423:WLN655427 WBR655423:WBR655427 VRV655423:VRV655427 VHZ655423:VHZ655427 UYD655423:UYD655427 UOH655423:UOH655427 UEL655423:UEL655427 TUP655423:TUP655427 TKT655423:TKT655427 TAX655423:TAX655427 SRB655423:SRB655427 SHF655423:SHF655427 RXJ655423:RXJ655427 RNN655423:RNN655427 RDR655423:RDR655427 QTV655423:QTV655427 QJZ655423:QJZ655427 QAD655423:QAD655427 PQH655423:PQH655427 PGL655423:PGL655427 OWP655423:OWP655427 OMT655423:OMT655427 OCX655423:OCX655427 NTB655423:NTB655427 NJF655423:NJF655427 MZJ655423:MZJ655427 MPN655423:MPN655427 MFR655423:MFR655427 LVV655423:LVV655427 LLZ655423:LLZ655427 LCD655423:LCD655427 KSH655423:KSH655427 KIL655423:KIL655427 JYP655423:JYP655427 JOT655423:JOT655427 JEX655423:JEX655427 IVB655423:IVB655427 ILF655423:ILF655427 IBJ655423:IBJ655427 HRN655423:HRN655427 HHR655423:HHR655427 GXV655423:GXV655427 GNZ655423:GNZ655427 GED655423:GED655427 FUH655423:FUH655427 FKL655423:FKL655427 FAP655423:FAP655427 EQT655423:EQT655427 EGX655423:EGX655427 DXB655423:DXB655427 DNF655423:DNF655427 DDJ655423:DDJ655427 CTN655423:CTN655427 CJR655423:CJR655427 BZV655423:BZV655427 BPZ655423:BPZ655427 BGD655423:BGD655427 AWH655423:AWH655427 AML655423:AML655427 ACP655423:ACP655427 ST655423:ST655427 IX655423:IX655427 B655423:B655427 WVJ589887:WVJ589891 WLN589887:WLN589891 WBR589887:WBR589891 VRV589887:VRV589891 VHZ589887:VHZ589891 UYD589887:UYD589891 UOH589887:UOH589891 UEL589887:UEL589891 TUP589887:TUP589891 TKT589887:TKT589891 TAX589887:TAX589891 SRB589887:SRB589891 SHF589887:SHF589891 RXJ589887:RXJ589891 RNN589887:RNN589891 RDR589887:RDR589891 QTV589887:QTV589891 QJZ589887:QJZ589891 QAD589887:QAD589891 PQH589887:PQH589891 PGL589887:PGL589891 OWP589887:OWP589891 OMT589887:OMT589891 OCX589887:OCX589891 NTB589887:NTB589891 NJF589887:NJF589891 MZJ589887:MZJ589891 MPN589887:MPN589891 MFR589887:MFR589891 LVV589887:LVV589891 LLZ589887:LLZ589891 LCD589887:LCD589891 KSH589887:KSH589891 KIL589887:KIL589891 JYP589887:JYP589891 JOT589887:JOT589891 JEX589887:JEX589891 IVB589887:IVB589891 ILF589887:ILF589891 IBJ589887:IBJ589891 HRN589887:HRN589891 HHR589887:HHR589891 GXV589887:GXV589891 GNZ589887:GNZ589891 GED589887:GED589891 FUH589887:FUH589891 FKL589887:FKL589891 FAP589887:FAP589891 EQT589887:EQT589891 EGX589887:EGX589891 DXB589887:DXB589891 DNF589887:DNF589891 DDJ589887:DDJ589891 CTN589887:CTN589891 CJR589887:CJR589891 BZV589887:BZV589891 BPZ589887:BPZ589891 BGD589887:BGD589891 AWH589887:AWH589891 AML589887:AML589891 ACP589887:ACP589891 ST589887:ST589891 IX589887:IX589891 B589887:B589891 WVJ524351:WVJ524355 WLN524351:WLN524355 WBR524351:WBR524355 VRV524351:VRV524355 VHZ524351:VHZ524355 UYD524351:UYD524355 UOH524351:UOH524355 UEL524351:UEL524355 TUP524351:TUP524355 TKT524351:TKT524355 TAX524351:TAX524355 SRB524351:SRB524355 SHF524351:SHF524355 RXJ524351:RXJ524355 RNN524351:RNN524355 RDR524351:RDR524355 QTV524351:QTV524355 QJZ524351:QJZ524355 QAD524351:QAD524355 PQH524351:PQH524355 PGL524351:PGL524355 OWP524351:OWP524355 OMT524351:OMT524355 OCX524351:OCX524355 NTB524351:NTB524355 NJF524351:NJF524355 MZJ524351:MZJ524355 MPN524351:MPN524355 MFR524351:MFR524355 LVV524351:LVV524355 LLZ524351:LLZ524355 LCD524351:LCD524355 KSH524351:KSH524355 KIL524351:KIL524355 JYP524351:JYP524355 JOT524351:JOT524355 JEX524351:JEX524355 IVB524351:IVB524355 ILF524351:ILF524355 IBJ524351:IBJ524355 HRN524351:HRN524355 HHR524351:HHR524355 GXV524351:GXV524355 GNZ524351:GNZ524355 GED524351:GED524355 FUH524351:FUH524355 FKL524351:FKL524355 FAP524351:FAP524355 EQT524351:EQT524355 EGX524351:EGX524355 DXB524351:DXB524355 DNF524351:DNF524355 DDJ524351:DDJ524355 CTN524351:CTN524355 CJR524351:CJR524355 BZV524351:BZV524355 BPZ524351:BPZ524355 BGD524351:BGD524355 AWH524351:AWH524355 AML524351:AML524355 ACP524351:ACP524355 ST524351:ST524355 IX524351:IX524355 B524351:B524355 WVJ458815:WVJ458819 WLN458815:WLN458819 WBR458815:WBR458819 VRV458815:VRV458819 VHZ458815:VHZ458819 UYD458815:UYD458819 UOH458815:UOH458819 UEL458815:UEL458819 TUP458815:TUP458819 TKT458815:TKT458819 TAX458815:TAX458819 SRB458815:SRB458819 SHF458815:SHF458819 RXJ458815:RXJ458819 RNN458815:RNN458819 RDR458815:RDR458819 QTV458815:QTV458819 QJZ458815:QJZ458819 QAD458815:QAD458819 PQH458815:PQH458819 PGL458815:PGL458819 OWP458815:OWP458819 OMT458815:OMT458819 OCX458815:OCX458819 NTB458815:NTB458819 NJF458815:NJF458819 MZJ458815:MZJ458819 MPN458815:MPN458819 MFR458815:MFR458819 LVV458815:LVV458819 LLZ458815:LLZ458819 LCD458815:LCD458819 KSH458815:KSH458819 KIL458815:KIL458819 JYP458815:JYP458819 JOT458815:JOT458819 JEX458815:JEX458819 IVB458815:IVB458819 ILF458815:ILF458819 IBJ458815:IBJ458819 HRN458815:HRN458819 HHR458815:HHR458819 GXV458815:GXV458819 GNZ458815:GNZ458819 GED458815:GED458819 FUH458815:FUH458819 FKL458815:FKL458819 FAP458815:FAP458819 EQT458815:EQT458819 EGX458815:EGX458819 DXB458815:DXB458819 DNF458815:DNF458819 DDJ458815:DDJ458819 CTN458815:CTN458819 CJR458815:CJR458819 BZV458815:BZV458819 BPZ458815:BPZ458819 BGD458815:BGD458819 AWH458815:AWH458819 AML458815:AML458819 ACP458815:ACP458819 ST458815:ST458819 IX458815:IX458819 B458815:B458819 WVJ393279:WVJ393283 WLN393279:WLN393283 WBR393279:WBR393283 VRV393279:VRV393283 VHZ393279:VHZ393283 UYD393279:UYD393283 UOH393279:UOH393283 UEL393279:UEL393283 TUP393279:TUP393283 TKT393279:TKT393283 TAX393279:TAX393283 SRB393279:SRB393283 SHF393279:SHF393283 RXJ393279:RXJ393283 RNN393279:RNN393283 RDR393279:RDR393283 QTV393279:QTV393283 QJZ393279:QJZ393283 QAD393279:QAD393283 PQH393279:PQH393283 PGL393279:PGL393283 OWP393279:OWP393283 OMT393279:OMT393283 OCX393279:OCX393283 NTB393279:NTB393283 NJF393279:NJF393283 MZJ393279:MZJ393283 MPN393279:MPN393283 MFR393279:MFR393283 LVV393279:LVV393283 LLZ393279:LLZ393283 LCD393279:LCD393283 KSH393279:KSH393283 KIL393279:KIL393283 JYP393279:JYP393283 JOT393279:JOT393283 JEX393279:JEX393283 IVB393279:IVB393283 ILF393279:ILF393283 IBJ393279:IBJ393283 HRN393279:HRN393283 HHR393279:HHR393283 GXV393279:GXV393283 GNZ393279:GNZ393283 GED393279:GED393283 FUH393279:FUH393283 FKL393279:FKL393283 FAP393279:FAP393283 EQT393279:EQT393283 EGX393279:EGX393283 DXB393279:DXB393283 DNF393279:DNF393283 DDJ393279:DDJ393283 CTN393279:CTN393283 CJR393279:CJR393283 BZV393279:BZV393283 BPZ393279:BPZ393283 BGD393279:BGD393283 AWH393279:AWH393283 AML393279:AML393283 ACP393279:ACP393283 ST393279:ST393283 IX393279:IX393283 B393279:B393283 WVJ327743:WVJ327747 WLN327743:WLN327747 WBR327743:WBR327747 VRV327743:VRV327747 VHZ327743:VHZ327747 UYD327743:UYD327747 UOH327743:UOH327747 UEL327743:UEL327747 TUP327743:TUP327747 TKT327743:TKT327747 TAX327743:TAX327747 SRB327743:SRB327747 SHF327743:SHF327747 RXJ327743:RXJ327747 RNN327743:RNN327747 RDR327743:RDR327747 QTV327743:QTV327747 QJZ327743:QJZ327747 QAD327743:QAD327747 PQH327743:PQH327747 PGL327743:PGL327747 OWP327743:OWP327747 OMT327743:OMT327747 OCX327743:OCX327747 NTB327743:NTB327747 NJF327743:NJF327747 MZJ327743:MZJ327747 MPN327743:MPN327747 MFR327743:MFR327747 LVV327743:LVV327747 LLZ327743:LLZ327747 LCD327743:LCD327747 KSH327743:KSH327747 KIL327743:KIL327747 JYP327743:JYP327747 JOT327743:JOT327747 JEX327743:JEX327747 IVB327743:IVB327747 ILF327743:ILF327747 IBJ327743:IBJ327747 HRN327743:HRN327747 HHR327743:HHR327747 GXV327743:GXV327747 GNZ327743:GNZ327747 GED327743:GED327747 FUH327743:FUH327747 FKL327743:FKL327747 FAP327743:FAP327747 EQT327743:EQT327747 EGX327743:EGX327747 DXB327743:DXB327747 DNF327743:DNF327747 DDJ327743:DDJ327747 CTN327743:CTN327747 CJR327743:CJR327747 BZV327743:BZV327747 BPZ327743:BPZ327747 BGD327743:BGD327747 AWH327743:AWH327747 AML327743:AML327747 ACP327743:ACP327747 ST327743:ST327747 IX327743:IX327747 B327743:B327747 WVJ262207:WVJ262211 WLN262207:WLN262211 WBR262207:WBR262211 VRV262207:VRV262211 VHZ262207:VHZ262211 UYD262207:UYD262211 UOH262207:UOH262211 UEL262207:UEL262211 TUP262207:TUP262211 TKT262207:TKT262211 TAX262207:TAX262211 SRB262207:SRB262211 SHF262207:SHF262211 RXJ262207:RXJ262211 RNN262207:RNN262211 RDR262207:RDR262211 QTV262207:QTV262211 QJZ262207:QJZ262211 QAD262207:QAD262211 PQH262207:PQH262211 PGL262207:PGL262211 OWP262207:OWP262211 OMT262207:OMT262211 OCX262207:OCX262211 NTB262207:NTB262211 NJF262207:NJF262211 MZJ262207:MZJ262211 MPN262207:MPN262211 MFR262207:MFR262211 LVV262207:LVV262211 LLZ262207:LLZ262211 LCD262207:LCD262211 KSH262207:KSH262211 KIL262207:KIL262211 JYP262207:JYP262211 JOT262207:JOT262211 JEX262207:JEX262211 IVB262207:IVB262211 ILF262207:ILF262211 IBJ262207:IBJ262211 HRN262207:HRN262211 HHR262207:HHR262211 GXV262207:GXV262211 GNZ262207:GNZ262211 GED262207:GED262211 FUH262207:FUH262211 FKL262207:FKL262211 FAP262207:FAP262211 EQT262207:EQT262211 EGX262207:EGX262211 DXB262207:DXB262211 DNF262207:DNF262211 DDJ262207:DDJ262211 CTN262207:CTN262211 CJR262207:CJR262211 BZV262207:BZV262211 BPZ262207:BPZ262211 BGD262207:BGD262211 AWH262207:AWH262211 AML262207:AML262211 ACP262207:ACP262211 ST262207:ST262211 IX262207:IX262211 B262207:B262211 WVJ196671:WVJ196675 WLN196671:WLN196675 WBR196671:WBR196675 VRV196671:VRV196675 VHZ196671:VHZ196675 UYD196671:UYD196675 UOH196671:UOH196675 UEL196671:UEL196675 TUP196671:TUP196675 TKT196671:TKT196675 TAX196671:TAX196675 SRB196671:SRB196675 SHF196671:SHF196675 RXJ196671:RXJ196675 RNN196671:RNN196675 RDR196671:RDR196675 QTV196671:QTV196675 QJZ196671:QJZ196675 QAD196671:QAD196675 PQH196671:PQH196675 PGL196671:PGL196675 OWP196671:OWP196675 OMT196671:OMT196675 OCX196671:OCX196675 NTB196671:NTB196675 NJF196671:NJF196675 MZJ196671:MZJ196675 MPN196671:MPN196675 MFR196671:MFR196675 LVV196671:LVV196675 LLZ196671:LLZ196675 LCD196671:LCD196675 KSH196671:KSH196675 KIL196671:KIL196675 JYP196671:JYP196675 JOT196671:JOT196675 JEX196671:JEX196675 IVB196671:IVB196675 ILF196671:ILF196675 IBJ196671:IBJ196675 HRN196671:HRN196675 HHR196671:HHR196675 GXV196671:GXV196675 GNZ196671:GNZ196675 GED196671:GED196675 FUH196671:FUH196675 FKL196671:FKL196675 FAP196671:FAP196675 EQT196671:EQT196675 EGX196671:EGX196675 DXB196671:DXB196675 DNF196671:DNF196675 DDJ196671:DDJ196675 CTN196671:CTN196675 CJR196671:CJR196675 BZV196671:BZV196675 BPZ196671:BPZ196675 BGD196671:BGD196675 AWH196671:AWH196675 AML196671:AML196675 ACP196671:ACP196675 ST196671:ST196675 IX196671:IX196675 B196671:B196675 WVJ131135:WVJ131139 WLN131135:WLN131139 WBR131135:WBR131139 VRV131135:VRV131139 VHZ131135:VHZ131139 UYD131135:UYD131139 UOH131135:UOH131139 UEL131135:UEL131139 TUP131135:TUP131139 TKT131135:TKT131139 TAX131135:TAX131139 SRB131135:SRB131139 SHF131135:SHF131139 RXJ131135:RXJ131139 RNN131135:RNN131139 RDR131135:RDR131139 QTV131135:QTV131139 QJZ131135:QJZ131139 QAD131135:QAD131139 PQH131135:PQH131139 PGL131135:PGL131139 OWP131135:OWP131139 OMT131135:OMT131139 OCX131135:OCX131139 NTB131135:NTB131139 NJF131135:NJF131139 MZJ131135:MZJ131139 MPN131135:MPN131139 MFR131135:MFR131139 LVV131135:LVV131139 LLZ131135:LLZ131139 LCD131135:LCD131139 KSH131135:KSH131139 KIL131135:KIL131139 JYP131135:JYP131139 JOT131135:JOT131139 JEX131135:JEX131139 IVB131135:IVB131139 ILF131135:ILF131139 IBJ131135:IBJ131139 HRN131135:HRN131139 HHR131135:HHR131139 GXV131135:GXV131139 GNZ131135:GNZ131139 GED131135:GED131139 FUH131135:FUH131139 FKL131135:FKL131139 FAP131135:FAP131139 EQT131135:EQT131139 EGX131135:EGX131139 DXB131135:DXB131139 DNF131135:DNF131139 DDJ131135:DDJ131139 CTN131135:CTN131139 CJR131135:CJR131139 BZV131135:BZV131139 BPZ131135:BPZ131139 BGD131135:BGD131139 AWH131135:AWH131139 AML131135:AML131139 ACP131135:ACP131139 ST131135:ST131139 IX131135:IX131139 B131135:B131139 WVJ65599:WVJ65603 WLN65599:WLN65603 WBR65599:WBR65603 VRV65599:VRV65603 VHZ65599:VHZ65603 UYD65599:UYD65603 UOH65599:UOH65603 UEL65599:UEL65603 TUP65599:TUP65603 TKT65599:TKT65603 TAX65599:TAX65603 SRB65599:SRB65603 SHF65599:SHF65603 RXJ65599:RXJ65603 RNN65599:RNN65603 RDR65599:RDR65603 QTV65599:QTV65603 QJZ65599:QJZ65603 QAD65599:QAD65603 PQH65599:PQH65603 PGL65599:PGL65603 OWP65599:OWP65603 OMT65599:OMT65603 OCX65599:OCX65603 NTB65599:NTB65603 NJF65599:NJF65603 MZJ65599:MZJ65603 MPN65599:MPN65603 MFR65599:MFR65603 LVV65599:LVV65603 LLZ65599:LLZ65603 LCD65599:LCD65603 KSH65599:KSH65603 KIL65599:KIL65603 JYP65599:JYP65603 JOT65599:JOT65603 JEX65599:JEX65603 IVB65599:IVB65603 ILF65599:ILF65603 IBJ65599:IBJ65603 HRN65599:HRN65603 HHR65599:HHR65603 GXV65599:GXV65603 GNZ65599:GNZ65603 GED65599:GED65603 FUH65599:FUH65603 FKL65599:FKL65603 FAP65599:FAP65603 EQT65599:EQT65603 EGX65599:EGX65603 DXB65599:DXB65603 DNF65599:DNF65603 DDJ65599:DDJ65603 CTN65599:CTN65603 CJR65599:CJR65603 BZV65599:BZV65603 BPZ65599:BPZ65603 BGD65599:BGD65603 AWH65599:AWH65603 AML65599:AML65603 ACP65599:ACP65603 ST65599:ST65603 WVJ983112:WVJ983113 B65608:B65609 IX65608:IX65609 ST65608:ST65609 ACP65608:ACP65609 AML65608:AML65609 AWH65608:AWH65609 BGD65608:BGD65609 BPZ65608:BPZ65609 BZV65608:BZV65609 CJR65608:CJR65609 CTN65608:CTN65609 DDJ65608:DDJ65609 DNF65608:DNF65609 DXB65608:DXB65609 EGX65608:EGX65609 EQT65608:EQT65609 FAP65608:FAP65609 FKL65608:FKL65609 FUH65608:FUH65609 GED65608:GED65609 GNZ65608:GNZ65609 GXV65608:GXV65609 HHR65608:HHR65609 HRN65608:HRN65609 IBJ65608:IBJ65609 ILF65608:ILF65609 IVB65608:IVB65609 JEX65608:JEX65609 JOT65608:JOT65609 JYP65608:JYP65609 KIL65608:KIL65609 KSH65608:KSH65609 LCD65608:LCD65609 LLZ65608:LLZ65609 LVV65608:LVV65609 MFR65608:MFR65609 MPN65608:MPN65609 MZJ65608:MZJ65609 NJF65608:NJF65609 NTB65608:NTB65609 OCX65608:OCX65609 OMT65608:OMT65609 OWP65608:OWP65609 PGL65608:PGL65609 PQH65608:PQH65609 QAD65608:QAD65609 QJZ65608:QJZ65609 QTV65608:QTV65609 RDR65608:RDR65609 RNN65608:RNN65609 RXJ65608:RXJ65609 SHF65608:SHF65609 SRB65608:SRB65609 TAX65608:TAX65609 TKT65608:TKT65609 TUP65608:TUP65609 UEL65608:UEL65609 UOH65608:UOH65609 UYD65608:UYD65609 VHZ65608:VHZ65609 VRV65608:VRV65609 WBR65608:WBR65609 WLN65608:WLN65609 WVJ65608:WVJ65609 B131144:B131145 IX131144:IX131145 ST131144:ST131145 ACP131144:ACP131145 AML131144:AML131145 AWH131144:AWH131145 BGD131144:BGD131145 BPZ131144:BPZ131145 BZV131144:BZV131145 CJR131144:CJR131145 CTN131144:CTN131145 DDJ131144:DDJ131145 DNF131144:DNF131145 DXB131144:DXB131145 EGX131144:EGX131145 EQT131144:EQT131145 FAP131144:FAP131145 FKL131144:FKL131145 FUH131144:FUH131145 GED131144:GED131145 GNZ131144:GNZ131145 GXV131144:GXV131145 HHR131144:HHR131145 HRN131144:HRN131145 IBJ131144:IBJ131145 ILF131144:ILF131145 IVB131144:IVB131145 JEX131144:JEX131145 JOT131144:JOT131145 JYP131144:JYP131145 KIL131144:KIL131145 KSH131144:KSH131145 LCD131144:LCD131145 LLZ131144:LLZ131145 LVV131144:LVV131145 MFR131144:MFR131145 MPN131144:MPN131145 MZJ131144:MZJ131145 NJF131144:NJF131145 NTB131144:NTB131145 OCX131144:OCX131145 OMT131144:OMT131145 OWP131144:OWP131145 PGL131144:PGL131145 PQH131144:PQH131145 QAD131144:QAD131145 QJZ131144:QJZ131145 QTV131144:QTV131145 RDR131144:RDR131145 RNN131144:RNN131145 RXJ131144:RXJ131145 SHF131144:SHF131145 SRB131144:SRB131145 TAX131144:TAX131145 TKT131144:TKT131145 TUP131144:TUP131145 UEL131144:UEL131145 UOH131144:UOH131145 UYD131144:UYD131145 VHZ131144:VHZ131145 VRV131144:VRV131145 WBR131144:WBR131145 WLN131144:WLN131145 WVJ131144:WVJ131145 B196680:B196681 IX196680:IX196681 ST196680:ST196681 ACP196680:ACP196681 AML196680:AML196681 AWH196680:AWH196681 BGD196680:BGD196681 BPZ196680:BPZ196681 BZV196680:BZV196681 CJR196680:CJR196681 CTN196680:CTN196681 DDJ196680:DDJ196681 DNF196680:DNF196681 DXB196680:DXB196681 EGX196680:EGX196681 EQT196680:EQT196681 FAP196680:FAP196681 FKL196680:FKL196681 FUH196680:FUH196681 GED196680:GED196681 GNZ196680:GNZ196681 GXV196680:GXV196681 HHR196680:HHR196681 HRN196680:HRN196681 IBJ196680:IBJ196681 ILF196680:ILF196681 IVB196680:IVB196681 JEX196680:JEX196681 JOT196680:JOT196681 JYP196680:JYP196681 KIL196680:KIL196681 KSH196680:KSH196681 LCD196680:LCD196681 LLZ196680:LLZ196681 LVV196680:LVV196681 MFR196680:MFR196681 MPN196680:MPN196681 MZJ196680:MZJ196681 NJF196680:NJF196681 NTB196680:NTB196681 OCX196680:OCX196681 OMT196680:OMT196681 OWP196680:OWP196681 PGL196680:PGL196681 PQH196680:PQH196681 QAD196680:QAD196681 QJZ196680:QJZ196681 QTV196680:QTV196681 RDR196680:RDR196681 RNN196680:RNN196681 RXJ196680:RXJ196681 SHF196680:SHF196681 SRB196680:SRB196681 TAX196680:TAX196681 TKT196680:TKT196681 TUP196680:TUP196681 UEL196680:UEL196681 UOH196680:UOH196681 UYD196680:UYD196681 VHZ196680:VHZ196681 VRV196680:VRV196681 WBR196680:WBR196681 WLN196680:WLN196681 WVJ196680:WVJ196681 B262216:B262217 IX262216:IX262217 ST262216:ST262217 ACP262216:ACP262217 AML262216:AML262217 AWH262216:AWH262217 BGD262216:BGD262217 BPZ262216:BPZ262217 BZV262216:BZV262217 CJR262216:CJR262217 CTN262216:CTN262217 DDJ262216:DDJ262217 DNF262216:DNF262217 DXB262216:DXB262217 EGX262216:EGX262217 EQT262216:EQT262217 FAP262216:FAP262217 FKL262216:FKL262217 FUH262216:FUH262217 GED262216:GED262217 GNZ262216:GNZ262217 GXV262216:GXV262217 HHR262216:HHR262217 HRN262216:HRN262217 IBJ262216:IBJ262217 ILF262216:ILF262217 IVB262216:IVB262217 JEX262216:JEX262217 JOT262216:JOT262217 JYP262216:JYP262217 KIL262216:KIL262217 KSH262216:KSH262217 LCD262216:LCD262217 LLZ262216:LLZ262217 LVV262216:LVV262217 MFR262216:MFR262217 MPN262216:MPN262217 MZJ262216:MZJ262217 NJF262216:NJF262217 NTB262216:NTB262217 OCX262216:OCX262217 OMT262216:OMT262217 OWP262216:OWP262217 PGL262216:PGL262217 PQH262216:PQH262217 QAD262216:QAD262217 QJZ262216:QJZ262217 QTV262216:QTV262217 RDR262216:RDR262217 RNN262216:RNN262217 RXJ262216:RXJ262217 SHF262216:SHF262217 SRB262216:SRB262217 TAX262216:TAX262217 TKT262216:TKT262217 TUP262216:TUP262217 UEL262216:UEL262217 UOH262216:UOH262217 UYD262216:UYD262217 VHZ262216:VHZ262217 VRV262216:VRV262217 WBR262216:WBR262217 WLN262216:WLN262217 WVJ262216:WVJ262217 B327752:B327753 IX327752:IX327753 ST327752:ST327753 ACP327752:ACP327753 AML327752:AML327753 AWH327752:AWH327753 BGD327752:BGD327753 BPZ327752:BPZ327753 BZV327752:BZV327753 CJR327752:CJR327753 CTN327752:CTN327753 DDJ327752:DDJ327753 DNF327752:DNF327753 DXB327752:DXB327753 EGX327752:EGX327753 EQT327752:EQT327753 FAP327752:FAP327753 FKL327752:FKL327753 FUH327752:FUH327753 GED327752:GED327753 GNZ327752:GNZ327753 GXV327752:GXV327753 HHR327752:HHR327753 HRN327752:HRN327753 IBJ327752:IBJ327753 ILF327752:ILF327753 IVB327752:IVB327753 JEX327752:JEX327753 JOT327752:JOT327753 JYP327752:JYP327753 KIL327752:KIL327753 KSH327752:KSH327753 LCD327752:LCD327753 LLZ327752:LLZ327753 LVV327752:LVV327753 MFR327752:MFR327753 MPN327752:MPN327753 MZJ327752:MZJ327753 NJF327752:NJF327753 NTB327752:NTB327753 OCX327752:OCX327753 OMT327752:OMT327753 OWP327752:OWP327753 PGL327752:PGL327753 PQH327752:PQH327753 QAD327752:QAD327753 QJZ327752:QJZ327753 QTV327752:QTV327753 RDR327752:RDR327753 RNN327752:RNN327753 RXJ327752:RXJ327753 SHF327752:SHF327753 SRB327752:SRB327753 TAX327752:TAX327753 TKT327752:TKT327753 TUP327752:TUP327753 UEL327752:UEL327753 UOH327752:UOH327753 UYD327752:UYD327753 VHZ327752:VHZ327753 VRV327752:VRV327753 WBR327752:WBR327753 WLN327752:WLN327753 WVJ327752:WVJ327753 B393288:B393289 IX393288:IX393289 ST393288:ST393289 ACP393288:ACP393289 AML393288:AML393289 AWH393288:AWH393289 BGD393288:BGD393289 BPZ393288:BPZ393289 BZV393288:BZV393289 CJR393288:CJR393289 CTN393288:CTN393289 DDJ393288:DDJ393289 DNF393288:DNF393289 DXB393288:DXB393289 EGX393288:EGX393289 EQT393288:EQT393289 FAP393288:FAP393289 FKL393288:FKL393289 FUH393288:FUH393289 GED393288:GED393289 GNZ393288:GNZ393289 GXV393288:GXV393289 HHR393288:HHR393289 HRN393288:HRN393289 IBJ393288:IBJ393289 ILF393288:ILF393289 IVB393288:IVB393289 JEX393288:JEX393289 JOT393288:JOT393289 JYP393288:JYP393289 KIL393288:KIL393289 KSH393288:KSH393289 LCD393288:LCD393289 LLZ393288:LLZ393289 LVV393288:LVV393289 MFR393288:MFR393289 MPN393288:MPN393289 MZJ393288:MZJ393289 NJF393288:NJF393289 NTB393288:NTB393289 OCX393288:OCX393289 OMT393288:OMT393289 OWP393288:OWP393289 PGL393288:PGL393289 PQH393288:PQH393289 QAD393288:QAD393289 QJZ393288:QJZ393289 QTV393288:QTV393289 RDR393288:RDR393289 RNN393288:RNN393289 RXJ393288:RXJ393289 SHF393288:SHF393289 SRB393288:SRB393289 TAX393288:TAX393289 TKT393288:TKT393289 TUP393288:TUP393289 UEL393288:UEL393289 UOH393288:UOH393289 UYD393288:UYD393289 VHZ393288:VHZ393289 VRV393288:VRV393289 WBR393288:WBR393289 WLN393288:WLN393289 WVJ393288:WVJ393289 B458824:B458825 IX458824:IX458825 ST458824:ST458825 ACP458824:ACP458825 AML458824:AML458825 AWH458824:AWH458825 BGD458824:BGD458825 BPZ458824:BPZ458825 BZV458824:BZV458825 CJR458824:CJR458825 CTN458824:CTN458825 DDJ458824:DDJ458825 DNF458824:DNF458825 DXB458824:DXB458825 EGX458824:EGX458825 EQT458824:EQT458825 FAP458824:FAP458825 FKL458824:FKL458825 FUH458824:FUH458825 GED458824:GED458825 GNZ458824:GNZ458825 GXV458824:GXV458825 HHR458824:HHR458825 HRN458824:HRN458825 IBJ458824:IBJ458825 ILF458824:ILF458825 IVB458824:IVB458825 JEX458824:JEX458825 JOT458824:JOT458825 JYP458824:JYP458825 KIL458824:KIL458825 KSH458824:KSH458825 LCD458824:LCD458825 LLZ458824:LLZ458825 LVV458824:LVV458825 MFR458824:MFR458825 MPN458824:MPN458825 MZJ458824:MZJ458825 NJF458824:NJF458825 NTB458824:NTB458825 OCX458824:OCX458825 OMT458824:OMT458825 OWP458824:OWP458825 PGL458824:PGL458825 PQH458824:PQH458825 QAD458824:QAD458825 QJZ458824:QJZ458825 QTV458824:QTV458825 RDR458824:RDR458825 RNN458824:RNN458825 RXJ458824:RXJ458825 SHF458824:SHF458825 SRB458824:SRB458825 TAX458824:TAX458825 TKT458824:TKT458825 TUP458824:TUP458825 UEL458824:UEL458825 UOH458824:UOH458825 UYD458824:UYD458825 VHZ458824:VHZ458825 VRV458824:VRV458825 WBR458824:WBR458825 WLN458824:WLN458825 WVJ458824:WVJ458825 B524360:B524361 IX524360:IX524361 ST524360:ST524361 ACP524360:ACP524361 AML524360:AML524361 AWH524360:AWH524361 BGD524360:BGD524361 BPZ524360:BPZ524361 BZV524360:BZV524361 CJR524360:CJR524361 CTN524360:CTN524361 DDJ524360:DDJ524361 DNF524360:DNF524361 DXB524360:DXB524361 EGX524360:EGX524361 EQT524360:EQT524361 FAP524360:FAP524361 FKL524360:FKL524361 FUH524360:FUH524361 GED524360:GED524361 GNZ524360:GNZ524361 GXV524360:GXV524361 HHR524360:HHR524361 HRN524360:HRN524361 IBJ524360:IBJ524361 ILF524360:ILF524361 IVB524360:IVB524361 JEX524360:JEX524361 JOT524360:JOT524361 JYP524360:JYP524361 KIL524360:KIL524361 KSH524360:KSH524361 LCD524360:LCD524361 LLZ524360:LLZ524361 LVV524360:LVV524361 MFR524360:MFR524361 MPN524360:MPN524361 MZJ524360:MZJ524361 NJF524360:NJF524361 NTB524360:NTB524361 OCX524360:OCX524361 OMT524360:OMT524361 OWP524360:OWP524361 PGL524360:PGL524361 PQH524360:PQH524361 QAD524360:QAD524361 QJZ524360:QJZ524361 QTV524360:QTV524361 RDR524360:RDR524361 RNN524360:RNN524361 RXJ524360:RXJ524361 SHF524360:SHF524361 SRB524360:SRB524361 TAX524360:TAX524361 TKT524360:TKT524361 TUP524360:TUP524361 UEL524360:UEL524361 UOH524360:UOH524361 UYD524360:UYD524361 VHZ524360:VHZ524361 VRV524360:VRV524361 WBR524360:WBR524361 WLN524360:WLN524361 WVJ524360:WVJ524361 B589896:B589897 IX589896:IX589897 ST589896:ST589897 ACP589896:ACP589897 AML589896:AML589897 AWH589896:AWH589897 BGD589896:BGD589897 BPZ589896:BPZ589897 BZV589896:BZV589897 CJR589896:CJR589897 CTN589896:CTN589897 DDJ589896:DDJ589897 DNF589896:DNF589897 DXB589896:DXB589897 EGX589896:EGX589897 EQT589896:EQT589897 FAP589896:FAP589897 FKL589896:FKL589897 FUH589896:FUH589897 GED589896:GED589897 GNZ589896:GNZ589897 GXV589896:GXV589897 HHR589896:HHR589897 HRN589896:HRN589897 IBJ589896:IBJ589897 ILF589896:ILF589897 IVB589896:IVB589897 JEX589896:JEX589897 JOT589896:JOT589897 JYP589896:JYP589897 KIL589896:KIL589897 KSH589896:KSH589897 LCD589896:LCD589897 LLZ589896:LLZ589897 LVV589896:LVV589897 MFR589896:MFR589897 MPN589896:MPN589897 MZJ589896:MZJ589897 NJF589896:NJF589897 NTB589896:NTB589897 OCX589896:OCX589897 OMT589896:OMT589897 OWP589896:OWP589897 PGL589896:PGL589897 PQH589896:PQH589897 QAD589896:QAD589897 QJZ589896:QJZ589897 QTV589896:QTV589897 RDR589896:RDR589897 RNN589896:RNN589897 RXJ589896:RXJ589897 SHF589896:SHF589897 SRB589896:SRB589897 TAX589896:TAX589897 TKT589896:TKT589897 TUP589896:TUP589897 UEL589896:UEL589897 UOH589896:UOH589897 UYD589896:UYD589897 VHZ589896:VHZ589897 VRV589896:VRV589897 WBR589896:WBR589897 WLN589896:WLN589897 WVJ589896:WVJ589897 B655432:B655433 IX655432:IX655433 ST655432:ST655433 ACP655432:ACP655433 AML655432:AML655433 AWH655432:AWH655433 BGD655432:BGD655433 BPZ655432:BPZ655433 BZV655432:BZV655433 CJR655432:CJR655433 CTN655432:CTN655433 DDJ655432:DDJ655433 DNF655432:DNF655433 DXB655432:DXB655433 EGX655432:EGX655433 EQT655432:EQT655433 FAP655432:FAP655433 FKL655432:FKL655433 FUH655432:FUH655433 GED655432:GED655433 GNZ655432:GNZ655433 GXV655432:GXV655433 HHR655432:HHR655433 HRN655432:HRN655433 IBJ655432:IBJ655433 ILF655432:ILF655433 IVB655432:IVB655433 JEX655432:JEX655433 JOT655432:JOT655433 JYP655432:JYP655433 KIL655432:KIL655433 KSH655432:KSH655433 LCD655432:LCD655433 LLZ655432:LLZ655433 LVV655432:LVV655433 MFR655432:MFR655433 MPN655432:MPN655433 MZJ655432:MZJ655433 NJF655432:NJF655433 NTB655432:NTB655433 OCX655432:OCX655433 OMT655432:OMT655433 OWP655432:OWP655433 PGL655432:PGL655433 PQH655432:PQH655433 QAD655432:QAD655433 QJZ655432:QJZ655433 QTV655432:QTV655433 RDR655432:RDR655433 RNN655432:RNN655433 RXJ655432:RXJ655433 SHF655432:SHF655433 SRB655432:SRB655433 TAX655432:TAX655433 TKT655432:TKT655433 TUP655432:TUP655433 UEL655432:UEL655433 UOH655432:UOH655433 UYD655432:UYD655433 VHZ655432:VHZ655433 VRV655432:VRV655433 WBR655432:WBR655433 WLN655432:WLN655433 WVJ655432:WVJ655433 B720968:B720969 IX720968:IX720969 ST720968:ST720969 ACP720968:ACP720969 AML720968:AML720969 AWH720968:AWH720969 BGD720968:BGD720969 BPZ720968:BPZ720969 BZV720968:BZV720969 CJR720968:CJR720969 CTN720968:CTN720969 DDJ720968:DDJ720969 DNF720968:DNF720969 DXB720968:DXB720969 EGX720968:EGX720969 EQT720968:EQT720969 FAP720968:FAP720969 FKL720968:FKL720969 FUH720968:FUH720969 GED720968:GED720969 GNZ720968:GNZ720969 GXV720968:GXV720969 HHR720968:HHR720969 HRN720968:HRN720969 IBJ720968:IBJ720969 ILF720968:ILF720969 IVB720968:IVB720969 JEX720968:JEX720969 JOT720968:JOT720969 JYP720968:JYP720969 KIL720968:KIL720969 KSH720968:KSH720969 LCD720968:LCD720969 LLZ720968:LLZ720969 LVV720968:LVV720969 MFR720968:MFR720969 MPN720968:MPN720969 MZJ720968:MZJ720969 NJF720968:NJF720969 NTB720968:NTB720969 OCX720968:OCX720969 OMT720968:OMT720969 OWP720968:OWP720969 PGL720968:PGL720969 PQH720968:PQH720969 QAD720968:QAD720969 QJZ720968:QJZ720969 QTV720968:QTV720969 RDR720968:RDR720969 RNN720968:RNN720969 RXJ720968:RXJ720969 SHF720968:SHF720969 SRB720968:SRB720969 TAX720968:TAX720969 TKT720968:TKT720969 TUP720968:TUP720969 UEL720968:UEL720969 UOH720968:UOH720969 UYD720968:UYD720969 VHZ720968:VHZ720969 VRV720968:VRV720969 WBR720968:WBR720969 WLN720968:WLN720969 WVJ720968:WVJ720969 B786504:B786505 IX786504:IX786505 ST786504:ST786505 ACP786504:ACP786505 AML786504:AML786505 AWH786504:AWH786505 BGD786504:BGD786505 BPZ786504:BPZ786505 BZV786504:BZV786505 CJR786504:CJR786505 CTN786504:CTN786505 DDJ786504:DDJ786505 DNF786504:DNF786505 DXB786504:DXB786505 EGX786504:EGX786505 EQT786504:EQT786505 FAP786504:FAP786505 FKL786504:FKL786505 FUH786504:FUH786505 GED786504:GED786505 GNZ786504:GNZ786505 GXV786504:GXV786505 HHR786504:HHR786505 HRN786504:HRN786505 IBJ786504:IBJ786505 ILF786504:ILF786505 IVB786504:IVB786505 JEX786504:JEX786505 JOT786504:JOT786505 JYP786504:JYP786505 KIL786504:KIL786505 KSH786504:KSH786505 LCD786504:LCD786505 LLZ786504:LLZ786505 LVV786504:LVV786505 MFR786504:MFR786505 MPN786504:MPN786505 MZJ786504:MZJ786505 NJF786504:NJF786505 NTB786504:NTB786505 OCX786504:OCX786505 OMT786504:OMT786505 OWP786504:OWP786505 PGL786504:PGL786505 PQH786504:PQH786505 QAD786504:QAD786505 QJZ786504:QJZ786505 QTV786504:QTV786505 RDR786504:RDR786505 RNN786504:RNN786505 RXJ786504:RXJ786505 SHF786504:SHF786505 SRB786504:SRB786505 TAX786504:TAX786505 TKT786504:TKT786505 TUP786504:TUP786505 UEL786504:UEL786505 UOH786504:UOH786505 UYD786504:UYD786505 VHZ786504:VHZ786505 VRV786504:VRV786505 WBR786504:WBR786505 WLN786504:WLN786505 WVJ786504:WVJ786505 B852040:B852041 IX852040:IX852041 ST852040:ST852041 ACP852040:ACP852041 AML852040:AML852041 AWH852040:AWH852041 BGD852040:BGD852041 BPZ852040:BPZ852041 BZV852040:BZV852041 CJR852040:CJR852041 CTN852040:CTN852041 DDJ852040:DDJ852041 DNF852040:DNF852041 DXB852040:DXB852041 EGX852040:EGX852041 EQT852040:EQT852041 FAP852040:FAP852041 FKL852040:FKL852041 FUH852040:FUH852041 GED852040:GED852041 GNZ852040:GNZ852041 GXV852040:GXV852041 HHR852040:HHR852041 HRN852040:HRN852041 IBJ852040:IBJ852041 ILF852040:ILF852041 IVB852040:IVB852041 JEX852040:JEX852041 JOT852040:JOT852041 JYP852040:JYP852041 KIL852040:KIL852041 KSH852040:KSH852041 LCD852040:LCD852041 LLZ852040:LLZ852041 LVV852040:LVV852041 MFR852040:MFR852041 MPN852040:MPN852041 MZJ852040:MZJ852041 NJF852040:NJF852041 NTB852040:NTB852041 OCX852040:OCX852041 OMT852040:OMT852041 OWP852040:OWP852041 PGL852040:PGL852041 PQH852040:PQH852041 QAD852040:QAD852041 QJZ852040:QJZ852041 QTV852040:QTV852041 RDR852040:RDR852041 RNN852040:RNN852041 RXJ852040:RXJ852041 SHF852040:SHF852041 SRB852040:SRB852041 TAX852040:TAX852041 TKT852040:TKT852041 TUP852040:TUP852041 UEL852040:UEL852041 UOH852040:UOH852041 UYD852040:UYD852041 VHZ852040:VHZ852041 VRV852040:VRV852041 WBR852040:WBR852041 WLN852040:WLN852041 WVJ852040:WVJ852041 B917576:B917577 IX917576:IX917577 ST917576:ST917577 ACP917576:ACP917577 AML917576:AML917577 AWH917576:AWH917577 BGD917576:BGD917577 BPZ917576:BPZ917577 BZV917576:BZV917577 CJR917576:CJR917577 CTN917576:CTN917577 DDJ917576:DDJ917577 DNF917576:DNF917577 DXB917576:DXB917577 EGX917576:EGX917577 EQT917576:EQT917577 FAP917576:FAP917577 FKL917576:FKL917577 FUH917576:FUH917577 GED917576:GED917577 GNZ917576:GNZ917577 GXV917576:GXV917577 HHR917576:HHR917577 HRN917576:HRN917577 IBJ917576:IBJ917577 ILF917576:ILF917577 IVB917576:IVB917577 JEX917576:JEX917577 JOT917576:JOT917577 JYP917576:JYP917577 KIL917576:KIL917577 KSH917576:KSH917577 LCD917576:LCD917577 LLZ917576:LLZ917577 LVV917576:LVV917577 MFR917576:MFR917577 MPN917576:MPN917577 MZJ917576:MZJ917577 NJF917576:NJF917577 NTB917576:NTB917577 OCX917576:OCX917577 OMT917576:OMT917577 OWP917576:OWP917577 PGL917576:PGL917577 PQH917576:PQH917577 QAD917576:QAD917577 QJZ917576:QJZ917577 QTV917576:QTV917577 RDR917576:RDR917577 RNN917576:RNN917577 RXJ917576:RXJ917577 SHF917576:SHF917577 SRB917576:SRB917577 TAX917576:TAX917577 TKT917576:TKT917577 TUP917576:TUP917577 UEL917576:UEL917577 UOH917576:UOH917577 UYD917576:UYD917577 VHZ917576:VHZ917577 VRV917576:VRV917577 WBR917576:WBR917577 WLN917576:WLN917577 WVJ917576:WVJ917577 B983112:B983113 IX983112:IX983113 ST983112:ST983113 ACP983112:ACP983113 AML983112:AML983113 AWH983112:AWH983113 BGD983112:BGD983113 BPZ983112:BPZ983113 BZV983112:BZV983113 CJR983112:CJR983113 CTN983112:CTN983113 DDJ983112:DDJ983113 DNF983112:DNF983113 DXB983112:DXB983113 EGX983112:EGX983113 EQT983112:EQT983113 FAP983112:FAP983113 FKL983112:FKL983113 FUH983112:FUH983113 GED983112:GED983113 GNZ983112:GNZ983113 GXV983112:GXV983113 HHR983112:HHR983113 HRN983112:HRN983113 IBJ983112:IBJ983113 ILF983112:ILF983113 IVB983112:IVB983113 JEX983112:JEX983113 JOT983112:JOT983113 JYP983112:JYP983113 KIL983112:KIL983113 KSH983112:KSH983113 LCD983112:LCD983113 LLZ983112:LLZ983113 LVV983112:LVV983113 MFR983112:MFR983113 MPN983112:MPN983113 MZJ983112:MZJ983113 NJF983112:NJF983113 NTB983112:NTB983113 OCX983112:OCX983113 OMT983112:OMT983113 OWP983112:OWP983113 PGL983112:PGL983113 PQH983112:PQH983113 QAD983112:QAD983113 QJZ983112:QJZ983113 QTV983112:QTV983113 RDR983112:RDR983113 RNN983112:RNN983113 RXJ983112:RXJ983113 SHF983112:SHF983113 SRB983112:SRB983113 TAX983112:TAX983113 TKT983112:TKT983113 TUP983112:TUP983113 UEL983112:UEL983113 UOH983112:UOH983113 UYD983112:UYD983113 VHZ983112:VHZ983113 VRV983112:VRV983113 WBR983112:WBR983113 WLN983112:WLN983113 WVL983114:WVL983123 D65610:D65619 IZ65610:IZ65619 SV65610:SV65619 ACR65610:ACR65619 AMN65610:AMN65619 AWJ65610:AWJ65619 BGF65610:BGF65619 BQB65610:BQB65619 BZX65610:BZX65619 CJT65610:CJT65619 CTP65610:CTP65619 DDL65610:DDL65619 DNH65610:DNH65619 DXD65610:DXD65619 EGZ65610:EGZ65619 EQV65610:EQV65619 FAR65610:FAR65619 FKN65610:FKN65619 FUJ65610:FUJ65619 GEF65610:GEF65619 GOB65610:GOB65619 GXX65610:GXX65619 HHT65610:HHT65619 HRP65610:HRP65619 IBL65610:IBL65619 ILH65610:ILH65619 IVD65610:IVD65619 JEZ65610:JEZ65619 JOV65610:JOV65619 JYR65610:JYR65619 KIN65610:KIN65619 KSJ65610:KSJ65619 LCF65610:LCF65619 LMB65610:LMB65619 LVX65610:LVX65619 MFT65610:MFT65619 MPP65610:MPP65619 MZL65610:MZL65619 NJH65610:NJH65619 NTD65610:NTD65619 OCZ65610:OCZ65619 OMV65610:OMV65619 OWR65610:OWR65619 PGN65610:PGN65619 PQJ65610:PQJ65619 QAF65610:QAF65619 QKB65610:QKB65619 QTX65610:QTX65619 RDT65610:RDT65619 RNP65610:RNP65619 RXL65610:RXL65619 SHH65610:SHH65619 SRD65610:SRD65619 TAZ65610:TAZ65619 TKV65610:TKV65619 TUR65610:TUR65619 UEN65610:UEN65619 UOJ65610:UOJ65619 UYF65610:UYF65619 VIB65610:VIB65619 VRX65610:VRX65619 WBT65610:WBT65619 WLP65610:WLP65619 WVL65610:WVL65619 D131146:D131155 IZ131146:IZ131155 SV131146:SV131155 ACR131146:ACR131155 AMN131146:AMN131155 AWJ131146:AWJ131155 BGF131146:BGF131155 BQB131146:BQB131155 BZX131146:BZX131155 CJT131146:CJT131155 CTP131146:CTP131155 DDL131146:DDL131155 DNH131146:DNH131155 DXD131146:DXD131155 EGZ131146:EGZ131155 EQV131146:EQV131155 FAR131146:FAR131155 FKN131146:FKN131155 FUJ131146:FUJ131155 GEF131146:GEF131155 GOB131146:GOB131155 GXX131146:GXX131155 HHT131146:HHT131155 HRP131146:HRP131155 IBL131146:IBL131155 ILH131146:ILH131155 IVD131146:IVD131155 JEZ131146:JEZ131155 JOV131146:JOV131155 JYR131146:JYR131155 KIN131146:KIN131155 KSJ131146:KSJ131155 LCF131146:LCF131155 LMB131146:LMB131155 LVX131146:LVX131155 MFT131146:MFT131155 MPP131146:MPP131155 MZL131146:MZL131155 NJH131146:NJH131155 NTD131146:NTD131155 OCZ131146:OCZ131155 OMV131146:OMV131155 OWR131146:OWR131155 PGN131146:PGN131155 PQJ131146:PQJ131155 QAF131146:QAF131155 QKB131146:QKB131155 QTX131146:QTX131155 RDT131146:RDT131155 RNP131146:RNP131155 RXL131146:RXL131155 SHH131146:SHH131155 SRD131146:SRD131155 TAZ131146:TAZ131155 TKV131146:TKV131155 TUR131146:TUR131155 UEN131146:UEN131155 UOJ131146:UOJ131155 UYF131146:UYF131155 VIB131146:VIB131155 VRX131146:VRX131155 WBT131146:WBT131155 WLP131146:WLP131155 WVL131146:WVL131155 D196682:D196691 IZ196682:IZ196691 SV196682:SV196691 ACR196682:ACR196691 AMN196682:AMN196691 AWJ196682:AWJ196691 BGF196682:BGF196691 BQB196682:BQB196691 BZX196682:BZX196691 CJT196682:CJT196691 CTP196682:CTP196691 DDL196682:DDL196691 DNH196682:DNH196691 DXD196682:DXD196691 EGZ196682:EGZ196691 EQV196682:EQV196691 FAR196682:FAR196691 FKN196682:FKN196691 FUJ196682:FUJ196691 GEF196682:GEF196691 GOB196682:GOB196691 GXX196682:GXX196691 HHT196682:HHT196691 HRP196682:HRP196691 IBL196682:IBL196691 ILH196682:ILH196691 IVD196682:IVD196691 JEZ196682:JEZ196691 JOV196682:JOV196691 JYR196682:JYR196691 KIN196682:KIN196691 KSJ196682:KSJ196691 LCF196682:LCF196691 LMB196682:LMB196691 LVX196682:LVX196691 MFT196682:MFT196691 MPP196682:MPP196691 MZL196682:MZL196691 NJH196682:NJH196691 NTD196682:NTD196691 OCZ196682:OCZ196691 OMV196682:OMV196691 OWR196682:OWR196691 PGN196682:PGN196691 PQJ196682:PQJ196691 QAF196682:QAF196691 QKB196682:QKB196691 QTX196682:QTX196691 RDT196682:RDT196691 RNP196682:RNP196691 RXL196682:RXL196691 SHH196682:SHH196691 SRD196682:SRD196691 TAZ196682:TAZ196691 TKV196682:TKV196691 TUR196682:TUR196691 UEN196682:UEN196691 UOJ196682:UOJ196691 UYF196682:UYF196691 VIB196682:VIB196691 VRX196682:VRX196691 WBT196682:WBT196691 WLP196682:WLP196691 WVL196682:WVL196691 D262218:D262227 IZ262218:IZ262227 SV262218:SV262227 ACR262218:ACR262227 AMN262218:AMN262227 AWJ262218:AWJ262227 BGF262218:BGF262227 BQB262218:BQB262227 BZX262218:BZX262227 CJT262218:CJT262227 CTP262218:CTP262227 DDL262218:DDL262227 DNH262218:DNH262227 DXD262218:DXD262227 EGZ262218:EGZ262227 EQV262218:EQV262227 FAR262218:FAR262227 FKN262218:FKN262227 FUJ262218:FUJ262227 GEF262218:GEF262227 GOB262218:GOB262227 GXX262218:GXX262227 HHT262218:HHT262227 HRP262218:HRP262227 IBL262218:IBL262227 ILH262218:ILH262227 IVD262218:IVD262227 JEZ262218:JEZ262227 JOV262218:JOV262227 JYR262218:JYR262227 KIN262218:KIN262227 KSJ262218:KSJ262227 LCF262218:LCF262227 LMB262218:LMB262227 LVX262218:LVX262227 MFT262218:MFT262227 MPP262218:MPP262227 MZL262218:MZL262227 NJH262218:NJH262227 NTD262218:NTD262227 OCZ262218:OCZ262227 OMV262218:OMV262227 OWR262218:OWR262227 PGN262218:PGN262227 PQJ262218:PQJ262227 QAF262218:QAF262227 QKB262218:QKB262227 QTX262218:QTX262227 RDT262218:RDT262227 RNP262218:RNP262227 RXL262218:RXL262227 SHH262218:SHH262227 SRD262218:SRD262227 TAZ262218:TAZ262227 TKV262218:TKV262227 TUR262218:TUR262227 UEN262218:UEN262227 UOJ262218:UOJ262227 UYF262218:UYF262227 VIB262218:VIB262227 VRX262218:VRX262227 WBT262218:WBT262227 WLP262218:WLP262227 WVL262218:WVL262227 D327754:D327763 IZ327754:IZ327763 SV327754:SV327763 ACR327754:ACR327763 AMN327754:AMN327763 AWJ327754:AWJ327763 BGF327754:BGF327763 BQB327754:BQB327763 BZX327754:BZX327763 CJT327754:CJT327763 CTP327754:CTP327763 DDL327754:DDL327763 DNH327754:DNH327763 DXD327754:DXD327763 EGZ327754:EGZ327763 EQV327754:EQV327763 FAR327754:FAR327763 FKN327754:FKN327763 FUJ327754:FUJ327763 GEF327754:GEF327763 GOB327754:GOB327763 GXX327754:GXX327763 HHT327754:HHT327763 HRP327754:HRP327763 IBL327754:IBL327763 ILH327754:ILH327763 IVD327754:IVD327763 JEZ327754:JEZ327763 JOV327754:JOV327763 JYR327754:JYR327763 KIN327754:KIN327763 KSJ327754:KSJ327763 LCF327754:LCF327763 LMB327754:LMB327763 LVX327754:LVX327763 MFT327754:MFT327763 MPP327754:MPP327763 MZL327754:MZL327763 NJH327754:NJH327763 NTD327754:NTD327763 OCZ327754:OCZ327763 OMV327754:OMV327763 OWR327754:OWR327763 PGN327754:PGN327763 PQJ327754:PQJ327763 QAF327754:QAF327763 QKB327754:QKB327763 QTX327754:QTX327763 RDT327754:RDT327763 RNP327754:RNP327763 RXL327754:RXL327763 SHH327754:SHH327763 SRD327754:SRD327763 TAZ327754:TAZ327763 TKV327754:TKV327763 TUR327754:TUR327763 UEN327754:UEN327763 UOJ327754:UOJ327763 UYF327754:UYF327763 VIB327754:VIB327763 VRX327754:VRX327763 WBT327754:WBT327763 WLP327754:WLP327763 WVL327754:WVL327763 D393290:D393299 IZ393290:IZ393299 SV393290:SV393299 ACR393290:ACR393299 AMN393290:AMN393299 AWJ393290:AWJ393299 BGF393290:BGF393299 BQB393290:BQB393299 BZX393290:BZX393299 CJT393290:CJT393299 CTP393290:CTP393299 DDL393290:DDL393299 DNH393290:DNH393299 DXD393290:DXD393299 EGZ393290:EGZ393299 EQV393290:EQV393299 FAR393290:FAR393299 FKN393290:FKN393299 FUJ393290:FUJ393299 GEF393290:GEF393299 GOB393290:GOB393299 GXX393290:GXX393299 HHT393290:HHT393299 HRP393290:HRP393299 IBL393290:IBL393299 ILH393290:ILH393299 IVD393290:IVD393299 JEZ393290:JEZ393299 JOV393290:JOV393299 JYR393290:JYR393299 KIN393290:KIN393299 KSJ393290:KSJ393299 LCF393290:LCF393299 LMB393290:LMB393299 LVX393290:LVX393299 MFT393290:MFT393299 MPP393290:MPP393299 MZL393290:MZL393299 NJH393290:NJH393299 NTD393290:NTD393299 OCZ393290:OCZ393299 OMV393290:OMV393299 OWR393290:OWR393299 PGN393290:PGN393299 PQJ393290:PQJ393299 QAF393290:QAF393299 QKB393290:QKB393299 QTX393290:QTX393299 RDT393290:RDT393299 RNP393290:RNP393299 RXL393290:RXL393299 SHH393290:SHH393299 SRD393290:SRD393299 TAZ393290:TAZ393299 TKV393290:TKV393299 TUR393290:TUR393299 UEN393290:UEN393299 UOJ393290:UOJ393299 UYF393290:UYF393299 VIB393290:VIB393299 VRX393290:VRX393299 WBT393290:WBT393299 WLP393290:WLP393299 WVL393290:WVL393299 D458826:D458835 IZ458826:IZ458835 SV458826:SV458835 ACR458826:ACR458835 AMN458826:AMN458835 AWJ458826:AWJ458835 BGF458826:BGF458835 BQB458826:BQB458835 BZX458826:BZX458835 CJT458826:CJT458835 CTP458826:CTP458835 DDL458826:DDL458835 DNH458826:DNH458835 DXD458826:DXD458835 EGZ458826:EGZ458835 EQV458826:EQV458835 FAR458826:FAR458835 FKN458826:FKN458835 FUJ458826:FUJ458835 GEF458826:GEF458835 GOB458826:GOB458835 GXX458826:GXX458835 HHT458826:HHT458835 HRP458826:HRP458835 IBL458826:IBL458835 ILH458826:ILH458835 IVD458826:IVD458835 JEZ458826:JEZ458835 JOV458826:JOV458835 JYR458826:JYR458835 KIN458826:KIN458835 KSJ458826:KSJ458835 LCF458826:LCF458835 LMB458826:LMB458835 LVX458826:LVX458835 MFT458826:MFT458835 MPP458826:MPP458835 MZL458826:MZL458835 NJH458826:NJH458835 NTD458826:NTD458835 OCZ458826:OCZ458835 OMV458826:OMV458835 OWR458826:OWR458835 PGN458826:PGN458835 PQJ458826:PQJ458835 QAF458826:QAF458835 QKB458826:QKB458835 QTX458826:QTX458835 RDT458826:RDT458835 RNP458826:RNP458835 RXL458826:RXL458835 SHH458826:SHH458835 SRD458826:SRD458835 TAZ458826:TAZ458835 TKV458826:TKV458835 TUR458826:TUR458835 UEN458826:UEN458835 UOJ458826:UOJ458835 UYF458826:UYF458835 VIB458826:VIB458835 VRX458826:VRX458835 WBT458826:WBT458835 WLP458826:WLP458835 WVL458826:WVL458835 D524362:D524371 IZ524362:IZ524371 SV524362:SV524371 ACR524362:ACR524371 AMN524362:AMN524371 AWJ524362:AWJ524371 BGF524362:BGF524371 BQB524362:BQB524371 BZX524362:BZX524371 CJT524362:CJT524371 CTP524362:CTP524371 DDL524362:DDL524371 DNH524362:DNH524371 DXD524362:DXD524371 EGZ524362:EGZ524371 EQV524362:EQV524371 FAR524362:FAR524371 FKN524362:FKN524371 FUJ524362:FUJ524371 GEF524362:GEF524371 GOB524362:GOB524371 GXX524362:GXX524371 HHT524362:HHT524371 HRP524362:HRP524371 IBL524362:IBL524371 ILH524362:ILH524371 IVD524362:IVD524371 JEZ524362:JEZ524371 JOV524362:JOV524371 JYR524362:JYR524371 KIN524362:KIN524371 KSJ524362:KSJ524371 LCF524362:LCF524371 LMB524362:LMB524371 LVX524362:LVX524371 MFT524362:MFT524371 MPP524362:MPP524371 MZL524362:MZL524371 NJH524362:NJH524371 NTD524362:NTD524371 OCZ524362:OCZ524371 OMV524362:OMV524371 OWR524362:OWR524371 PGN524362:PGN524371 PQJ524362:PQJ524371 QAF524362:QAF524371 QKB524362:QKB524371 QTX524362:QTX524371 RDT524362:RDT524371 RNP524362:RNP524371 RXL524362:RXL524371 SHH524362:SHH524371 SRD524362:SRD524371 TAZ524362:TAZ524371 TKV524362:TKV524371 TUR524362:TUR524371 UEN524362:UEN524371 UOJ524362:UOJ524371 UYF524362:UYF524371 VIB524362:VIB524371 VRX524362:VRX524371 WBT524362:WBT524371 WLP524362:WLP524371 WVL524362:WVL524371 D589898:D589907 IZ589898:IZ589907 SV589898:SV589907 ACR589898:ACR589907 AMN589898:AMN589907 AWJ589898:AWJ589907 BGF589898:BGF589907 BQB589898:BQB589907 BZX589898:BZX589907 CJT589898:CJT589907 CTP589898:CTP589907 DDL589898:DDL589907 DNH589898:DNH589907 DXD589898:DXD589907 EGZ589898:EGZ589907 EQV589898:EQV589907 FAR589898:FAR589907 FKN589898:FKN589907 FUJ589898:FUJ589907 GEF589898:GEF589907 GOB589898:GOB589907 GXX589898:GXX589907 HHT589898:HHT589907 HRP589898:HRP589907 IBL589898:IBL589907 ILH589898:ILH589907 IVD589898:IVD589907 JEZ589898:JEZ589907 JOV589898:JOV589907 JYR589898:JYR589907 KIN589898:KIN589907 KSJ589898:KSJ589907 LCF589898:LCF589907 LMB589898:LMB589907 LVX589898:LVX589907 MFT589898:MFT589907 MPP589898:MPP589907 MZL589898:MZL589907 NJH589898:NJH589907 NTD589898:NTD589907 OCZ589898:OCZ589907 OMV589898:OMV589907 OWR589898:OWR589907 PGN589898:PGN589907 PQJ589898:PQJ589907 QAF589898:QAF589907 QKB589898:QKB589907 QTX589898:QTX589907 RDT589898:RDT589907 RNP589898:RNP589907 RXL589898:RXL589907 SHH589898:SHH589907 SRD589898:SRD589907 TAZ589898:TAZ589907 TKV589898:TKV589907 TUR589898:TUR589907 UEN589898:UEN589907 UOJ589898:UOJ589907 UYF589898:UYF589907 VIB589898:VIB589907 VRX589898:VRX589907 WBT589898:WBT589907 WLP589898:WLP589907 WVL589898:WVL589907 D655434:D655443 IZ655434:IZ655443 SV655434:SV655443 ACR655434:ACR655443 AMN655434:AMN655443 AWJ655434:AWJ655443 BGF655434:BGF655443 BQB655434:BQB655443 BZX655434:BZX655443 CJT655434:CJT655443 CTP655434:CTP655443 DDL655434:DDL655443 DNH655434:DNH655443 DXD655434:DXD655443 EGZ655434:EGZ655443 EQV655434:EQV655443 FAR655434:FAR655443 FKN655434:FKN655443 FUJ655434:FUJ655443 GEF655434:GEF655443 GOB655434:GOB655443 GXX655434:GXX655443 HHT655434:HHT655443 HRP655434:HRP655443 IBL655434:IBL655443 ILH655434:ILH655443 IVD655434:IVD655443 JEZ655434:JEZ655443 JOV655434:JOV655443 JYR655434:JYR655443 KIN655434:KIN655443 KSJ655434:KSJ655443 LCF655434:LCF655443 LMB655434:LMB655443 LVX655434:LVX655443 MFT655434:MFT655443 MPP655434:MPP655443 MZL655434:MZL655443 NJH655434:NJH655443 NTD655434:NTD655443 OCZ655434:OCZ655443 OMV655434:OMV655443 OWR655434:OWR655443 PGN655434:PGN655443 PQJ655434:PQJ655443 QAF655434:QAF655443 QKB655434:QKB655443 QTX655434:QTX655443 RDT655434:RDT655443 RNP655434:RNP655443 RXL655434:RXL655443 SHH655434:SHH655443 SRD655434:SRD655443 TAZ655434:TAZ655443 TKV655434:TKV655443 TUR655434:TUR655443 UEN655434:UEN655443 UOJ655434:UOJ655443 UYF655434:UYF655443 VIB655434:VIB655443 VRX655434:VRX655443 WBT655434:WBT655443 WLP655434:WLP655443 WVL655434:WVL655443 D720970:D720979 IZ720970:IZ720979 SV720970:SV720979 ACR720970:ACR720979 AMN720970:AMN720979 AWJ720970:AWJ720979 BGF720970:BGF720979 BQB720970:BQB720979 BZX720970:BZX720979 CJT720970:CJT720979 CTP720970:CTP720979 DDL720970:DDL720979 DNH720970:DNH720979 DXD720970:DXD720979 EGZ720970:EGZ720979 EQV720970:EQV720979 FAR720970:FAR720979 FKN720970:FKN720979 FUJ720970:FUJ720979 GEF720970:GEF720979 GOB720970:GOB720979 GXX720970:GXX720979 HHT720970:HHT720979 HRP720970:HRP720979 IBL720970:IBL720979 ILH720970:ILH720979 IVD720970:IVD720979 JEZ720970:JEZ720979 JOV720970:JOV720979 JYR720970:JYR720979 KIN720970:KIN720979 KSJ720970:KSJ720979 LCF720970:LCF720979 LMB720970:LMB720979 LVX720970:LVX720979 MFT720970:MFT720979 MPP720970:MPP720979 MZL720970:MZL720979 NJH720970:NJH720979 NTD720970:NTD720979 OCZ720970:OCZ720979 OMV720970:OMV720979 OWR720970:OWR720979 PGN720970:PGN720979 PQJ720970:PQJ720979 QAF720970:QAF720979 QKB720970:QKB720979 QTX720970:QTX720979 RDT720970:RDT720979 RNP720970:RNP720979 RXL720970:RXL720979 SHH720970:SHH720979 SRD720970:SRD720979 TAZ720970:TAZ720979 TKV720970:TKV720979 TUR720970:TUR720979 UEN720970:UEN720979 UOJ720970:UOJ720979 UYF720970:UYF720979 VIB720970:VIB720979 VRX720970:VRX720979 WBT720970:WBT720979 WLP720970:WLP720979 WVL720970:WVL720979 D786506:D786515 IZ786506:IZ786515 SV786506:SV786515 ACR786506:ACR786515 AMN786506:AMN786515 AWJ786506:AWJ786515 BGF786506:BGF786515 BQB786506:BQB786515 BZX786506:BZX786515 CJT786506:CJT786515 CTP786506:CTP786515 DDL786506:DDL786515 DNH786506:DNH786515 DXD786506:DXD786515 EGZ786506:EGZ786515 EQV786506:EQV786515 FAR786506:FAR786515 FKN786506:FKN786515 FUJ786506:FUJ786515 GEF786506:GEF786515 GOB786506:GOB786515 GXX786506:GXX786515 HHT786506:HHT786515 HRP786506:HRP786515 IBL786506:IBL786515 ILH786506:ILH786515 IVD786506:IVD786515 JEZ786506:JEZ786515 JOV786506:JOV786515 JYR786506:JYR786515 KIN786506:KIN786515 KSJ786506:KSJ786515 LCF786506:LCF786515 LMB786506:LMB786515 LVX786506:LVX786515 MFT786506:MFT786515 MPP786506:MPP786515 MZL786506:MZL786515 NJH786506:NJH786515 NTD786506:NTD786515 OCZ786506:OCZ786515 OMV786506:OMV786515 OWR786506:OWR786515 PGN786506:PGN786515 PQJ786506:PQJ786515 QAF786506:QAF786515 QKB786506:QKB786515 QTX786506:QTX786515 RDT786506:RDT786515 RNP786506:RNP786515 RXL786506:RXL786515 SHH786506:SHH786515 SRD786506:SRD786515 TAZ786506:TAZ786515 TKV786506:TKV786515 TUR786506:TUR786515 UEN786506:UEN786515 UOJ786506:UOJ786515 UYF786506:UYF786515 VIB786506:VIB786515 VRX786506:VRX786515 WBT786506:WBT786515 WLP786506:WLP786515 WVL786506:WVL786515 D852042:D852051 IZ852042:IZ852051 SV852042:SV852051 ACR852042:ACR852051 AMN852042:AMN852051 AWJ852042:AWJ852051 BGF852042:BGF852051 BQB852042:BQB852051 BZX852042:BZX852051 CJT852042:CJT852051 CTP852042:CTP852051 DDL852042:DDL852051 DNH852042:DNH852051 DXD852042:DXD852051 EGZ852042:EGZ852051 EQV852042:EQV852051 FAR852042:FAR852051 FKN852042:FKN852051 FUJ852042:FUJ852051 GEF852042:GEF852051 GOB852042:GOB852051 GXX852042:GXX852051 HHT852042:HHT852051 HRP852042:HRP852051 IBL852042:IBL852051 ILH852042:ILH852051 IVD852042:IVD852051 JEZ852042:JEZ852051 JOV852042:JOV852051 JYR852042:JYR852051 KIN852042:KIN852051 KSJ852042:KSJ852051 LCF852042:LCF852051 LMB852042:LMB852051 LVX852042:LVX852051 MFT852042:MFT852051 MPP852042:MPP852051 MZL852042:MZL852051 NJH852042:NJH852051 NTD852042:NTD852051 OCZ852042:OCZ852051 OMV852042:OMV852051 OWR852042:OWR852051 PGN852042:PGN852051 PQJ852042:PQJ852051 QAF852042:QAF852051 QKB852042:QKB852051 QTX852042:QTX852051 RDT852042:RDT852051 RNP852042:RNP852051 RXL852042:RXL852051 SHH852042:SHH852051 SRD852042:SRD852051 TAZ852042:TAZ852051 TKV852042:TKV852051 TUR852042:TUR852051 UEN852042:UEN852051 UOJ852042:UOJ852051 UYF852042:UYF852051 VIB852042:VIB852051 VRX852042:VRX852051 WBT852042:WBT852051 WLP852042:WLP852051 WVL852042:WVL852051 D917578:D917587 IZ917578:IZ917587 SV917578:SV917587 ACR917578:ACR917587 AMN917578:AMN917587 AWJ917578:AWJ917587 BGF917578:BGF917587 BQB917578:BQB917587 BZX917578:BZX917587 CJT917578:CJT917587 CTP917578:CTP917587 DDL917578:DDL917587 DNH917578:DNH917587 DXD917578:DXD917587 EGZ917578:EGZ917587 EQV917578:EQV917587 FAR917578:FAR917587 FKN917578:FKN917587 FUJ917578:FUJ917587 GEF917578:GEF917587 GOB917578:GOB917587 GXX917578:GXX917587 HHT917578:HHT917587 HRP917578:HRP917587 IBL917578:IBL917587 ILH917578:ILH917587 IVD917578:IVD917587 JEZ917578:JEZ917587 JOV917578:JOV917587 JYR917578:JYR917587 KIN917578:KIN917587 KSJ917578:KSJ917587 LCF917578:LCF917587 LMB917578:LMB917587 LVX917578:LVX917587 MFT917578:MFT917587 MPP917578:MPP917587 MZL917578:MZL917587 NJH917578:NJH917587 NTD917578:NTD917587 OCZ917578:OCZ917587 OMV917578:OMV917587 OWR917578:OWR917587 PGN917578:PGN917587 PQJ917578:PQJ917587 QAF917578:QAF917587 QKB917578:QKB917587 QTX917578:QTX917587 RDT917578:RDT917587 RNP917578:RNP917587 RXL917578:RXL917587 SHH917578:SHH917587 SRD917578:SRD917587 TAZ917578:TAZ917587 TKV917578:TKV917587 TUR917578:TUR917587 UEN917578:UEN917587 UOJ917578:UOJ917587 UYF917578:UYF917587 VIB917578:VIB917587 VRX917578:VRX917587 WBT917578:WBT917587 WLP917578:WLP917587 WVL917578:WVL917587 D983114:D983123 IZ983114:IZ983123 SV983114:SV983123 ACR983114:ACR983123 AMN983114:AMN983123 AWJ983114:AWJ983123 BGF983114:BGF983123 BQB983114:BQB983123 BZX983114:BZX983123 CJT983114:CJT983123 CTP983114:CTP983123 DDL983114:DDL983123 DNH983114:DNH983123 DXD983114:DXD983123 EGZ983114:EGZ983123 EQV983114:EQV983123 FAR983114:FAR983123 FKN983114:FKN983123 FUJ983114:FUJ983123 GEF983114:GEF983123 GOB983114:GOB983123 GXX983114:GXX983123 HHT983114:HHT983123 HRP983114:HRP983123 IBL983114:IBL983123 ILH983114:ILH983123 IVD983114:IVD983123 JEZ983114:JEZ983123 JOV983114:JOV983123 JYR983114:JYR983123 KIN983114:KIN983123 KSJ983114:KSJ983123 LCF983114:LCF983123 LMB983114:LMB983123 LVX983114:LVX983123 MFT983114:MFT983123 MPP983114:MPP983123 MZL983114:MZL983123 NJH983114:NJH983123 NTD983114:NTD983123 OCZ983114:OCZ983123 OMV983114:OMV983123 OWR983114:OWR983123 PGN983114:PGN983123 PQJ983114:PQJ983123 QAF983114:QAF983123 QKB983114:QKB983123 QTX983114:QTX983123 RDT983114:RDT983123 RNP983114:RNP983123 RXL983114:RXL983123 SHH983114:SHH983123 SRD983114:SRD983123 TAZ983114:TAZ983123 TKV983114:TKV983123 TUR983114:TUR983123 UEN983114:UEN983123 UOJ983114:UOJ983123 UYF983114:UYF983123 VIB983114:VIB983123 VRX983114:VRX983123 WBT983114:WBT983123 WLP983114:WLP983123</xm:sqref>
        </x14:dataValidation>
        <x14:dataValidation type="list" allowBlank="1" showInputMessage="1" showErrorMessage="1">
          <x14:formula1>
            <xm:f>"x"</xm:f>
          </x14:formula1>
          <xm:sqref>B72:B78 IX72:IX78 ST72:ST78 ACP72:ACP78 AML72:AML78 AWH72:AWH78 BGD72:BGD78 BPZ72:BPZ78 BZV72:BZV78 CJR72:CJR78 CTN72:CTN78 DDJ72:DDJ78 DNF72:DNF78 DXB72:DXB78 EGX72:EGX78 EQT72:EQT78 FAP72:FAP78 FKL72:FKL78 FUH72:FUH78 GED72:GED78 GNZ72:GNZ78 GXV72:GXV78 HHR72:HHR78 HRN72:HRN78 IBJ72:IBJ78 ILF72:ILF78 IVB72:IVB78 JEX72:JEX78 JOT72:JOT78 JYP72:JYP78 KIL72:KIL78 KSH72:KSH78 LCD72:LCD78 LLZ72:LLZ78 LVV72:LVV78 MFR72:MFR78 MPN72:MPN78 MZJ72:MZJ78 NJF72:NJF78 NTB72:NTB78 OCX72:OCX78 OMT72:OMT78 OWP72:OWP78 PGL72:PGL78 PQH72:PQH78 QAD72:QAD78 QJZ72:QJZ78 QTV72:QTV78 RDR72:RDR78 RNN72:RNN78 RXJ72:RXJ78 SHF72:SHF78 SRB72:SRB78 TAX72:TAX78 TKT72:TKT78 TUP72:TUP78 UEL72:UEL78 UOH72:UOH78 UYD72:UYD78 VHZ72:VHZ78 VRV72:VRV78 WBR72:WBR78 WLN72:WLN78 WVJ72:WVJ78 B65590:B65597 IX65590:IX65597 ST65590:ST65597 ACP65590:ACP65597 AML65590:AML65597 AWH65590:AWH65597 BGD65590:BGD65597 BPZ65590:BPZ65597 BZV65590:BZV65597 CJR65590:CJR65597 CTN65590:CTN65597 DDJ65590:DDJ65597 DNF65590:DNF65597 DXB65590:DXB65597 EGX65590:EGX65597 EQT65590:EQT65597 FAP65590:FAP65597 FKL65590:FKL65597 FUH65590:FUH65597 GED65590:GED65597 GNZ65590:GNZ65597 GXV65590:GXV65597 HHR65590:HHR65597 HRN65590:HRN65597 IBJ65590:IBJ65597 ILF65590:ILF65597 IVB65590:IVB65597 JEX65590:JEX65597 JOT65590:JOT65597 JYP65590:JYP65597 KIL65590:KIL65597 KSH65590:KSH65597 LCD65590:LCD65597 LLZ65590:LLZ65597 LVV65590:LVV65597 MFR65590:MFR65597 MPN65590:MPN65597 MZJ65590:MZJ65597 NJF65590:NJF65597 NTB65590:NTB65597 OCX65590:OCX65597 OMT65590:OMT65597 OWP65590:OWP65597 PGL65590:PGL65597 PQH65590:PQH65597 QAD65590:QAD65597 QJZ65590:QJZ65597 QTV65590:QTV65597 RDR65590:RDR65597 RNN65590:RNN65597 RXJ65590:RXJ65597 SHF65590:SHF65597 SRB65590:SRB65597 TAX65590:TAX65597 TKT65590:TKT65597 TUP65590:TUP65597 UEL65590:UEL65597 UOH65590:UOH65597 UYD65590:UYD65597 VHZ65590:VHZ65597 VRV65590:VRV65597 WBR65590:WBR65597 WLN65590:WLN65597 WVJ65590:WVJ65597 B131126:B131133 IX131126:IX131133 ST131126:ST131133 ACP131126:ACP131133 AML131126:AML131133 AWH131126:AWH131133 BGD131126:BGD131133 BPZ131126:BPZ131133 BZV131126:BZV131133 CJR131126:CJR131133 CTN131126:CTN131133 DDJ131126:DDJ131133 DNF131126:DNF131133 DXB131126:DXB131133 EGX131126:EGX131133 EQT131126:EQT131133 FAP131126:FAP131133 FKL131126:FKL131133 FUH131126:FUH131133 GED131126:GED131133 GNZ131126:GNZ131133 GXV131126:GXV131133 HHR131126:HHR131133 HRN131126:HRN131133 IBJ131126:IBJ131133 ILF131126:ILF131133 IVB131126:IVB131133 JEX131126:JEX131133 JOT131126:JOT131133 JYP131126:JYP131133 KIL131126:KIL131133 KSH131126:KSH131133 LCD131126:LCD131133 LLZ131126:LLZ131133 LVV131126:LVV131133 MFR131126:MFR131133 MPN131126:MPN131133 MZJ131126:MZJ131133 NJF131126:NJF131133 NTB131126:NTB131133 OCX131126:OCX131133 OMT131126:OMT131133 OWP131126:OWP131133 PGL131126:PGL131133 PQH131126:PQH131133 QAD131126:QAD131133 QJZ131126:QJZ131133 QTV131126:QTV131133 RDR131126:RDR131133 RNN131126:RNN131133 RXJ131126:RXJ131133 SHF131126:SHF131133 SRB131126:SRB131133 TAX131126:TAX131133 TKT131126:TKT131133 TUP131126:TUP131133 UEL131126:UEL131133 UOH131126:UOH131133 UYD131126:UYD131133 VHZ131126:VHZ131133 VRV131126:VRV131133 WBR131126:WBR131133 WLN131126:WLN131133 WVJ131126:WVJ131133 B196662:B196669 IX196662:IX196669 ST196662:ST196669 ACP196662:ACP196669 AML196662:AML196669 AWH196662:AWH196669 BGD196662:BGD196669 BPZ196662:BPZ196669 BZV196662:BZV196669 CJR196662:CJR196669 CTN196662:CTN196669 DDJ196662:DDJ196669 DNF196662:DNF196669 DXB196662:DXB196669 EGX196662:EGX196669 EQT196662:EQT196669 FAP196662:FAP196669 FKL196662:FKL196669 FUH196662:FUH196669 GED196662:GED196669 GNZ196662:GNZ196669 GXV196662:GXV196669 HHR196662:HHR196669 HRN196662:HRN196669 IBJ196662:IBJ196669 ILF196662:ILF196669 IVB196662:IVB196669 JEX196662:JEX196669 JOT196662:JOT196669 JYP196662:JYP196669 KIL196662:KIL196669 KSH196662:KSH196669 LCD196662:LCD196669 LLZ196662:LLZ196669 LVV196662:LVV196669 MFR196662:MFR196669 MPN196662:MPN196669 MZJ196662:MZJ196669 NJF196662:NJF196669 NTB196662:NTB196669 OCX196662:OCX196669 OMT196662:OMT196669 OWP196662:OWP196669 PGL196662:PGL196669 PQH196662:PQH196669 QAD196662:QAD196669 QJZ196662:QJZ196669 QTV196662:QTV196669 RDR196662:RDR196669 RNN196662:RNN196669 RXJ196662:RXJ196669 SHF196662:SHF196669 SRB196662:SRB196669 TAX196662:TAX196669 TKT196662:TKT196669 TUP196662:TUP196669 UEL196662:UEL196669 UOH196662:UOH196669 UYD196662:UYD196669 VHZ196662:VHZ196669 VRV196662:VRV196669 WBR196662:WBR196669 WLN196662:WLN196669 WVJ196662:WVJ196669 B262198:B262205 IX262198:IX262205 ST262198:ST262205 ACP262198:ACP262205 AML262198:AML262205 AWH262198:AWH262205 BGD262198:BGD262205 BPZ262198:BPZ262205 BZV262198:BZV262205 CJR262198:CJR262205 CTN262198:CTN262205 DDJ262198:DDJ262205 DNF262198:DNF262205 DXB262198:DXB262205 EGX262198:EGX262205 EQT262198:EQT262205 FAP262198:FAP262205 FKL262198:FKL262205 FUH262198:FUH262205 GED262198:GED262205 GNZ262198:GNZ262205 GXV262198:GXV262205 HHR262198:HHR262205 HRN262198:HRN262205 IBJ262198:IBJ262205 ILF262198:ILF262205 IVB262198:IVB262205 JEX262198:JEX262205 JOT262198:JOT262205 JYP262198:JYP262205 KIL262198:KIL262205 KSH262198:KSH262205 LCD262198:LCD262205 LLZ262198:LLZ262205 LVV262198:LVV262205 MFR262198:MFR262205 MPN262198:MPN262205 MZJ262198:MZJ262205 NJF262198:NJF262205 NTB262198:NTB262205 OCX262198:OCX262205 OMT262198:OMT262205 OWP262198:OWP262205 PGL262198:PGL262205 PQH262198:PQH262205 QAD262198:QAD262205 QJZ262198:QJZ262205 QTV262198:QTV262205 RDR262198:RDR262205 RNN262198:RNN262205 RXJ262198:RXJ262205 SHF262198:SHF262205 SRB262198:SRB262205 TAX262198:TAX262205 TKT262198:TKT262205 TUP262198:TUP262205 UEL262198:UEL262205 UOH262198:UOH262205 UYD262198:UYD262205 VHZ262198:VHZ262205 VRV262198:VRV262205 WBR262198:WBR262205 WLN262198:WLN262205 WVJ262198:WVJ262205 B327734:B327741 IX327734:IX327741 ST327734:ST327741 ACP327734:ACP327741 AML327734:AML327741 AWH327734:AWH327741 BGD327734:BGD327741 BPZ327734:BPZ327741 BZV327734:BZV327741 CJR327734:CJR327741 CTN327734:CTN327741 DDJ327734:DDJ327741 DNF327734:DNF327741 DXB327734:DXB327741 EGX327734:EGX327741 EQT327734:EQT327741 FAP327734:FAP327741 FKL327734:FKL327741 FUH327734:FUH327741 GED327734:GED327741 GNZ327734:GNZ327741 GXV327734:GXV327741 HHR327734:HHR327741 HRN327734:HRN327741 IBJ327734:IBJ327741 ILF327734:ILF327741 IVB327734:IVB327741 JEX327734:JEX327741 JOT327734:JOT327741 JYP327734:JYP327741 KIL327734:KIL327741 KSH327734:KSH327741 LCD327734:LCD327741 LLZ327734:LLZ327741 LVV327734:LVV327741 MFR327734:MFR327741 MPN327734:MPN327741 MZJ327734:MZJ327741 NJF327734:NJF327741 NTB327734:NTB327741 OCX327734:OCX327741 OMT327734:OMT327741 OWP327734:OWP327741 PGL327734:PGL327741 PQH327734:PQH327741 QAD327734:QAD327741 QJZ327734:QJZ327741 QTV327734:QTV327741 RDR327734:RDR327741 RNN327734:RNN327741 RXJ327734:RXJ327741 SHF327734:SHF327741 SRB327734:SRB327741 TAX327734:TAX327741 TKT327734:TKT327741 TUP327734:TUP327741 UEL327734:UEL327741 UOH327734:UOH327741 UYD327734:UYD327741 VHZ327734:VHZ327741 VRV327734:VRV327741 WBR327734:WBR327741 WLN327734:WLN327741 WVJ327734:WVJ327741 B393270:B393277 IX393270:IX393277 ST393270:ST393277 ACP393270:ACP393277 AML393270:AML393277 AWH393270:AWH393277 BGD393270:BGD393277 BPZ393270:BPZ393277 BZV393270:BZV393277 CJR393270:CJR393277 CTN393270:CTN393277 DDJ393270:DDJ393277 DNF393270:DNF393277 DXB393270:DXB393277 EGX393270:EGX393277 EQT393270:EQT393277 FAP393270:FAP393277 FKL393270:FKL393277 FUH393270:FUH393277 GED393270:GED393277 GNZ393270:GNZ393277 GXV393270:GXV393277 HHR393270:HHR393277 HRN393270:HRN393277 IBJ393270:IBJ393277 ILF393270:ILF393277 IVB393270:IVB393277 JEX393270:JEX393277 JOT393270:JOT393277 JYP393270:JYP393277 KIL393270:KIL393277 KSH393270:KSH393277 LCD393270:LCD393277 LLZ393270:LLZ393277 LVV393270:LVV393277 MFR393270:MFR393277 MPN393270:MPN393277 MZJ393270:MZJ393277 NJF393270:NJF393277 NTB393270:NTB393277 OCX393270:OCX393277 OMT393270:OMT393277 OWP393270:OWP393277 PGL393270:PGL393277 PQH393270:PQH393277 QAD393270:QAD393277 QJZ393270:QJZ393277 QTV393270:QTV393277 RDR393270:RDR393277 RNN393270:RNN393277 RXJ393270:RXJ393277 SHF393270:SHF393277 SRB393270:SRB393277 TAX393270:TAX393277 TKT393270:TKT393277 TUP393270:TUP393277 UEL393270:UEL393277 UOH393270:UOH393277 UYD393270:UYD393277 VHZ393270:VHZ393277 VRV393270:VRV393277 WBR393270:WBR393277 WLN393270:WLN393277 WVJ393270:WVJ393277 B458806:B458813 IX458806:IX458813 ST458806:ST458813 ACP458806:ACP458813 AML458806:AML458813 AWH458806:AWH458813 BGD458806:BGD458813 BPZ458806:BPZ458813 BZV458806:BZV458813 CJR458806:CJR458813 CTN458806:CTN458813 DDJ458806:DDJ458813 DNF458806:DNF458813 DXB458806:DXB458813 EGX458806:EGX458813 EQT458806:EQT458813 FAP458806:FAP458813 FKL458806:FKL458813 FUH458806:FUH458813 GED458806:GED458813 GNZ458806:GNZ458813 GXV458806:GXV458813 HHR458806:HHR458813 HRN458806:HRN458813 IBJ458806:IBJ458813 ILF458806:ILF458813 IVB458806:IVB458813 JEX458806:JEX458813 JOT458806:JOT458813 JYP458806:JYP458813 KIL458806:KIL458813 KSH458806:KSH458813 LCD458806:LCD458813 LLZ458806:LLZ458813 LVV458806:LVV458813 MFR458806:MFR458813 MPN458806:MPN458813 MZJ458806:MZJ458813 NJF458806:NJF458813 NTB458806:NTB458813 OCX458806:OCX458813 OMT458806:OMT458813 OWP458806:OWP458813 PGL458806:PGL458813 PQH458806:PQH458813 QAD458806:QAD458813 QJZ458806:QJZ458813 QTV458806:QTV458813 RDR458806:RDR458813 RNN458806:RNN458813 RXJ458806:RXJ458813 SHF458806:SHF458813 SRB458806:SRB458813 TAX458806:TAX458813 TKT458806:TKT458813 TUP458806:TUP458813 UEL458806:UEL458813 UOH458806:UOH458813 UYD458806:UYD458813 VHZ458806:VHZ458813 VRV458806:VRV458813 WBR458806:WBR458813 WLN458806:WLN458813 WVJ458806:WVJ458813 B524342:B524349 IX524342:IX524349 ST524342:ST524349 ACP524342:ACP524349 AML524342:AML524349 AWH524342:AWH524349 BGD524342:BGD524349 BPZ524342:BPZ524349 BZV524342:BZV524349 CJR524342:CJR524349 CTN524342:CTN524349 DDJ524342:DDJ524349 DNF524342:DNF524349 DXB524342:DXB524349 EGX524342:EGX524349 EQT524342:EQT524349 FAP524342:FAP524349 FKL524342:FKL524349 FUH524342:FUH524349 GED524342:GED524349 GNZ524342:GNZ524349 GXV524342:GXV524349 HHR524342:HHR524349 HRN524342:HRN524349 IBJ524342:IBJ524349 ILF524342:ILF524349 IVB524342:IVB524349 JEX524342:JEX524349 JOT524342:JOT524349 JYP524342:JYP524349 KIL524342:KIL524349 KSH524342:KSH524349 LCD524342:LCD524349 LLZ524342:LLZ524349 LVV524342:LVV524349 MFR524342:MFR524349 MPN524342:MPN524349 MZJ524342:MZJ524349 NJF524342:NJF524349 NTB524342:NTB524349 OCX524342:OCX524349 OMT524342:OMT524349 OWP524342:OWP524349 PGL524342:PGL524349 PQH524342:PQH524349 QAD524342:QAD524349 QJZ524342:QJZ524349 QTV524342:QTV524349 RDR524342:RDR524349 RNN524342:RNN524349 RXJ524342:RXJ524349 SHF524342:SHF524349 SRB524342:SRB524349 TAX524342:TAX524349 TKT524342:TKT524349 TUP524342:TUP524349 UEL524342:UEL524349 UOH524342:UOH524349 UYD524342:UYD524349 VHZ524342:VHZ524349 VRV524342:VRV524349 WBR524342:WBR524349 WLN524342:WLN524349 WVJ524342:WVJ524349 B589878:B589885 IX589878:IX589885 ST589878:ST589885 ACP589878:ACP589885 AML589878:AML589885 AWH589878:AWH589885 BGD589878:BGD589885 BPZ589878:BPZ589885 BZV589878:BZV589885 CJR589878:CJR589885 CTN589878:CTN589885 DDJ589878:DDJ589885 DNF589878:DNF589885 DXB589878:DXB589885 EGX589878:EGX589885 EQT589878:EQT589885 FAP589878:FAP589885 FKL589878:FKL589885 FUH589878:FUH589885 GED589878:GED589885 GNZ589878:GNZ589885 GXV589878:GXV589885 HHR589878:HHR589885 HRN589878:HRN589885 IBJ589878:IBJ589885 ILF589878:ILF589885 IVB589878:IVB589885 JEX589878:JEX589885 JOT589878:JOT589885 JYP589878:JYP589885 KIL589878:KIL589885 KSH589878:KSH589885 LCD589878:LCD589885 LLZ589878:LLZ589885 LVV589878:LVV589885 MFR589878:MFR589885 MPN589878:MPN589885 MZJ589878:MZJ589885 NJF589878:NJF589885 NTB589878:NTB589885 OCX589878:OCX589885 OMT589878:OMT589885 OWP589878:OWP589885 PGL589878:PGL589885 PQH589878:PQH589885 QAD589878:QAD589885 QJZ589878:QJZ589885 QTV589878:QTV589885 RDR589878:RDR589885 RNN589878:RNN589885 RXJ589878:RXJ589885 SHF589878:SHF589885 SRB589878:SRB589885 TAX589878:TAX589885 TKT589878:TKT589885 TUP589878:TUP589885 UEL589878:UEL589885 UOH589878:UOH589885 UYD589878:UYD589885 VHZ589878:VHZ589885 VRV589878:VRV589885 WBR589878:WBR589885 WLN589878:WLN589885 WVJ589878:WVJ589885 B655414:B655421 IX655414:IX655421 ST655414:ST655421 ACP655414:ACP655421 AML655414:AML655421 AWH655414:AWH655421 BGD655414:BGD655421 BPZ655414:BPZ655421 BZV655414:BZV655421 CJR655414:CJR655421 CTN655414:CTN655421 DDJ655414:DDJ655421 DNF655414:DNF655421 DXB655414:DXB655421 EGX655414:EGX655421 EQT655414:EQT655421 FAP655414:FAP655421 FKL655414:FKL655421 FUH655414:FUH655421 GED655414:GED655421 GNZ655414:GNZ655421 GXV655414:GXV655421 HHR655414:HHR655421 HRN655414:HRN655421 IBJ655414:IBJ655421 ILF655414:ILF655421 IVB655414:IVB655421 JEX655414:JEX655421 JOT655414:JOT655421 JYP655414:JYP655421 KIL655414:KIL655421 KSH655414:KSH655421 LCD655414:LCD655421 LLZ655414:LLZ655421 LVV655414:LVV655421 MFR655414:MFR655421 MPN655414:MPN655421 MZJ655414:MZJ655421 NJF655414:NJF655421 NTB655414:NTB655421 OCX655414:OCX655421 OMT655414:OMT655421 OWP655414:OWP655421 PGL655414:PGL655421 PQH655414:PQH655421 QAD655414:QAD655421 QJZ655414:QJZ655421 QTV655414:QTV655421 RDR655414:RDR655421 RNN655414:RNN655421 RXJ655414:RXJ655421 SHF655414:SHF655421 SRB655414:SRB655421 TAX655414:TAX655421 TKT655414:TKT655421 TUP655414:TUP655421 UEL655414:UEL655421 UOH655414:UOH655421 UYD655414:UYD655421 VHZ655414:VHZ655421 VRV655414:VRV655421 WBR655414:WBR655421 WLN655414:WLN655421 WVJ655414:WVJ655421 B720950:B720957 IX720950:IX720957 ST720950:ST720957 ACP720950:ACP720957 AML720950:AML720957 AWH720950:AWH720957 BGD720950:BGD720957 BPZ720950:BPZ720957 BZV720950:BZV720957 CJR720950:CJR720957 CTN720950:CTN720957 DDJ720950:DDJ720957 DNF720950:DNF720957 DXB720950:DXB720957 EGX720950:EGX720957 EQT720950:EQT720957 FAP720950:FAP720957 FKL720950:FKL720957 FUH720950:FUH720957 GED720950:GED720957 GNZ720950:GNZ720957 GXV720950:GXV720957 HHR720950:HHR720957 HRN720950:HRN720957 IBJ720950:IBJ720957 ILF720950:ILF720957 IVB720950:IVB720957 JEX720950:JEX720957 JOT720950:JOT720957 JYP720950:JYP720957 KIL720950:KIL720957 KSH720950:KSH720957 LCD720950:LCD720957 LLZ720950:LLZ720957 LVV720950:LVV720957 MFR720950:MFR720957 MPN720950:MPN720957 MZJ720950:MZJ720957 NJF720950:NJF720957 NTB720950:NTB720957 OCX720950:OCX720957 OMT720950:OMT720957 OWP720950:OWP720957 PGL720950:PGL720957 PQH720950:PQH720957 QAD720950:QAD720957 QJZ720950:QJZ720957 QTV720950:QTV720957 RDR720950:RDR720957 RNN720950:RNN720957 RXJ720950:RXJ720957 SHF720950:SHF720957 SRB720950:SRB720957 TAX720950:TAX720957 TKT720950:TKT720957 TUP720950:TUP720957 UEL720950:UEL720957 UOH720950:UOH720957 UYD720950:UYD720957 VHZ720950:VHZ720957 VRV720950:VRV720957 WBR720950:WBR720957 WLN720950:WLN720957 WVJ720950:WVJ720957 B786486:B786493 IX786486:IX786493 ST786486:ST786493 ACP786486:ACP786493 AML786486:AML786493 AWH786486:AWH786493 BGD786486:BGD786493 BPZ786486:BPZ786493 BZV786486:BZV786493 CJR786486:CJR786493 CTN786486:CTN786493 DDJ786486:DDJ786493 DNF786486:DNF786493 DXB786486:DXB786493 EGX786486:EGX786493 EQT786486:EQT786493 FAP786486:FAP786493 FKL786486:FKL786493 FUH786486:FUH786493 GED786486:GED786493 GNZ786486:GNZ786493 GXV786486:GXV786493 HHR786486:HHR786493 HRN786486:HRN786493 IBJ786486:IBJ786493 ILF786486:ILF786493 IVB786486:IVB786493 JEX786486:JEX786493 JOT786486:JOT786493 JYP786486:JYP786493 KIL786486:KIL786493 KSH786486:KSH786493 LCD786486:LCD786493 LLZ786486:LLZ786493 LVV786486:LVV786493 MFR786486:MFR786493 MPN786486:MPN786493 MZJ786486:MZJ786493 NJF786486:NJF786493 NTB786486:NTB786493 OCX786486:OCX786493 OMT786486:OMT786493 OWP786486:OWP786493 PGL786486:PGL786493 PQH786486:PQH786493 QAD786486:QAD786493 QJZ786486:QJZ786493 QTV786486:QTV786493 RDR786486:RDR786493 RNN786486:RNN786493 RXJ786486:RXJ786493 SHF786486:SHF786493 SRB786486:SRB786493 TAX786486:TAX786493 TKT786486:TKT786493 TUP786486:TUP786493 UEL786486:UEL786493 UOH786486:UOH786493 UYD786486:UYD786493 VHZ786486:VHZ786493 VRV786486:VRV786493 WBR786486:WBR786493 WLN786486:WLN786493 WVJ786486:WVJ786493 B852022:B852029 IX852022:IX852029 ST852022:ST852029 ACP852022:ACP852029 AML852022:AML852029 AWH852022:AWH852029 BGD852022:BGD852029 BPZ852022:BPZ852029 BZV852022:BZV852029 CJR852022:CJR852029 CTN852022:CTN852029 DDJ852022:DDJ852029 DNF852022:DNF852029 DXB852022:DXB852029 EGX852022:EGX852029 EQT852022:EQT852029 FAP852022:FAP852029 FKL852022:FKL852029 FUH852022:FUH852029 GED852022:GED852029 GNZ852022:GNZ852029 GXV852022:GXV852029 HHR852022:HHR852029 HRN852022:HRN852029 IBJ852022:IBJ852029 ILF852022:ILF852029 IVB852022:IVB852029 JEX852022:JEX852029 JOT852022:JOT852029 JYP852022:JYP852029 KIL852022:KIL852029 KSH852022:KSH852029 LCD852022:LCD852029 LLZ852022:LLZ852029 LVV852022:LVV852029 MFR852022:MFR852029 MPN852022:MPN852029 MZJ852022:MZJ852029 NJF852022:NJF852029 NTB852022:NTB852029 OCX852022:OCX852029 OMT852022:OMT852029 OWP852022:OWP852029 PGL852022:PGL852029 PQH852022:PQH852029 QAD852022:QAD852029 QJZ852022:QJZ852029 QTV852022:QTV852029 RDR852022:RDR852029 RNN852022:RNN852029 RXJ852022:RXJ852029 SHF852022:SHF852029 SRB852022:SRB852029 TAX852022:TAX852029 TKT852022:TKT852029 TUP852022:TUP852029 UEL852022:UEL852029 UOH852022:UOH852029 UYD852022:UYD852029 VHZ852022:VHZ852029 VRV852022:VRV852029 WBR852022:WBR852029 WLN852022:WLN852029 WVJ852022:WVJ852029 B917558:B917565 IX917558:IX917565 ST917558:ST917565 ACP917558:ACP917565 AML917558:AML917565 AWH917558:AWH917565 BGD917558:BGD917565 BPZ917558:BPZ917565 BZV917558:BZV917565 CJR917558:CJR917565 CTN917558:CTN917565 DDJ917558:DDJ917565 DNF917558:DNF917565 DXB917558:DXB917565 EGX917558:EGX917565 EQT917558:EQT917565 FAP917558:FAP917565 FKL917558:FKL917565 FUH917558:FUH917565 GED917558:GED917565 GNZ917558:GNZ917565 GXV917558:GXV917565 HHR917558:HHR917565 HRN917558:HRN917565 IBJ917558:IBJ917565 ILF917558:ILF917565 IVB917558:IVB917565 JEX917558:JEX917565 JOT917558:JOT917565 JYP917558:JYP917565 KIL917558:KIL917565 KSH917558:KSH917565 LCD917558:LCD917565 LLZ917558:LLZ917565 LVV917558:LVV917565 MFR917558:MFR917565 MPN917558:MPN917565 MZJ917558:MZJ917565 NJF917558:NJF917565 NTB917558:NTB917565 OCX917558:OCX917565 OMT917558:OMT917565 OWP917558:OWP917565 PGL917558:PGL917565 PQH917558:PQH917565 QAD917558:QAD917565 QJZ917558:QJZ917565 QTV917558:QTV917565 RDR917558:RDR917565 RNN917558:RNN917565 RXJ917558:RXJ917565 SHF917558:SHF917565 SRB917558:SRB917565 TAX917558:TAX917565 TKT917558:TKT917565 TUP917558:TUP917565 UEL917558:UEL917565 UOH917558:UOH917565 UYD917558:UYD917565 VHZ917558:VHZ917565 VRV917558:VRV917565 WBR917558:WBR917565 WLN917558:WLN917565 WVJ917558:WVJ917565 B983094:B983101 IX983094:IX983101 ST983094:ST983101 ACP983094:ACP983101 AML983094:AML983101 AWH983094:AWH983101 BGD983094:BGD983101 BPZ983094:BPZ983101 BZV983094:BZV983101 CJR983094:CJR983101 CTN983094:CTN983101 DDJ983094:DDJ983101 DNF983094:DNF983101 DXB983094:DXB983101 EGX983094:EGX983101 EQT983094:EQT983101 FAP983094:FAP983101 FKL983094:FKL983101 FUH983094:FUH983101 GED983094:GED983101 GNZ983094:GNZ983101 GXV983094:GXV983101 HHR983094:HHR983101 HRN983094:HRN983101 IBJ983094:IBJ983101 ILF983094:ILF983101 IVB983094:IVB983101 JEX983094:JEX983101 JOT983094:JOT983101 JYP983094:JYP983101 KIL983094:KIL983101 KSH983094:KSH983101 LCD983094:LCD983101 LLZ983094:LLZ983101 LVV983094:LVV983101 MFR983094:MFR983101 MPN983094:MPN983101 MZJ983094:MZJ983101 NJF983094:NJF983101 NTB983094:NTB983101 OCX983094:OCX983101 OMT983094:OMT983101 OWP983094:OWP983101 PGL983094:PGL983101 PQH983094:PQH983101 QAD983094:QAD983101 QJZ983094:QJZ983101 QTV983094:QTV983101 RDR983094:RDR983101 RNN983094:RNN983101 RXJ983094:RXJ983101 SHF983094:SHF983101 SRB983094:SRB983101 TAX983094:TAX983101 TKT983094:TKT983101 TUP983094:TUP983101 UEL983094:UEL983101 UOH983094:UOH983101 UYD983094:UYD983101 VHZ983094:VHZ983101 VRV983094:VRV983101 WBR983094:WBR983101 WLN983094:WLN983101 WVJ983094:WVJ983101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C65501 IY65501 SU65501 ACQ65501 AMM65501 AWI65501 BGE65501 BQA65501 BZW65501 CJS65501 CTO65501 DDK65501 DNG65501 DXC65501 EGY65501 EQU65501 FAQ65501 FKM65501 FUI65501 GEE65501 GOA65501 GXW65501 HHS65501 HRO65501 IBK65501 ILG65501 IVC65501 JEY65501 JOU65501 JYQ65501 KIM65501 KSI65501 LCE65501 LMA65501 LVW65501 MFS65501 MPO65501 MZK65501 NJG65501 NTC65501 OCY65501 OMU65501 OWQ65501 PGM65501 PQI65501 QAE65501 QKA65501 QTW65501 RDS65501 RNO65501 RXK65501 SHG65501 SRC65501 TAY65501 TKU65501 TUQ65501 UEM65501 UOI65501 UYE65501 VIA65501 VRW65501 WBS65501 WLO65501 WVK65501 C131037 IY131037 SU131037 ACQ131037 AMM131037 AWI131037 BGE131037 BQA131037 BZW131037 CJS131037 CTO131037 DDK131037 DNG131037 DXC131037 EGY131037 EQU131037 FAQ131037 FKM131037 FUI131037 GEE131037 GOA131037 GXW131037 HHS131037 HRO131037 IBK131037 ILG131037 IVC131037 JEY131037 JOU131037 JYQ131037 KIM131037 KSI131037 LCE131037 LMA131037 LVW131037 MFS131037 MPO131037 MZK131037 NJG131037 NTC131037 OCY131037 OMU131037 OWQ131037 PGM131037 PQI131037 QAE131037 QKA131037 QTW131037 RDS131037 RNO131037 RXK131037 SHG131037 SRC131037 TAY131037 TKU131037 TUQ131037 UEM131037 UOI131037 UYE131037 VIA131037 VRW131037 WBS131037 WLO131037 WVK131037 C196573 IY196573 SU196573 ACQ196573 AMM196573 AWI196573 BGE196573 BQA196573 BZW196573 CJS196573 CTO196573 DDK196573 DNG196573 DXC196573 EGY196573 EQU196573 FAQ196573 FKM196573 FUI196573 GEE196573 GOA196573 GXW196573 HHS196573 HRO196573 IBK196573 ILG196573 IVC196573 JEY196573 JOU196573 JYQ196573 KIM196573 KSI196573 LCE196573 LMA196573 LVW196573 MFS196573 MPO196573 MZK196573 NJG196573 NTC196573 OCY196573 OMU196573 OWQ196573 PGM196573 PQI196573 QAE196573 QKA196573 QTW196573 RDS196573 RNO196573 RXK196573 SHG196573 SRC196573 TAY196573 TKU196573 TUQ196573 UEM196573 UOI196573 UYE196573 VIA196573 VRW196573 WBS196573 WLO196573 WVK196573 C262109 IY262109 SU262109 ACQ262109 AMM262109 AWI262109 BGE262109 BQA262109 BZW262109 CJS262109 CTO262109 DDK262109 DNG262109 DXC262109 EGY262109 EQU262109 FAQ262109 FKM262109 FUI262109 GEE262109 GOA262109 GXW262109 HHS262109 HRO262109 IBK262109 ILG262109 IVC262109 JEY262109 JOU262109 JYQ262109 KIM262109 KSI262109 LCE262109 LMA262109 LVW262109 MFS262109 MPO262109 MZK262109 NJG262109 NTC262109 OCY262109 OMU262109 OWQ262109 PGM262109 PQI262109 QAE262109 QKA262109 QTW262109 RDS262109 RNO262109 RXK262109 SHG262109 SRC262109 TAY262109 TKU262109 TUQ262109 UEM262109 UOI262109 UYE262109 VIA262109 VRW262109 WBS262109 WLO262109 WVK262109 C327645 IY327645 SU327645 ACQ327645 AMM327645 AWI327645 BGE327645 BQA327645 BZW327645 CJS327645 CTO327645 DDK327645 DNG327645 DXC327645 EGY327645 EQU327645 FAQ327645 FKM327645 FUI327645 GEE327645 GOA327645 GXW327645 HHS327645 HRO327645 IBK327645 ILG327645 IVC327645 JEY327645 JOU327645 JYQ327645 KIM327645 KSI327645 LCE327645 LMA327645 LVW327645 MFS327645 MPO327645 MZK327645 NJG327645 NTC327645 OCY327645 OMU327645 OWQ327645 PGM327645 PQI327645 QAE327645 QKA327645 QTW327645 RDS327645 RNO327645 RXK327645 SHG327645 SRC327645 TAY327645 TKU327645 TUQ327645 UEM327645 UOI327645 UYE327645 VIA327645 VRW327645 WBS327645 WLO327645 WVK327645 C393181 IY393181 SU393181 ACQ393181 AMM393181 AWI393181 BGE393181 BQA393181 BZW393181 CJS393181 CTO393181 DDK393181 DNG393181 DXC393181 EGY393181 EQU393181 FAQ393181 FKM393181 FUI393181 GEE393181 GOA393181 GXW393181 HHS393181 HRO393181 IBK393181 ILG393181 IVC393181 JEY393181 JOU393181 JYQ393181 KIM393181 KSI393181 LCE393181 LMA393181 LVW393181 MFS393181 MPO393181 MZK393181 NJG393181 NTC393181 OCY393181 OMU393181 OWQ393181 PGM393181 PQI393181 QAE393181 QKA393181 QTW393181 RDS393181 RNO393181 RXK393181 SHG393181 SRC393181 TAY393181 TKU393181 TUQ393181 UEM393181 UOI393181 UYE393181 VIA393181 VRW393181 WBS393181 WLO393181 WVK393181 C458717 IY458717 SU458717 ACQ458717 AMM458717 AWI458717 BGE458717 BQA458717 BZW458717 CJS458717 CTO458717 DDK458717 DNG458717 DXC458717 EGY458717 EQU458717 FAQ458717 FKM458717 FUI458717 GEE458717 GOA458717 GXW458717 HHS458717 HRO458717 IBK458717 ILG458717 IVC458717 JEY458717 JOU458717 JYQ458717 KIM458717 KSI458717 LCE458717 LMA458717 LVW458717 MFS458717 MPO458717 MZK458717 NJG458717 NTC458717 OCY458717 OMU458717 OWQ458717 PGM458717 PQI458717 QAE458717 QKA458717 QTW458717 RDS458717 RNO458717 RXK458717 SHG458717 SRC458717 TAY458717 TKU458717 TUQ458717 UEM458717 UOI458717 UYE458717 VIA458717 VRW458717 WBS458717 WLO458717 WVK458717 C524253 IY524253 SU524253 ACQ524253 AMM524253 AWI524253 BGE524253 BQA524253 BZW524253 CJS524253 CTO524253 DDK524253 DNG524253 DXC524253 EGY524253 EQU524253 FAQ524253 FKM524253 FUI524253 GEE524253 GOA524253 GXW524253 HHS524253 HRO524253 IBK524253 ILG524253 IVC524253 JEY524253 JOU524253 JYQ524253 KIM524253 KSI524253 LCE524253 LMA524253 LVW524253 MFS524253 MPO524253 MZK524253 NJG524253 NTC524253 OCY524253 OMU524253 OWQ524253 PGM524253 PQI524253 QAE524253 QKA524253 QTW524253 RDS524253 RNO524253 RXK524253 SHG524253 SRC524253 TAY524253 TKU524253 TUQ524253 UEM524253 UOI524253 UYE524253 VIA524253 VRW524253 WBS524253 WLO524253 WVK524253 C589789 IY589789 SU589789 ACQ589789 AMM589789 AWI589789 BGE589789 BQA589789 BZW589789 CJS589789 CTO589789 DDK589789 DNG589789 DXC589789 EGY589789 EQU589789 FAQ589789 FKM589789 FUI589789 GEE589789 GOA589789 GXW589789 HHS589789 HRO589789 IBK589789 ILG589789 IVC589789 JEY589789 JOU589789 JYQ589789 KIM589789 KSI589789 LCE589789 LMA589789 LVW589789 MFS589789 MPO589789 MZK589789 NJG589789 NTC589789 OCY589789 OMU589789 OWQ589789 PGM589789 PQI589789 QAE589789 QKA589789 QTW589789 RDS589789 RNO589789 RXK589789 SHG589789 SRC589789 TAY589789 TKU589789 TUQ589789 UEM589789 UOI589789 UYE589789 VIA589789 VRW589789 WBS589789 WLO589789 WVK589789 C655325 IY655325 SU655325 ACQ655325 AMM655325 AWI655325 BGE655325 BQA655325 BZW655325 CJS655325 CTO655325 DDK655325 DNG655325 DXC655325 EGY655325 EQU655325 FAQ655325 FKM655325 FUI655325 GEE655325 GOA655325 GXW655325 HHS655325 HRO655325 IBK655325 ILG655325 IVC655325 JEY655325 JOU655325 JYQ655325 KIM655325 KSI655325 LCE655325 LMA655325 LVW655325 MFS655325 MPO655325 MZK655325 NJG655325 NTC655325 OCY655325 OMU655325 OWQ655325 PGM655325 PQI655325 QAE655325 QKA655325 QTW655325 RDS655325 RNO655325 RXK655325 SHG655325 SRC655325 TAY655325 TKU655325 TUQ655325 UEM655325 UOI655325 UYE655325 VIA655325 VRW655325 WBS655325 WLO655325 WVK655325 C720861 IY720861 SU720861 ACQ720861 AMM720861 AWI720861 BGE720861 BQA720861 BZW720861 CJS720861 CTO720861 DDK720861 DNG720861 DXC720861 EGY720861 EQU720861 FAQ720861 FKM720861 FUI720861 GEE720861 GOA720861 GXW720861 HHS720861 HRO720861 IBK720861 ILG720861 IVC720861 JEY720861 JOU720861 JYQ720861 KIM720861 KSI720861 LCE720861 LMA720861 LVW720861 MFS720861 MPO720861 MZK720861 NJG720861 NTC720861 OCY720861 OMU720861 OWQ720861 PGM720861 PQI720861 QAE720861 QKA720861 QTW720861 RDS720861 RNO720861 RXK720861 SHG720861 SRC720861 TAY720861 TKU720861 TUQ720861 UEM720861 UOI720861 UYE720861 VIA720861 VRW720861 WBS720861 WLO720861 WVK720861 C786397 IY786397 SU786397 ACQ786397 AMM786397 AWI786397 BGE786397 BQA786397 BZW786397 CJS786397 CTO786397 DDK786397 DNG786397 DXC786397 EGY786397 EQU786397 FAQ786397 FKM786397 FUI786397 GEE786397 GOA786397 GXW786397 HHS786397 HRO786397 IBK786397 ILG786397 IVC786397 JEY786397 JOU786397 JYQ786397 KIM786397 KSI786397 LCE786397 LMA786397 LVW786397 MFS786397 MPO786397 MZK786397 NJG786397 NTC786397 OCY786397 OMU786397 OWQ786397 PGM786397 PQI786397 QAE786397 QKA786397 QTW786397 RDS786397 RNO786397 RXK786397 SHG786397 SRC786397 TAY786397 TKU786397 TUQ786397 UEM786397 UOI786397 UYE786397 VIA786397 VRW786397 WBS786397 WLO786397 WVK786397 C851933 IY851933 SU851933 ACQ851933 AMM851933 AWI851933 BGE851933 BQA851933 BZW851933 CJS851933 CTO851933 DDK851933 DNG851933 DXC851933 EGY851933 EQU851933 FAQ851933 FKM851933 FUI851933 GEE851933 GOA851933 GXW851933 HHS851933 HRO851933 IBK851933 ILG851933 IVC851933 JEY851933 JOU851933 JYQ851933 KIM851933 KSI851933 LCE851933 LMA851933 LVW851933 MFS851933 MPO851933 MZK851933 NJG851933 NTC851933 OCY851933 OMU851933 OWQ851933 PGM851933 PQI851933 QAE851933 QKA851933 QTW851933 RDS851933 RNO851933 RXK851933 SHG851933 SRC851933 TAY851933 TKU851933 TUQ851933 UEM851933 UOI851933 UYE851933 VIA851933 VRW851933 WBS851933 WLO851933 WVK851933 C917469 IY917469 SU917469 ACQ917469 AMM917469 AWI917469 BGE917469 BQA917469 BZW917469 CJS917469 CTO917469 DDK917469 DNG917469 DXC917469 EGY917469 EQU917469 FAQ917469 FKM917469 FUI917469 GEE917469 GOA917469 GXW917469 HHS917469 HRO917469 IBK917469 ILG917469 IVC917469 JEY917469 JOU917469 JYQ917469 KIM917469 KSI917469 LCE917469 LMA917469 LVW917469 MFS917469 MPO917469 MZK917469 NJG917469 NTC917469 OCY917469 OMU917469 OWQ917469 PGM917469 PQI917469 QAE917469 QKA917469 QTW917469 RDS917469 RNO917469 RXK917469 SHG917469 SRC917469 TAY917469 TKU917469 TUQ917469 UEM917469 UOI917469 UYE917469 VIA917469 VRW917469 WBS917469 WLO917469 WVK917469 C983005 IY983005 SU983005 ACQ983005 AMM983005 AWI983005 BGE983005 BQA983005 BZW983005 CJS983005 CTO983005 DDK983005 DNG983005 DXC983005 EGY983005 EQU983005 FAQ983005 FKM983005 FUI983005 GEE983005 GOA983005 GXW983005 HHS983005 HRO983005 IBK983005 ILG983005 IVC983005 JEY983005 JOU983005 JYQ983005 KIM983005 KSI983005 LCE983005 LMA983005 LVW983005 MFS983005 MPO983005 MZK983005 NJG983005 NTC983005 OCY983005 OMU983005 OWQ983005 PGM983005 PQI983005 QAE983005 QKA983005 QTW983005 RDS983005 RNO983005 RXK983005 SHG983005 SRC983005 TAY983005 TKU983005 TUQ983005 UEM983005 UOI983005 UYE983005 VIA983005 VRW983005 WBS983005 WLO983005 WVK983005 IX99:IX106 ST99:ST106 ACP99:ACP106 AML99:AML106 AWH99:AWH106 BGD99:BGD106 BPZ99:BPZ106 BZV99:BZV106 CJR99:CJR106 CTN99:CTN106 DDJ99:DDJ106 DNF99:DNF106 DXB99:DXB106 EGX99:EGX106 EQT99:EQT106 FAP99:FAP106 FKL99:FKL106 FUH99:FUH106 GED99:GED106 GNZ99:GNZ106 GXV99:GXV106 HHR99:HHR106 HRN99:HRN106 IBJ99:IBJ106 ILF99:ILF106 IVB99:IVB106 JEX99:JEX106 JOT99:JOT106 JYP99:JYP106 KIL99:KIL106 KSH99:KSH106 LCD99:LCD106 LLZ99:LLZ106 LVV99:LVV106 MFR99:MFR106 MPN99:MPN106 MZJ99:MZJ106 NJF99:NJF106 NTB99:NTB106 OCX99:OCX106 OMT99:OMT106 OWP99:OWP106 PGL99:PGL106 PQH99:PQH106 QAD99:QAD106 QJZ99:QJZ106 QTV99:QTV106 RDR99:RDR106 RNN99:RNN106 RXJ99:RXJ106 SHF99:SHF106 SRB99:SRB106 TAX99:TAX106 TKT99:TKT106 TUP99:TUP106 UEL99:UEL106 UOH99:UOH106 UYD99:UYD106 VHZ99:VHZ106 VRV99:VRV106 WBR99:WBR106 WLN99:WLN106 WVJ99:WVJ106 WVJ983070:WVJ983072 B65642:B65643 IX65642:IX65643 ST65642:ST65643 ACP65642:ACP65643 AML65642:AML65643 AWH65642:AWH65643 BGD65642:BGD65643 BPZ65642:BPZ65643 BZV65642:BZV65643 CJR65642:CJR65643 CTN65642:CTN65643 DDJ65642:DDJ65643 DNF65642:DNF65643 DXB65642:DXB65643 EGX65642:EGX65643 EQT65642:EQT65643 FAP65642:FAP65643 FKL65642:FKL65643 FUH65642:FUH65643 GED65642:GED65643 GNZ65642:GNZ65643 GXV65642:GXV65643 HHR65642:HHR65643 HRN65642:HRN65643 IBJ65642:IBJ65643 ILF65642:ILF65643 IVB65642:IVB65643 JEX65642:JEX65643 JOT65642:JOT65643 JYP65642:JYP65643 KIL65642:KIL65643 KSH65642:KSH65643 LCD65642:LCD65643 LLZ65642:LLZ65643 LVV65642:LVV65643 MFR65642:MFR65643 MPN65642:MPN65643 MZJ65642:MZJ65643 NJF65642:NJF65643 NTB65642:NTB65643 OCX65642:OCX65643 OMT65642:OMT65643 OWP65642:OWP65643 PGL65642:PGL65643 PQH65642:PQH65643 QAD65642:QAD65643 QJZ65642:QJZ65643 QTV65642:QTV65643 RDR65642:RDR65643 RNN65642:RNN65643 RXJ65642:RXJ65643 SHF65642:SHF65643 SRB65642:SRB65643 TAX65642:TAX65643 TKT65642:TKT65643 TUP65642:TUP65643 UEL65642:UEL65643 UOH65642:UOH65643 UYD65642:UYD65643 VHZ65642:VHZ65643 VRV65642:VRV65643 WBR65642:WBR65643 WLN65642:WLN65643 WVJ65642:WVJ65643 B131178:B131179 IX131178:IX131179 ST131178:ST131179 ACP131178:ACP131179 AML131178:AML131179 AWH131178:AWH131179 BGD131178:BGD131179 BPZ131178:BPZ131179 BZV131178:BZV131179 CJR131178:CJR131179 CTN131178:CTN131179 DDJ131178:DDJ131179 DNF131178:DNF131179 DXB131178:DXB131179 EGX131178:EGX131179 EQT131178:EQT131179 FAP131178:FAP131179 FKL131178:FKL131179 FUH131178:FUH131179 GED131178:GED131179 GNZ131178:GNZ131179 GXV131178:GXV131179 HHR131178:HHR131179 HRN131178:HRN131179 IBJ131178:IBJ131179 ILF131178:ILF131179 IVB131178:IVB131179 JEX131178:JEX131179 JOT131178:JOT131179 JYP131178:JYP131179 KIL131178:KIL131179 KSH131178:KSH131179 LCD131178:LCD131179 LLZ131178:LLZ131179 LVV131178:LVV131179 MFR131178:MFR131179 MPN131178:MPN131179 MZJ131178:MZJ131179 NJF131178:NJF131179 NTB131178:NTB131179 OCX131178:OCX131179 OMT131178:OMT131179 OWP131178:OWP131179 PGL131178:PGL131179 PQH131178:PQH131179 QAD131178:QAD131179 QJZ131178:QJZ131179 QTV131178:QTV131179 RDR131178:RDR131179 RNN131178:RNN131179 RXJ131178:RXJ131179 SHF131178:SHF131179 SRB131178:SRB131179 TAX131178:TAX131179 TKT131178:TKT131179 TUP131178:TUP131179 UEL131178:UEL131179 UOH131178:UOH131179 UYD131178:UYD131179 VHZ131178:VHZ131179 VRV131178:VRV131179 WBR131178:WBR131179 WLN131178:WLN131179 WVJ131178:WVJ131179 B196714:B196715 IX196714:IX196715 ST196714:ST196715 ACP196714:ACP196715 AML196714:AML196715 AWH196714:AWH196715 BGD196714:BGD196715 BPZ196714:BPZ196715 BZV196714:BZV196715 CJR196714:CJR196715 CTN196714:CTN196715 DDJ196714:DDJ196715 DNF196714:DNF196715 DXB196714:DXB196715 EGX196714:EGX196715 EQT196714:EQT196715 FAP196714:FAP196715 FKL196714:FKL196715 FUH196714:FUH196715 GED196714:GED196715 GNZ196714:GNZ196715 GXV196714:GXV196715 HHR196714:HHR196715 HRN196714:HRN196715 IBJ196714:IBJ196715 ILF196714:ILF196715 IVB196714:IVB196715 JEX196714:JEX196715 JOT196714:JOT196715 JYP196714:JYP196715 KIL196714:KIL196715 KSH196714:KSH196715 LCD196714:LCD196715 LLZ196714:LLZ196715 LVV196714:LVV196715 MFR196714:MFR196715 MPN196714:MPN196715 MZJ196714:MZJ196715 NJF196714:NJF196715 NTB196714:NTB196715 OCX196714:OCX196715 OMT196714:OMT196715 OWP196714:OWP196715 PGL196714:PGL196715 PQH196714:PQH196715 QAD196714:QAD196715 QJZ196714:QJZ196715 QTV196714:QTV196715 RDR196714:RDR196715 RNN196714:RNN196715 RXJ196714:RXJ196715 SHF196714:SHF196715 SRB196714:SRB196715 TAX196714:TAX196715 TKT196714:TKT196715 TUP196714:TUP196715 UEL196714:UEL196715 UOH196714:UOH196715 UYD196714:UYD196715 VHZ196714:VHZ196715 VRV196714:VRV196715 WBR196714:WBR196715 WLN196714:WLN196715 WVJ196714:WVJ196715 B262250:B262251 IX262250:IX262251 ST262250:ST262251 ACP262250:ACP262251 AML262250:AML262251 AWH262250:AWH262251 BGD262250:BGD262251 BPZ262250:BPZ262251 BZV262250:BZV262251 CJR262250:CJR262251 CTN262250:CTN262251 DDJ262250:DDJ262251 DNF262250:DNF262251 DXB262250:DXB262251 EGX262250:EGX262251 EQT262250:EQT262251 FAP262250:FAP262251 FKL262250:FKL262251 FUH262250:FUH262251 GED262250:GED262251 GNZ262250:GNZ262251 GXV262250:GXV262251 HHR262250:HHR262251 HRN262250:HRN262251 IBJ262250:IBJ262251 ILF262250:ILF262251 IVB262250:IVB262251 JEX262250:JEX262251 JOT262250:JOT262251 JYP262250:JYP262251 KIL262250:KIL262251 KSH262250:KSH262251 LCD262250:LCD262251 LLZ262250:LLZ262251 LVV262250:LVV262251 MFR262250:MFR262251 MPN262250:MPN262251 MZJ262250:MZJ262251 NJF262250:NJF262251 NTB262250:NTB262251 OCX262250:OCX262251 OMT262250:OMT262251 OWP262250:OWP262251 PGL262250:PGL262251 PQH262250:PQH262251 QAD262250:QAD262251 QJZ262250:QJZ262251 QTV262250:QTV262251 RDR262250:RDR262251 RNN262250:RNN262251 RXJ262250:RXJ262251 SHF262250:SHF262251 SRB262250:SRB262251 TAX262250:TAX262251 TKT262250:TKT262251 TUP262250:TUP262251 UEL262250:UEL262251 UOH262250:UOH262251 UYD262250:UYD262251 VHZ262250:VHZ262251 VRV262250:VRV262251 WBR262250:WBR262251 WLN262250:WLN262251 WVJ262250:WVJ262251 B327786:B327787 IX327786:IX327787 ST327786:ST327787 ACP327786:ACP327787 AML327786:AML327787 AWH327786:AWH327787 BGD327786:BGD327787 BPZ327786:BPZ327787 BZV327786:BZV327787 CJR327786:CJR327787 CTN327786:CTN327787 DDJ327786:DDJ327787 DNF327786:DNF327787 DXB327786:DXB327787 EGX327786:EGX327787 EQT327786:EQT327787 FAP327786:FAP327787 FKL327786:FKL327787 FUH327786:FUH327787 GED327786:GED327787 GNZ327786:GNZ327787 GXV327786:GXV327787 HHR327786:HHR327787 HRN327786:HRN327787 IBJ327786:IBJ327787 ILF327786:ILF327787 IVB327786:IVB327787 JEX327786:JEX327787 JOT327786:JOT327787 JYP327786:JYP327787 KIL327786:KIL327787 KSH327786:KSH327787 LCD327786:LCD327787 LLZ327786:LLZ327787 LVV327786:LVV327787 MFR327786:MFR327787 MPN327786:MPN327787 MZJ327786:MZJ327787 NJF327786:NJF327787 NTB327786:NTB327787 OCX327786:OCX327787 OMT327786:OMT327787 OWP327786:OWP327787 PGL327786:PGL327787 PQH327786:PQH327787 QAD327786:QAD327787 QJZ327786:QJZ327787 QTV327786:QTV327787 RDR327786:RDR327787 RNN327786:RNN327787 RXJ327786:RXJ327787 SHF327786:SHF327787 SRB327786:SRB327787 TAX327786:TAX327787 TKT327786:TKT327787 TUP327786:TUP327787 UEL327786:UEL327787 UOH327786:UOH327787 UYD327786:UYD327787 VHZ327786:VHZ327787 VRV327786:VRV327787 WBR327786:WBR327787 WLN327786:WLN327787 WVJ327786:WVJ327787 B393322:B393323 IX393322:IX393323 ST393322:ST393323 ACP393322:ACP393323 AML393322:AML393323 AWH393322:AWH393323 BGD393322:BGD393323 BPZ393322:BPZ393323 BZV393322:BZV393323 CJR393322:CJR393323 CTN393322:CTN393323 DDJ393322:DDJ393323 DNF393322:DNF393323 DXB393322:DXB393323 EGX393322:EGX393323 EQT393322:EQT393323 FAP393322:FAP393323 FKL393322:FKL393323 FUH393322:FUH393323 GED393322:GED393323 GNZ393322:GNZ393323 GXV393322:GXV393323 HHR393322:HHR393323 HRN393322:HRN393323 IBJ393322:IBJ393323 ILF393322:ILF393323 IVB393322:IVB393323 JEX393322:JEX393323 JOT393322:JOT393323 JYP393322:JYP393323 KIL393322:KIL393323 KSH393322:KSH393323 LCD393322:LCD393323 LLZ393322:LLZ393323 LVV393322:LVV393323 MFR393322:MFR393323 MPN393322:MPN393323 MZJ393322:MZJ393323 NJF393322:NJF393323 NTB393322:NTB393323 OCX393322:OCX393323 OMT393322:OMT393323 OWP393322:OWP393323 PGL393322:PGL393323 PQH393322:PQH393323 QAD393322:QAD393323 QJZ393322:QJZ393323 QTV393322:QTV393323 RDR393322:RDR393323 RNN393322:RNN393323 RXJ393322:RXJ393323 SHF393322:SHF393323 SRB393322:SRB393323 TAX393322:TAX393323 TKT393322:TKT393323 TUP393322:TUP393323 UEL393322:UEL393323 UOH393322:UOH393323 UYD393322:UYD393323 VHZ393322:VHZ393323 VRV393322:VRV393323 WBR393322:WBR393323 WLN393322:WLN393323 WVJ393322:WVJ393323 B458858:B458859 IX458858:IX458859 ST458858:ST458859 ACP458858:ACP458859 AML458858:AML458859 AWH458858:AWH458859 BGD458858:BGD458859 BPZ458858:BPZ458859 BZV458858:BZV458859 CJR458858:CJR458859 CTN458858:CTN458859 DDJ458858:DDJ458859 DNF458858:DNF458859 DXB458858:DXB458859 EGX458858:EGX458859 EQT458858:EQT458859 FAP458858:FAP458859 FKL458858:FKL458859 FUH458858:FUH458859 GED458858:GED458859 GNZ458858:GNZ458859 GXV458858:GXV458859 HHR458858:HHR458859 HRN458858:HRN458859 IBJ458858:IBJ458859 ILF458858:ILF458859 IVB458858:IVB458859 JEX458858:JEX458859 JOT458858:JOT458859 JYP458858:JYP458859 KIL458858:KIL458859 KSH458858:KSH458859 LCD458858:LCD458859 LLZ458858:LLZ458859 LVV458858:LVV458859 MFR458858:MFR458859 MPN458858:MPN458859 MZJ458858:MZJ458859 NJF458858:NJF458859 NTB458858:NTB458859 OCX458858:OCX458859 OMT458858:OMT458859 OWP458858:OWP458859 PGL458858:PGL458859 PQH458858:PQH458859 QAD458858:QAD458859 QJZ458858:QJZ458859 QTV458858:QTV458859 RDR458858:RDR458859 RNN458858:RNN458859 RXJ458858:RXJ458859 SHF458858:SHF458859 SRB458858:SRB458859 TAX458858:TAX458859 TKT458858:TKT458859 TUP458858:TUP458859 UEL458858:UEL458859 UOH458858:UOH458859 UYD458858:UYD458859 VHZ458858:VHZ458859 VRV458858:VRV458859 WBR458858:WBR458859 WLN458858:WLN458859 WVJ458858:WVJ458859 B524394:B524395 IX524394:IX524395 ST524394:ST524395 ACP524394:ACP524395 AML524394:AML524395 AWH524394:AWH524395 BGD524394:BGD524395 BPZ524394:BPZ524395 BZV524394:BZV524395 CJR524394:CJR524395 CTN524394:CTN524395 DDJ524394:DDJ524395 DNF524394:DNF524395 DXB524394:DXB524395 EGX524394:EGX524395 EQT524394:EQT524395 FAP524394:FAP524395 FKL524394:FKL524395 FUH524394:FUH524395 GED524394:GED524395 GNZ524394:GNZ524395 GXV524394:GXV524395 HHR524394:HHR524395 HRN524394:HRN524395 IBJ524394:IBJ524395 ILF524394:ILF524395 IVB524394:IVB524395 JEX524394:JEX524395 JOT524394:JOT524395 JYP524394:JYP524395 KIL524394:KIL524395 KSH524394:KSH524395 LCD524394:LCD524395 LLZ524394:LLZ524395 LVV524394:LVV524395 MFR524394:MFR524395 MPN524394:MPN524395 MZJ524394:MZJ524395 NJF524394:NJF524395 NTB524394:NTB524395 OCX524394:OCX524395 OMT524394:OMT524395 OWP524394:OWP524395 PGL524394:PGL524395 PQH524394:PQH524395 QAD524394:QAD524395 QJZ524394:QJZ524395 QTV524394:QTV524395 RDR524394:RDR524395 RNN524394:RNN524395 RXJ524394:RXJ524395 SHF524394:SHF524395 SRB524394:SRB524395 TAX524394:TAX524395 TKT524394:TKT524395 TUP524394:TUP524395 UEL524394:UEL524395 UOH524394:UOH524395 UYD524394:UYD524395 VHZ524394:VHZ524395 VRV524394:VRV524395 WBR524394:WBR524395 WLN524394:WLN524395 WVJ524394:WVJ524395 B589930:B589931 IX589930:IX589931 ST589930:ST589931 ACP589930:ACP589931 AML589930:AML589931 AWH589930:AWH589931 BGD589930:BGD589931 BPZ589930:BPZ589931 BZV589930:BZV589931 CJR589930:CJR589931 CTN589930:CTN589931 DDJ589930:DDJ589931 DNF589930:DNF589931 DXB589930:DXB589931 EGX589930:EGX589931 EQT589930:EQT589931 FAP589930:FAP589931 FKL589930:FKL589931 FUH589930:FUH589931 GED589930:GED589931 GNZ589930:GNZ589931 GXV589930:GXV589931 HHR589930:HHR589931 HRN589930:HRN589931 IBJ589930:IBJ589931 ILF589930:ILF589931 IVB589930:IVB589931 JEX589930:JEX589931 JOT589930:JOT589931 JYP589930:JYP589931 KIL589930:KIL589931 KSH589930:KSH589931 LCD589930:LCD589931 LLZ589930:LLZ589931 LVV589930:LVV589931 MFR589930:MFR589931 MPN589930:MPN589931 MZJ589930:MZJ589931 NJF589930:NJF589931 NTB589930:NTB589931 OCX589930:OCX589931 OMT589930:OMT589931 OWP589930:OWP589931 PGL589930:PGL589931 PQH589930:PQH589931 QAD589930:QAD589931 QJZ589930:QJZ589931 QTV589930:QTV589931 RDR589930:RDR589931 RNN589930:RNN589931 RXJ589930:RXJ589931 SHF589930:SHF589931 SRB589930:SRB589931 TAX589930:TAX589931 TKT589930:TKT589931 TUP589930:TUP589931 UEL589930:UEL589931 UOH589930:UOH589931 UYD589930:UYD589931 VHZ589930:VHZ589931 VRV589930:VRV589931 WBR589930:WBR589931 WLN589930:WLN589931 WVJ589930:WVJ589931 B655466:B655467 IX655466:IX655467 ST655466:ST655467 ACP655466:ACP655467 AML655466:AML655467 AWH655466:AWH655467 BGD655466:BGD655467 BPZ655466:BPZ655467 BZV655466:BZV655467 CJR655466:CJR655467 CTN655466:CTN655467 DDJ655466:DDJ655467 DNF655466:DNF655467 DXB655466:DXB655467 EGX655466:EGX655467 EQT655466:EQT655467 FAP655466:FAP655467 FKL655466:FKL655467 FUH655466:FUH655467 GED655466:GED655467 GNZ655466:GNZ655467 GXV655466:GXV655467 HHR655466:HHR655467 HRN655466:HRN655467 IBJ655466:IBJ655467 ILF655466:ILF655467 IVB655466:IVB655467 JEX655466:JEX655467 JOT655466:JOT655467 JYP655466:JYP655467 KIL655466:KIL655467 KSH655466:KSH655467 LCD655466:LCD655467 LLZ655466:LLZ655467 LVV655466:LVV655467 MFR655466:MFR655467 MPN655466:MPN655467 MZJ655466:MZJ655467 NJF655466:NJF655467 NTB655466:NTB655467 OCX655466:OCX655467 OMT655466:OMT655467 OWP655466:OWP655467 PGL655466:PGL655467 PQH655466:PQH655467 QAD655466:QAD655467 QJZ655466:QJZ655467 QTV655466:QTV655467 RDR655466:RDR655467 RNN655466:RNN655467 RXJ655466:RXJ655467 SHF655466:SHF655467 SRB655466:SRB655467 TAX655466:TAX655467 TKT655466:TKT655467 TUP655466:TUP655467 UEL655466:UEL655467 UOH655466:UOH655467 UYD655466:UYD655467 VHZ655466:VHZ655467 VRV655466:VRV655467 WBR655466:WBR655467 WLN655466:WLN655467 WVJ655466:WVJ655467 B721002:B721003 IX721002:IX721003 ST721002:ST721003 ACP721002:ACP721003 AML721002:AML721003 AWH721002:AWH721003 BGD721002:BGD721003 BPZ721002:BPZ721003 BZV721002:BZV721003 CJR721002:CJR721003 CTN721002:CTN721003 DDJ721002:DDJ721003 DNF721002:DNF721003 DXB721002:DXB721003 EGX721002:EGX721003 EQT721002:EQT721003 FAP721002:FAP721003 FKL721002:FKL721003 FUH721002:FUH721003 GED721002:GED721003 GNZ721002:GNZ721003 GXV721002:GXV721003 HHR721002:HHR721003 HRN721002:HRN721003 IBJ721002:IBJ721003 ILF721002:ILF721003 IVB721002:IVB721003 JEX721002:JEX721003 JOT721002:JOT721003 JYP721002:JYP721003 KIL721002:KIL721003 KSH721002:KSH721003 LCD721002:LCD721003 LLZ721002:LLZ721003 LVV721002:LVV721003 MFR721002:MFR721003 MPN721002:MPN721003 MZJ721002:MZJ721003 NJF721002:NJF721003 NTB721002:NTB721003 OCX721002:OCX721003 OMT721002:OMT721003 OWP721002:OWP721003 PGL721002:PGL721003 PQH721002:PQH721003 QAD721002:QAD721003 QJZ721002:QJZ721003 QTV721002:QTV721003 RDR721002:RDR721003 RNN721002:RNN721003 RXJ721002:RXJ721003 SHF721002:SHF721003 SRB721002:SRB721003 TAX721002:TAX721003 TKT721002:TKT721003 TUP721002:TUP721003 UEL721002:UEL721003 UOH721002:UOH721003 UYD721002:UYD721003 VHZ721002:VHZ721003 VRV721002:VRV721003 WBR721002:WBR721003 WLN721002:WLN721003 WVJ721002:WVJ721003 B786538:B786539 IX786538:IX786539 ST786538:ST786539 ACP786538:ACP786539 AML786538:AML786539 AWH786538:AWH786539 BGD786538:BGD786539 BPZ786538:BPZ786539 BZV786538:BZV786539 CJR786538:CJR786539 CTN786538:CTN786539 DDJ786538:DDJ786539 DNF786538:DNF786539 DXB786538:DXB786539 EGX786538:EGX786539 EQT786538:EQT786539 FAP786538:FAP786539 FKL786538:FKL786539 FUH786538:FUH786539 GED786538:GED786539 GNZ786538:GNZ786539 GXV786538:GXV786539 HHR786538:HHR786539 HRN786538:HRN786539 IBJ786538:IBJ786539 ILF786538:ILF786539 IVB786538:IVB786539 JEX786538:JEX786539 JOT786538:JOT786539 JYP786538:JYP786539 KIL786538:KIL786539 KSH786538:KSH786539 LCD786538:LCD786539 LLZ786538:LLZ786539 LVV786538:LVV786539 MFR786538:MFR786539 MPN786538:MPN786539 MZJ786538:MZJ786539 NJF786538:NJF786539 NTB786538:NTB786539 OCX786538:OCX786539 OMT786538:OMT786539 OWP786538:OWP786539 PGL786538:PGL786539 PQH786538:PQH786539 QAD786538:QAD786539 QJZ786538:QJZ786539 QTV786538:QTV786539 RDR786538:RDR786539 RNN786538:RNN786539 RXJ786538:RXJ786539 SHF786538:SHF786539 SRB786538:SRB786539 TAX786538:TAX786539 TKT786538:TKT786539 TUP786538:TUP786539 UEL786538:UEL786539 UOH786538:UOH786539 UYD786538:UYD786539 VHZ786538:VHZ786539 VRV786538:VRV786539 WBR786538:WBR786539 WLN786538:WLN786539 WVJ786538:WVJ786539 B852074:B852075 IX852074:IX852075 ST852074:ST852075 ACP852074:ACP852075 AML852074:AML852075 AWH852074:AWH852075 BGD852074:BGD852075 BPZ852074:BPZ852075 BZV852074:BZV852075 CJR852074:CJR852075 CTN852074:CTN852075 DDJ852074:DDJ852075 DNF852074:DNF852075 DXB852074:DXB852075 EGX852074:EGX852075 EQT852074:EQT852075 FAP852074:FAP852075 FKL852074:FKL852075 FUH852074:FUH852075 GED852074:GED852075 GNZ852074:GNZ852075 GXV852074:GXV852075 HHR852074:HHR852075 HRN852074:HRN852075 IBJ852074:IBJ852075 ILF852074:ILF852075 IVB852074:IVB852075 JEX852074:JEX852075 JOT852074:JOT852075 JYP852074:JYP852075 KIL852074:KIL852075 KSH852074:KSH852075 LCD852074:LCD852075 LLZ852074:LLZ852075 LVV852074:LVV852075 MFR852074:MFR852075 MPN852074:MPN852075 MZJ852074:MZJ852075 NJF852074:NJF852075 NTB852074:NTB852075 OCX852074:OCX852075 OMT852074:OMT852075 OWP852074:OWP852075 PGL852074:PGL852075 PQH852074:PQH852075 QAD852074:QAD852075 QJZ852074:QJZ852075 QTV852074:QTV852075 RDR852074:RDR852075 RNN852074:RNN852075 RXJ852074:RXJ852075 SHF852074:SHF852075 SRB852074:SRB852075 TAX852074:TAX852075 TKT852074:TKT852075 TUP852074:TUP852075 UEL852074:UEL852075 UOH852074:UOH852075 UYD852074:UYD852075 VHZ852074:VHZ852075 VRV852074:VRV852075 WBR852074:WBR852075 WLN852074:WLN852075 WVJ852074:WVJ852075 B917610:B917611 IX917610:IX917611 ST917610:ST917611 ACP917610:ACP917611 AML917610:AML917611 AWH917610:AWH917611 BGD917610:BGD917611 BPZ917610:BPZ917611 BZV917610:BZV917611 CJR917610:CJR917611 CTN917610:CTN917611 DDJ917610:DDJ917611 DNF917610:DNF917611 DXB917610:DXB917611 EGX917610:EGX917611 EQT917610:EQT917611 FAP917610:FAP917611 FKL917610:FKL917611 FUH917610:FUH917611 GED917610:GED917611 GNZ917610:GNZ917611 GXV917610:GXV917611 HHR917610:HHR917611 HRN917610:HRN917611 IBJ917610:IBJ917611 ILF917610:ILF917611 IVB917610:IVB917611 JEX917610:JEX917611 JOT917610:JOT917611 JYP917610:JYP917611 KIL917610:KIL917611 KSH917610:KSH917611 LCD917610:LCD917611 LLZ917610:LLZ917611 LVV917610:LVV917611 MFR917610:MFR917611 MPN917610:MPN917611 MZJ917610:MZJ917611 NJF917610:NJF917611 NTB917610:NTB917611 OCX917610:OCX917611 OMT917610:OMT917611 OWP917610:OWP917611 PGL917610:PGL917611 PQH917610:PQH917611 QAD917610:QAD917611 QJZ917610:QJZ917611 QTV917610:QTV917611 RDR917610:RDR917611 RNN917610:RNN917611 RXJ917610:RXJ917611 SHF917610:SHF917611 SRB917610:SRB917611 TAX917610:TAX917611 TKT917610:TKT917611 TUP917610:TUP917611 UEL917610:UEL917611 UOH917610:UOH917611 UYD917610:UYD917611 VHZ917610:VHZ917611 VRV917610:VRV917611 WBR917610:WBR917611 WLN917610:WLN917611 WVJ917610:WVJ917611 B983146:B983147 IX983146:IX983147 ST983146:ST983147 ACP983146:ACP983147 AML983146:AML983147 AWH983146:AWH983147 BGD983146:BGD983147 BPZ983146:BPZ983147 BZV983146:BZV983147 CJR983146:CJR983147 CTN983146:CTN983147 DDJ983146:DDJ983147 DNF983146:DNF983147 DXB983146:DXB983147 EGX983146:EGX983147 EQT983146:EQT983147 FAP983146:FAP983147 FKL983146:FKL983147 FUH983146:FUH983147 GED983146:GED983147 GNZ983146:GNZ983147 GXV983146:GXV983147 HHR983146:HHR983147 HRN983146:HRN983147 IBJ983146:IBJ983147 ILF983146:ILF983147 IVB983146:IVB983147 JEX983146:JEX983147 JOT983146:JOT983147 JYP983146:JYP983147 KIL983146:KIL983147 KSH983146:KSH983147 LCD983146:LCD983147 LLZ983146:LLZ983147 LVV983146:LVV983147 MFR983146:MFR983147 MPN983146:MPN983147 MZJ983146:MZJ983147 NJF983146:NJF983147 NTB983146:NTB983147 OCX983146:OCX983147 OMT983146:OMT983147 OWP983146:OWP983147 PGL983146:PGL983147 PQH983146:PQH983147 QAD983146:QAD983147 QJZ983146:QJZ983147 QTV983146:QTV983147 RDR983146:RDR983147 RNN983146:RNN983147 RXJ983146:RXJ983147 SHF983146:SHF983147 SRB983146:SRB983147 TAX983146:TAX983147 TKT983146:TKT983147 TUP983146:TUP983147 UEL983146:UEL983147 UOH983146:UOH983147 UYD983146:UYD983147 VHZ983146:VHZ983147 VRV983146:VRV983147 WBR983146:WBR983147 WLN983146:WLN983147 WVJ983146:WVJ983147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B65513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B131049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B196585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B262121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B327657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B393193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B458729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B524265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B589801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B655337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B720873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B786409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B851945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B917481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B983017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B65627:B65629 IX65627:IX65629 ST65627:ST65629 ACP65627:ACP65629 AML65627:AML65629 AWH65627:AWH65629 BGD65627:BGD65629 BPZ65627:BPZ65629 BZV65627:BZV65629 CJR65627:CJR65629 CTN65627:CTN65629 DDJ65627:DDJ65629 DNF65627:DNF65629 DXB65627:DXB65629 EGX65627:EGX65629 EQT65627:EQT65629 FAP65627:FAP65629 FKL65627:FKL65629 FUH65627:FUH65629 GED65627:GED65629 GNZ65627:GNZ65629 GXV65627:GXV65629 HHR65627:HHR65629 HRN65627:HRN65629 IBJ65627:IBJ65629 ILF65627:ILF65629 IVB65627:IVB65629 JEX65627:JEX65629 JOT65627:JOT65629 JYP65627:JYP65629 KIL65627:KIL65629 KSH65627:KSH65629 LCD65627:LCD65629 LLZ65627:LLZ65629 LVV65627:LVV65629 MFR65627:MFR65629 MPN65627:MPN65629 MZJ65627:MZJ65629 NJF65627:NJF65629 NTB65627:NTB65629 OCX65627:OCX65629 OMT65627:OMT65629 OWP65627:OWP65629 PGL65627:PGL65629 PQH65627:PQH65629 QAD65627:QAD65629 QJZ65627:QJZ65629 QTV65627:QTV65629 RDR65627:RDR65629 RNN65627:RNN65629 RXJ65627:RXJ65629 SHF65627:SHF65629 SRB65627:SRB65629 TAX65627:TAX65629 TKT65627:TKT65629 TUP65627:TUP65629 UEL65627:UEL65629 UOH65627:UOH65629 UYD65627:UYD65629 VHZ65627:VHZ65629 VRV65627:VRV65629 WBR65627:WBR65629 WLN65627:WLN65629 WVJ65627:WVJ65629 B131163:B131165 IX131163:IX131165 ST131163:ST131165 ACP131163:ACP131165 AML131163:AML131165 AWH131163:AWH131165 BGD131163:BGD131165 BPZ131163:BPZ131165 BZV131163:BZV131165 CJR131163:CJR131165 CTN131163:CTN131165 DDJ131163:DDJ131165 DNF131163:DNF131165 DXB131163:DXB131165 EGX131163:EGX131165 EQT131163:EQT131165 FAP131163:FAP131165 FKL131163:FKL131165 FUH131163:FUH131165 GED131163:GED131165 GNZ131163:GNZ131165 GXV131163:GXV131165 HHR131163:HHR131165 HRN131163:HRN131165 IBJ131163:IBJ131165 ILF131163:ILF131165 IVB131163:IVB131165 JEX131163:JEX131165 JOT131163:JOT131165 JYP131163:JYP131165 KIL131163:KIL131165 KSH131163:KSH131165 LCD131163:LCD131165 LLZ131163:LLZ131165 LVV131163:LVV131165 MFR131163:MFR131165 MPN131163:MPN131165 MZJ131163:MZJ131165 NJF131163:NJF131165 NTB131163:NTB131165 OCX131163:OCX131165 OMT131163:OMT131165 OWP131163:OWP131165 PGL131163:PGL131165 PQH131163:PQH131165 QAD131163:QAD131165 QJZ131163:QJZ131165 QTV131163:QTV131165 RDR131163:RDR131165 RNN131163:RNN131165 RXJ131163:RXJ131165 SHF131163:SHF131165 SRB131163:SRB131165 TAX131163:TAX131165 TKT131163:TKT131165 TUP131163:TUP131165 UEL131163:UEL131165 UOH131163:UOH131165 UYD131163:UYD131165 VHZ131163:VHZ131165 VRV131163:VRV131165 WBR131163:WBR131165 WLN131163:WLN131165 WVJ131163:WVJ131165 B196699:B196701 IX196699:IX196701 ST196699:ST196701 ACP196699:ACP196701 AML196699:AML196701 AWH196699:AWH196701 BGD196699:BGD196701 BPZ196699:BPZ196701 BZV196699:BZV196701 CJR196699:CJR196701 CTN196699:CTN196701 DDJ196699:DDJ196701 DNF196699:DNF196701 DXB196699:DXB196701 EGX196699:EGX196701 EQT196699:EQT196701 FAP196699:FAP196701 FKL196699:FKL196701 FUH196699:FUH196701 GED196699:GED196701 GNZ196699:GNZ196701 GXV196699:GXV196701 HHR196699:HHR196701 HRN196699:HRN196701 IBJ196699:IBJ196701 ILF196699:ILF196701 IVB196699:IVB196701 JEX196699:JEX196701 JOT196699:JOT196701 JYP196699:JYP196701 KIL196699:KIL196701 KSH196699:KSH196701 LCD196699:LCD196701 LLZ196699:LLZ196701 LVV196699:LVV196701 MFR196699:MFR196701 MPN196699:MPN196701 MZJ196699:MZJ196701 NJF196699:NJF196701 NTB196699:NTB196701 OCX196699:OCX196701 OMT196699:OMT196701 OWP196699:OWP196701 PGL196699:PGL196701 PQH196699:PQH196701 QAD196699:QAD196701 QJZ196699:QJZ196701 QTV196699:QTV196701 RDR196699:RDR196701 RNN196699:RNN196701 RXJ196699:RXJ196701 SHF196699:SHF196701 SRB196699:SRB196701 TAX196699:TAX196701 TKT196699:TKT196701 TUP196699:TUP196701 UEL196699:UEL196701 UOH196699:UOH196701 UYD196699:UYD196701 VHZ196699:VHZ196701 VRV196699:VRV196701 WBR196699:WBR196701 WLN196699:WLN196701 WVJ196699:WVJ196701 B262235:B262237 IX262235:IX262237 ST262235:ST262237 ACP262235:ACP262237 AML262235:AML262237 AWH262235:AWH262237 BGD262235:BGD262237 BPZ262235:BPZ262237 BZV262235:BZV262237 CJR262235:CJR262237 CTN262235:CTN262237 DDJ262235:DDJ262237 DNF262235:DNF262237 DXB262235:DXB262237 EGX262235:EGX262237 EQT262235:EQT262237 FAP262235:FAP262237 FKL262235:FKL262237 FUH262235:FUH262237 GED262235:GED262237 GNZ262235:GNZ262237 GXV262235:GXV262237 HHR262235:HHR262237 HRN262235:HRN262237 IBJ262235:IBJ262237 ILF262235:ILF262237 IVB262235:IVB262237 JEX262235:JEX262237 JOT262235:JOT262237 JYP262235:JYP262237 KIL262235:KIL262237 KSH262235:KSH262237 LCD262235:LCD262237 LLZ262235:LLZ262237 LVV262235:LVV262237 MFR262235:MFR262237 MPN262235:MPN262237 MZJ262235:MZJ262237 NJF262235:NJF262237 NTB262235:NTB262237 OCX262235:OCX262237 OMT262235:OMT262237 OWP262235:OWP262237 PGL262235:PGL262237 PQH262235:PQH262237 QAD262235:QAD262237 QJZ262235:QJZ262237 QTV262235:QTV262237 RDR262235:RDR262237 RNN262235:RNN262237 RXJ262235:RXJ262237 SHF262235:SHF262237 SRB262235:SRB262237 TAX262235:TAX262237 TKT262235:TKT262237 TUP262235:TUP262237 UEL262235:UEL262237 UOH262235:UOH262237 UYD262235:UYD262237 VHZ262235:VHZ262237 VRV262235:VRV262237 WBR262235:WBR262237 WLN262235:WLN262237 WVJ262235:WVJ262237 B327771:B327773 IX327771:IX327773 ST327771:ST327773 ACP327771:ACP327773 AML327771:AML327773 AWH327771:AWH327773 BGD327771:BGD327773 BPZ327771:BPZ327773 BZV327771:BZV327773 CJR327771:CJR327773 CTN327771:CTN327773 DDJ327771:DDJ327773 DNF327771:DNF327773 DXB327771:DXB327773 EGX327771:EGX327773 EQT327771:EQT327773 FAP327771:FAP327773 FKL327771:FKL327773 FUH327771:FUH327773 GED327771:GED327773 GNZ327771:GNZ327773 GXV327771:GXV327773 HHR327771:HHR327773 HRN327771:HRN327773 IBJ327771:IBJ327773 ILF327771:ILF327773 IVB327771:IVB327773 JEX327771:JEX327773 JOT327771:JOT327773 JYP327771:JYP327773 KIL327771:KIL327773 KSH327771:KSH327773 LCD327771:LCD327773 LLZ327771:LLZ327773 LVV327771:LVV327773 MFR327771:MFR327773 MPN327771:MPN327773 MZJ327771:MZJ327773 NJF327771:NJF327773 NTB327771:NTB327773 OCX327771:OCX327773 OMT327771:OMT327773 OWP327771:OWP327773 PGL327771:PGL327773 PQH327771:PQH327773 QAD327771:QAD327773 QJZ327771:QJZ327773 QTV327771:QTV327773 RDR327771:RDR327773 RNN327771:RNN327773 RXJ327771:RXJ327773 SHF327771:SHF327773 SRB327771:SRB327773 TAX327771:TAX327773 TKT327771:TKT327773 TUP327771:TUP327773 UEL327771:UEL327773 UOH327771:UOH327773 UYD327771:UYD327773 VHZ327771:VHZ327773 VRV327771:VRV327773 WBR327771:WBR327773 WLN327771:WLN327773 WVJ327771:WVJ327773 B393307:B393309 IX393307:IX393309 ST393307:ST393309 ACP393307:ACP393309 AML393307:AML393309 AWH393307:AWH393309 BGD393307:BGD393309 BPZ393307:BPZ393309 BZV393307:BZV393309 CJR393307:CJR393309 CTN393307:CTN393309 DDJ393307:DDJ393309 DNF393307:DNF393309 DXB393307:DXB393309 EGX393307:EGX393309 EQT393307:EQT393309 FAP393307:FAP393309 FKL393307:FKL393309 FUH393307:FUH393309 GED393307:GED393309 GNZ393307:GNZ393309 GXV393307:GXV393309 HHR393307:HHR393309 HRN393307:HRN393309 IBJ393307:IBJ393309 ILF393307:ILF393309 IVB393307:IVB393309 JEX393307:JEX393309 JOT393307:JOT393309 JYP393307:JYP393309 KIL393307:KIL393309 KSH393307:KSH393309 LCD393307:LCD393309 LLZ393307:LLZ393309 LVV393307:LVV393309 MFR393307:MFR393309 MPN393307:MPN393309 MZJ393307:MZJ393309 NJF393307:NJF393309 NTB393307:NTB393309 OCX393307:OCX393309 OMT393307:OMT393309 OWP393307:OWP393309 PGL393307:PGL393309 PQH393307:PQH393309 QAD393307:QAD393309 QJZ393307:QJZ393309 QTV393307:QTV393309 RDR393307:RDR393309 RNN393307:RNN393309 RXJ393307:RXJ393309 SHF393307:SHF393309 SRB393307:SRB393309 TAX393307:TAX393309 TKT393307:TKT393309 TUP393307:TUP393309 UEL393307:UEL393309 UOH393307:UOH393309 UYD393307:UYD393309 VHZ393307:VHZ393309 VRV393307:VRV393309 WBR393307:WBR393309 WLN393307:WLN393309 WVJ393307:WVJ393309 B458843:B458845 IX458843:IX458845 ST458843:ST458845 ACP458843:ACP458845 AML458843:AML458845 AWH458843:AWH458845 BGD458843:BGD458845 BPZ458843:BPZ458845 BZV458843:BZV458845 CJR458843:CJR458845 CTN458843:CTN458845 DDJ458843:DDJ458845 DNF458843:DNF458845 DXB458843:DXB458845 EGX458843:EGX458845 EQT458843:EQT458845 FAP458843:FAP458845 FKL458843:FKL458845 FUH458843:FUH458845 GED458843:GED458845 GNZ458843:GNZ458845 GXV458843:GXV458845 HHR458843:HHR458845 HRN458843:HRN458845 IBJ458843:IBJ458845 ILF458843:ILF458845 IVB458843:IVB458845 JEX458843:JEX458845 JOT458843:JOT458845 JYP458843:JYP458845 KIL458843:KIL458845 KSH458843:KSH458845 LCD458843:LCD458845 LLZ458843:LLZ458845 LVV458843:LVV458845 MFR458843:MFR458845 MPN458843:MPN458845 MZJ458843:MZJ458845 NJF458843:NJF458845 NTB458843:NTB458845 OCX458843:OCX458845 OMT458843:OMT458845 OWP458843:OWP458845 PGL458843:PGL458845 PQH458843:PQH458845 QAD458843:QAD458845 QJZ458843:QJZ458845 QTV458843:QTV458845 RDR458843:RDR458845 RNN458843:RNN458845 RXJ458843:RXJ458845 SHF458843:SHF458845 SRB458843:SRB458845 TAX458843:TAX458845 TKT458843:TKT458845 TUP458843:TUP458845 UEL458843:UEL458845 UOH458843:UOH458845 UYD458843:UYD458845 VHZ458843:VHZ458845 VRV458843:VRV458845 WBR458843:WBR458845 WLN458843:WLN458845 WVJ458843:WVJ458845 B524379:B524381 IX524379:IX524381 ST524379:ST524381 ACP524379:ACP524381 AML524379:AML524381 AWH524379:AWH524381 BGD524379:BGD524381 BPZ524379:BPZ524381 BZV524379:BZV524381 CJR524379:CJR524381 CTN524379:CTN524381 DDJ524379:DDJ524381 DNF524379:DNF524381 DXB524379:DXB524381 EGX524379:EGX524381 EQT524379:EQT524381 FAP524379:FAP524381 FKL524379:FKL524381 FUH524379:FUH524381 GED524379:GED524381 GNZ524379:GNZ524381 GXV524379:GXV524381 HHR524379:HHR524381 HRN524379:HRN524381 IBJ524379:IBJ524381 ILF524379:ILF524381 IVB524379:IVB524381 JEX524379:JEX524381 JOT524379:JOT524381 JYP524379:JYP524381 KIL524379:KIL524381 KSH524379:KSH524381 LCD524379:LCD524381 LLZ524379:LLZ524381 LVV524379:LVV524381 MFR524379:MFR524381 MPN524379:MPN524381 MZJ524379:MZJ524381 NJF524379:NJF524381 NTB524379:NTB524381 OCX524379:OCX524381 OMT524379:OMT524381 OWP524379:OWP524381 PGL524379:PGL524381 PQH524379:PQH524381 QAD524379:QAD524381 QJZ524379:QJZ524381 QTV524379:QTV524381 RDR524379:RDR524381 RNN524379:RNN524381 RXJ524379:RXJ524381 SHF524379:SHF524381 SRB524379:SRB524381 TAX524379:TAX524381 TKT524379:TKT524381 TUP524379:TUP524381 UEL524379:UEL524381 UOH524379:UOH524381 UYD524379:UYD524381 VHZ524379:VHZ524381 VRV524379:VRV524381 WBR524379:WBR524381 WLN524379:WLN524381 WVJ524379:WVJ524381 B589915:B589917 IX589915:IX589917 ST589915:ST589917 ACP589915:ACP589917 AML589915:AML589917 AWH589915:AWH589917 BGD589915:BGD589917 BPZ589915:BPZ589917 BZV589915:BZV589917 CJR589915:CJR589917 CTN589915:CTN589917 DDJ589915:DDJ589917 DNF589915:DNF589917 DXB589915:DXB589917 EGX589915:EGX589917 EQT589915:EQT589917 FAP589915:FAP589917 FKL589915:FKL589917 FUH589915:FUH589917 GED589915:GED589917 GNZ589915:GNZ589917 GXV589915:GXV589917 HHR589915:HHR589917 HRN589915:HRN589917 IBJ589915:IBJ589917 ILF589915:ILF589917 IVB589915:IVB589917 JEX589915:JEX589917 JOT589915:JOT589917 JYP589915:JYP589917 KIL589915:KIL589917 KSH589915:KSH589917 LCD589915:LCD589917 LLZ589915:LLZ589917 LVV589915:LVV589917 MFR589915:MFR589917 MPN589915:MPN589917 MZJ589915:MZJ589917 NJF589915:NJF589917 NTB589915:NTB589917 OCX589915:OCX589917 OMT589915:OMT589917 OWP589915:OWP589917 PGL589915:PGL589917 PQH589915:PQH589917 QAD589915:QAD589917 QJZ589915:QJZ589917 QTV589915:QTV589917 RDR589915:RDR589917 RNN589915:RNN589917 RXJ589915:RXJ589917 SHF589915:SHF589917 SRB589915:SRB589917 TAX589915:TAX589917 TKT589915:TKT589917 TUP589915:TUP589917 UEL589915:UEL589917 UOH589915:UOH589917 UYD589915:UYD589917 VHZ589915:VHZ589917 VRV589915:VRV589917 WBR589915:WBR589917 WLN589915:WLN589917 WVJ589915:WVJ589917 B655451:B655453 IX655451:IX655453 ST655451:ST655453 ACP655451:ACP655453 AML655451:AML655453 AWH655451:AWH655453 BGD655451:BGD655453 BPZ655451:BPZ655453 BZV655451:BZV655453 CJR655451:CJR655453 CTN655451:CTN655453 DDJ655451:DDJ655453 DNF655451:DNF655453 DXB655451:DXB655453 EGX655451:EGX655453 EQT655451:EQT655453 FAP655451:FAP655453 FKL655451:FKL655453 FUH655451:FUH655453 GED655451:GED655453 GNZ655451:GNZ655453 GXV655451:GXV655453 HHR655451:HHR655453 HRN655451:HRN655453 IBJ655451:IBJ655453 ILF655451:ILF655453 IVB655451:IVB655453 JEX655451:JEX655453 JOT655451:JOT655453 JYP655451:JYP655453 KIL655451:KIL655453 KSH655451:KSH655453 LCD655451:LCD655453 LLZ655451:LLZ655453 LVV655451:LVV655453 MFR655451:MFR655453 MPN655451:MPN655453 MZJ655451:MZJ655453 NJF655451:NJF655453 NTB655451:NTB655453 OCX655451:OCX655453 OMT655451:OMT655453 OWP655451:OWP655453 PGL655451:PGL655453 PQH655451:PQH655453 QAD655451:QAD655453 QJZ655451:QJZ655453 QTV655451:QTV655453 RDR655451:RDR655453 RNN655451:RNN655453 RXJ655451:RXJ655453 SHF655451:SHF655453 SRB655451:SRB655453 TAX655451:TAX655453 TKT655451:TKT655453 TUP655451:TUP655453 UEL655451:UEL655453 UOH655451:UOH655453 UYD655451:UYD655453 VHZ655451:VHZ655453 VRV655451:VRV655453 WBR655451:WBR655453 WLN655451:WLN655453 WVJ655451:WVJ655453 B720987:B720989 IX720987:IX720989 ST720987:ST720989 ACP720987:ACP720989 AML720987:AML720989 AWH720987:AWH720989 BGD720987:BGD720989 BPZ720987:BPZ720989 BZV720987:BZV720989 CJR720987:CJR720989 CTN720987:CTN720989 DDJ720987:DDJ720989 DNF720987:DNF720989 DXB720987:DXB720989 EGX720987:EGX720989 EQT720987:EQT720989 FAP720987:FAP720989 FKL720987:FKL720989 FUH720987:FUH720989 GED720987:GED720989 GNZ720987:GNZ720989 GXV720987:GXV720989 HHR720987:HHR720989 HRN720987:HRN720989 IBJ720987:IBJ720989 ILF720987:ILF720989 IVB720987:IVB720989 JEX720987:JEX720989 JOT720987:JOT720989 JYP720987:JYP720989 KIL720987:KIL720989 KSH720987:KSH720989 LCD720987:LCD720989 LLZ720987:LLZ720989 LVV720987:LVV720989 MFR720987:MFR720989 MPN720987:MPN720989 MZJ720987:MZJ720989 NJF720987:NJF720989 NTB720987:NTB720989 OCX720987:OCX720989 OMT720987:OMT720989 OWP720987:OWP720989 PGL720987:PGL720989 PQH720987:PQH720989 QAD720987:QAD720989 QJZ720987:QJZ720989 QTV720987:QTV720989 RDR720987:RDR720989 RNN720987:RNN720989 RXJ720987:RXJ720989 SHF720987:SHF720989 SRB720987:SRB720989 TAX720987:TAX720989 TKT720987:TKT720989 TUP720987:TUP720989 UEL720987:UEL720989 UOH720987:UOH720989 UYD720987:UYD720989 VHZ720987:VHZ720989 VRV720987:VRV720989 WBR720987:WBR720989 WLN720987:WLN720989 WVJ720987:WVJ720989 B786523:B786525 IX786523:IX786525 ST786523:ST786525 ACP786523:ACP786525 AML786523:AML786525 AWH786523:AWH786525 BGD786523:BGD786525 BPZ786523:BPZ786525 BZV786523:BZV786525 CJR786523:CJR786525 CTN786523:CTN786525 DDJ786523:DDJ786525 DNF786523:DNF786525 DXB786523:DXB786525 EGX786523:EGX786525 EQT786523:EQT786525 FAP786523:FAP786525 FKL786523:FKL786525 FUH786523:FUH786525 GED786523:GED786525 GNZ786523:GNZ786525 GXV786523:GXV786525 HHR786523:HHR786525 HRN786523:HRN786525 IBJ786523:IBJ786525 ILF786523:ILF786525 IVB786523:IVB786525 JEX786523:JEX786525 JOT786523:JOT786525 JYP786523:JYP786525 KIL786523:KIL786525 KSH786523:KSH786525 LCD786523:LCD786525 LLZ786523:LLZ786525 LVV786523:LVV786525 MFR786523:MFR786525 MPN786523:MPN786525 MZJ786523:MZJ786525 NJF786523:NJF786525 NTB786523:NTB786525 OCX786523:OCX786525 OMT786523:OMT786525 OWP786523:OWP786525 PGL786523:PGL786525 PQH786523:PQH786525 QAD786523:QAD786525 QJZ786523:QJZ786525 QTV786523:QTV786525 RDR786523:RDR786525 RNN786523:RNN786525 RXJ786523:RXJ786525 SHF786523:SHF786525 SRB786523:SRB786525 TAX786523:TAX786525 TKT786523:TKT786525 TUP786523:TUP786525 UEL786523:UEL786525 UOH786523:UOH786525 UYD786523:UYD786525 VHZ786523:VHZ786525 VRV786523:VRV786525 WBR786523:WBR786525 WLN786523:WLN786525 WVJ786523:WVJ786525 B852059:B852061 IX852059:IX852061 ST852059:ST852061 ACP852059:ACP852061 AML852059:AML852061 AWH852059:AWH852061 BGD852059:BGD852061 BPZ852059:BPZ852061 BZV852059:BZV852061 CJR852059:CJR852061 CTN852059:CTN852061 DDJ852059:DDJ852061 DNF852059:DNF852061 DXB852059:DXB852061 EGX852059:EGX852061 EQT852059:EQT852061 FAP852059:FAP852061 FKL852059:FKL852061 FUH852059:FUH852061 GED852059:GED852061 GNZ852059:GNZ852061 GXV852059:GXV852061 HHR852059:HHR852061 HRN852059:HRN852061 IBJ852059:IBJ852061 ILF852059:ILF852061 IVB852059:IVB852061 JEX852059:JEX852061 JOT852059:JOT852061 JYP852059:JYP852061 KIL852059:KIL852061 KSH852059:KSH852061 LCD852059:LCD852061 LLZ852059:LLZ852061 LVV852059:LVV852061 MFR852059:MFR852061 MPN852059:MPN852061 MZJ852059:MZJ852061 NJF852059:NJF852061 NTB852059:NTB852061 OCX852059:OCX852061 OMT852059:OMT852061 OWP852059:OWP852061 PGL852059:PGL852061 PQH852059:PQH852061 QAD852059:QAD852061 QJZ852059:QJZ852061 QTV852059:QTV852061 RDR852059:RDR852061 RNN852059:RNN852061 RXJ852059:RXJ852061 SHF852059:SHF852061 SRB852059:SRB852061 TAX852059:TAX852061 TKT852059:TKT852061 TUP852059:TUP852061 UEL852059:UEL852061 UOH852059:UOH852061 UYD852059:UYD852061 VHZ852059:VHZ852061 VRV852059:VRV852061 WBR852059:WBR852061 WLN852059:WLN852061 WVJ852059:WVJ852061 B917595:B917597 IX917595:IX917597 ST917595:ST917597 ACP917595:ACP917597 AML917595:AML917597 AWH917595:AWH917597 BGD917595:BGD917597 BPZ917595:BPZ917597 BZV917595:BZV917597 CJR917595:CJR917597 CTN917595:CTN917597 DDJ917595:DDJ917597 DNF917595:DNF917597 DXB917595:DXB917597 EGX917595:EGX917597 EQT917595:EQT917597 FAP917595:FAP917597 FKL917595:FKL917597 FUH917595:FUH917597 GED917595:GED917597 GNZ917595:GNZ917597 GXV917595:GXV917597 HHR917595:HHR917597 HRN917595:HRN917597 IBJ917595:IBJ917597 ILF917595:ILF917597 IVB917595:IVB917597 JEX917595:JEX917597 JOT917595:JOT917597 JYP917595:JYP917597 KIL917595:KIL917597 KSH917595:KSH917597 LCD917595:LCD917597 LLZ917595:LLZ917597 LVV917595:LVV917597 MFR917595:MFR917597 MPN917595:MPN917597 MZJ917595:MZJ917597 NJF917595:NJF917597 NTB917595:NTB917597 OCX917595:OCX917597 OMT917595:OMT917597 OWP917595:OWP917597 PGL917595:PGL917597 PQH917595:PQH917597 QAD917595:QAD917597 QJZ917595:QJZ917597 QTV917595:QTV917597 RDR917595:RDR917597 RNN917595:RNN917597 RXJ917595:RXJ917597 SHF917595:SHF917597 SRB917595:SRB917597 TAX917595:TAX917597 TKT917595:TKT917597 TUP917595:TUP917597 UEL917595:UEL917597 UOH917595:UOH917597 UYD917595:UYD917597 VHZ917595:VHZ917597 VRV917595:VRV917597 WBR917595:WBR917597 WLN917595:WLN917597 WVJ917595:WVJ917597 B983131:B983133 IX983131:IX983133 ST983131:ST983133 ACP983131:ACP983133 AML983131:AML983133 AWH983131:AWH983133 BGD983131:BGD983133 BPZ983131:BPZ983133 BZV983131:BZV983133 CJR983131:CJR983133 CTN983131:CTN983133 DDJ983131:DDJ983133 DNF983131:DNF983133 DXB983131:DXB983133 EGX983131:EGX983133 EQT983131:EQT983133 FAP983131:FAP983133 FKL983131:FKL983133 FUH983131:FUH983133 GED983131:GED983133 GNZ983131:GNZ983133 GXV983131:GXV983133 HHR983131:HHR983133 HRN983131:HRN983133 IBJ983131:IBJ983133 ILF983131:ILF983133 IVB983131:IVB983133 JEX983131:JEX983133 JOT983131:JOT983133 JYP983131:JYP983133 KIL983131:KIL983133 KSH983131:KSH983133 LCD983131:LCD983133 LLZ983131:LLZ983133 LVV983131:LVV983133 MFR983131:MFR983133 MPN983131:MPN983133 MZJ983131:MZJ983133 NJF983131:NJF983133 NTB983131:NTB983133 OCX983131:OCX983133 OMT983131:OMT983133 OWP983131:OWP983133 PGL983131:PGL983133 PQH983131:PQH983133 QAD983131:QAD983133 QJZ983131:QJZ983133 QTV983131:QTV983133 RDR983131:RDR983133 RNN983131:RNN983133 RXJ983131:RXJ983133 SHF983131:SHF983133 SRB983131:SRB983133 TAX983131:TAX983133 TKT983131:TKT983133 TUP983131:TUP983133 UEL983131:UEL983133 UOH983131:UOH983133 UYD983131:UYD983133 VHZ983131:VHZ983133 VRV983131:VRV983133 WBR983131:WBR983133 WLN983131:WLN983133 WVJ983131:WVJ983133 B110:B112 IX110:IX112 ST110:ST112 ACP110:ACP112 AML110:AML112 AWH110:AWH112 BGD110:BGD112 BPZ110:BPZ112 BZV110:BZV112 CJR110:CJR112 CTN110:CTN112 DDJ110:DDJ112 DNF110:DNF112 DXB110:DXB112 EGX110:EGX112 EQT110:EQT112 FAP110:FAP112 FKL110:FKL112 FUH110:FUH112 GED110:GED112 GNZ110:GNZ112 GXV110:GXV112 HHR110:HHR112 HRN110:HRN112 IBJ110:IBJ112 ILF110:ILF112 IVB110:IVB112 JEX110:JEX112 JOT110:JOT112 JYP110:JYP112 KIL110:KIL112 KSH110:KSH112 LCD110:LCD112 LLZ110:LLZ112 LVV110:LVV112 MFR110:MFR112 MPN110:MPN112 MZJ110:MZJ112 NJF110:NJF112 NTB110:NTB112 OCX110:OCX112 OMT110:OMT112 OWP110:OWP112 PGL110:PGL112 PQH110:PQH112 QAD110:QAD112 QJZ110:QJZ112 QTV110:QTV112 RDR110:RDR112 RNN110:RNN112 RXJ110:RXJ112 SHF110:SHF112 SRB110:SRB112 TAX110:TAX112 TKT110:TKT112 TUP110:TUP112 UEL110:UEL112 UOH110:UOH112 UYD110:UYD112 VHZ110:VHZ112 VRV110:VRV112 WBR110:WBR112 WLN110:WLN112 WVJ110:WVJ112 B65647:B65648 IX65647:IX65648 ST65647:ST65648 ACP65647:ACP65648 AML65647:AML65648 AWH65647:AWH65648 BGD65647:BGD65648 BPZ65647:BPZ65648 BZV65647:BZV65648 CJR65647:CJR65648 CTN65647:CTN65648 DDJ65647:DDJ65648 DNF65647:DNF65648 DXB65647:DXB65648 EGX65647:EGX65648 EQT65647:EQT65648 FAP65647:FAP65648 FKL65647:FKL65648 FUH65647:FUH65648 GED65647:GED65648 GNZ65647:GNZ65648 GXV65647:GXV65648 HHR65647:HHR65648 HRN65647:HRN65648 IBJ65647:IBJ65648 ILF65647:ILF65648 IVB65647:IVB65648 JEX65647:JEX65648 JOT65647:JOT65648 JYP65647:JYP65648 KIL65647:KIL65648 KSH65647:KSH65648 LCD65647:LCD65648 LLZ65647:LLZ65648 LVV65647:LVV65648 MFR65647:MFR65648 MPN65647:MPN65648 MZJ65647:MZJ65648 NJF65647:NJF65648 NTB65647:NTB65648 OCX65647:OCX65648 OMT65647:OMT65648 OWP65647:OWP65648 PGL65647:PGL65648 PQH65647:PQH65648 QAD65647:QAD65648 QJZ65647:QJZ65648 QTV65647:QTV65648 RDR65647:RDR65648 RNN65647:RNN65648 RXJ65647:RXJ65648 SHF65647:SHF65648 SRB65647:SRB65648 TAX65647:TAX65648 TKT65647:TKT65648 TUP65647:TUP65648 UEL65647:UEL65648 UOH65647:UOH65648 UYD65647:UYD65648 VHZ65647:VHZ65648 VRV65647:VRV65648 WBR65647:WBR65648 WLN65647:WLN65648 WVJ65647:WVJ65648 B131183:B131184 IX131183:IX131184 ST131183:ST131184 ACP131183:ACP131184 AML131183:AML131184 AWH131183:AWH131184 BGD131183:BGD131184 BPZ131183:BPZ131184 BZV131183:BZV131184 CJR131183:CJR131184 CTN131183:CTN131184 DDJ131183:DDJ131184 DNF131183:DNF131184 DXB131183:DXB131184 EGX131183:EGX131184 EQT131183:EQT131184 FAP131183:FAP131184 FKL131183:FKL131184 FUH131183:FUH131184 GED131183:GED131184 GNZ131183:GNZ131184 GXV131183:GXV131184 HHR131183:HHR131184 HRN131183:HRN131184 IBJ131183:IBJ131184 ILF131183:ILF131184 IVB131183:IVB131184 JEX131183:JEX131184 JOT131183:JOT131184 JYP131183:JYP131184 KIL131183:KIL131184 KSH131183:KSH131184 LCD131183:LCD131184 LLZ131183:LLZ131184 LVV131183:LVV131184 MFR131183:MFR131184 MPN131183:MPN131184 MZJ131183:MZJ131184 NJF131183:NJF131184 NTB131183:NTB131184 OCX131183:OCX131184 OMT131183:OMT131184 OWP131183:OWP131184 PGL131183:PGL131184 PQH131183:PQH131184 QAD131183:QAD131184 QJZ131183:QJZ131184 QTV131183:QTV131184 RDR131183:RDR131184 RNN131183:RNN131184 RXJ131183:RXJ131184 SHF131183:SHF131184 SRB131183:SRB131184 TAX131183:TAX131184 TKT131183:TKT131184 TUP131183:TUP131184 UEL131183:UEL131184 UOH131183:UOH131184 UYD131183:UYD131184 VHZ131183:VHZ131184 VRV131183:VRV131184 WBR131183:WBR131184 WLN131183:WLN131184 WVJ131183:WVJ131184 B196719:B196720 IX196719:IX196720 ST196719:ST196720 ACP196719:ACP196720 AML196719:AML196720 AWH196719:AWH196720 BGD196719:BGD196720 BPZ196719:BPZ196720 BZV196719:BZV196720 CJR196719:CJR196720 CTN196719:CTN196720 DDJ196719:DDJ196720 DNF196719:DNF196720 DXB196719:DXB196720 EGX196719:EGX196720 EQT196719:EQT196720 FAP196719:FAP196720 FKL196719:FKL196720 FUH196719:FUH196720 GED196719:GED196720 GNZ196719:GNZ196720 GXV196719:GXV196720 HHR196719:HHR196720 HRN196719:HRN196720 IBJ196719:IBJ196720 ILF196719:ILF196720 IVB196719:IVB196720 JEX196719:JEX196720 JOT196719:JOT196720 JYP196719:JYP196720 KIL196719:KIL196720 KSH196719:KSH196720 LCD196719:LCD196720 LLZ196719:LLZ196720 LVV196719:LVV196720 MFR196719:MFR196720 MPN196719:MPN196720 MZJ196719:MZJ196720 NJF196719:NJF196720 NTB196719:NTB196720 OCX196719:OCX196720 OMT196719:OMT196720 OWP196719:OWP196720 PGL196719:PGL196720 PQH196719:PQH196720 QAD196719:QAD196720 QJZ196719:QJZ196720 QTV196719:QTV196720 RDR196719:RDR196720 RNN196719:RNN196720 RXJ196719:RXJ196720 SHF196719:SHF196720 SRB196719:SRB196720 TAX196719:TAX196720 TKT196719:TKT196720 TUP196719:TUP196720 UEL196719:UEL196720 UOH196719:UOH196720 UYD196719:UYD196720 VHZ196719:VHZ196720 VRV196719:VRV196720 WBR196719:WBR196720 WLN196719:WLN196720 WVJ196719:WVJ196720 B262255:B262256 IX262255:IX262256 ST262255:ST262256 ACP262255:ACP262256 AML262255:AML262256 AWH262255:AWH262256 BGD262255:BGD262256 BPZ262255:BPZ262256 BZV262255:BZV262256 CJR262255:CJR262256 CTN262255:CTN262256 DDJ262255:DDJ262256 DNF262255:DNF262256 DXB262255:DXB262256 EGX262255:EGX262256 EQT262255:EQT262256 FAP262255:FAP262256 FKL262255:FKL262256 FUH262255:FUH262256 GED262255:GED262256 GNZ262255:GNZ262256 GXV262255:GXV262256 HHR262255:HHR262256 HRN262255:HRN262256 IBJ262255:IBJ262256 ILF262255:ILF262256 IVB262255:IVB262256 JEX262255:JEX262256 JOT262255:JOT262256 JYP262255:JYP262256 KIL262255:KIL262256 KSH262255:KSH262256 LCD262255:LCD262256 LLZ262255:LLZ262256 LVV262255:LVV262256 MFR262255:MFR262256 MPN262255:MPN262256 MZJ262255:MZJ262256 NJF262255:NJF262256 NTB262255:NTB262256 OCX262255:OCX262256 OMT262255:OMT262256 OWP262255:OWP262256 PGL262255:PGL262256 PQH262255:PQH262256 QAD262255:QAD262256 QJZ262255:QJZ262256 QTV262255:QTV262256 RDR262255:RDR262256 RNN262255:RNN262256 RXJ262255:RXJ262256 SHF262255:SHF262256 SRB262255:SRB262256 TAX262255:TAX262256 TKT262255:TKT262256 TUP262255:TUP262256 UEL262255:UEL262256 UOH262255:UOH262256 UYD262255:UYD262256 VHZ262255:VHZ262256 VRV262255:VRV262256 WBR262255:WBR262256 WLN262255:WLN262256 WVJ262255:WVJ262256 B327791:B327792 IX327791:IX327792 ST327791:ST327792 ACP327791:ACP327792 AML327791:AML327792 AWH327791:AWH327792 BGD327791:BGD327792 BPZ327791:BPZ327792 BZV327791:BZV327792 CJR327791:CJR327792 CTN327791:CTN327792 DDJ327791:DDJ327792 DNF327791:DNF327792 DXB327791:DXB327792 EGX327791:EGX327792 EQT327791:EQT327792 FAP327791:FAP327792 FKL327791:FKL327792 FUH327791:FUH327792 GED327791:GED327792 GNZ327791:GNZ327792 GXV327791:GXV327792 HHR327791:HHR327792 HRN327791:HRN327792 IBJ327791:IBJ327792 ILF327791:ILF327792 IVB327791:IVB327792 JEX327791:JEX327792 JOT327791:JOT327792 JYP327791:JYP327792 KIL327791:KIL327792 KSH327791:KSH327792 LCD327791:LCD327792 LLZ327791:LLZ327792 LVV327791:LVV327792 MFR327791:MFR327792 MPN327791:MPN327792 MZJ327791:MZJ327792 NJF327791:NJF327792 NTB327791:NTB327792 OCX327791:OCX327792 OMT327791:OMT327792 OWP327791:OWP327792 PGL327791:PGL327792 PQH327791:PQH327792 QAD327791:QAD327792 QJZ327791:QJZ327792 QTV327791:QTV327792 RDR327791:RDR327792 RNN327791:RNN327792 RXJ327791:RXJ327792 SHF327791:SHF327792 SRB327791:SRB327792 TAX327791:TAX327792 TKT327791:TKT327792 TUP327791:TUP327792 UEL327791:UEL327792 UOH327791:UOH327792 UYD327791:UYD327792 VHZ327791:VHZ327792 VRV327791:VRV327792 WBR327791:WBR327792 WLN327791:WLN327792 WVJ327791:WVJ327792 B393327:B393328 IX393327:IX393328 ST393327:ST393328 ACP393327:ACP393328 AML393327:AML393328 AWH393327:AWH393328 BGD393327:BGD393328 BPZ393327:BPZ393328 BZV393327:BZV393328 CJR393327:CJR393328 CTN393327:CTN393328 DDJ393327:DDJ393328 DNF393327:DNF393328 DXB393327:DXB393328 EGX393327:EGX393328 EQT393327:EQT393328 FAP393327:FAP393328 FKL393327:FKL393328 FUH393327:FUH393328 GED393327:GED393328 GNZ393327:GNZ393328 GXV393327:GXV393328 HHR393327:HHR393328 HRN393327:HRN393328 IBJ393327:IBJ393328 ILF393327:ILF393328 IVB393327:IVB393328 JEX393327:JEX393328 JOT393327:JOT393328 JYP393327:JYP393328 KIL393327:KIL393328 KSH393327:KSH393328 LCD393327:LCD393328 LLZ393327:LLZ393328 LVV393327:LVV393328 MFR393327:MFR393328 MPN393327:MPN393328 MZJ393327:MZJ393328 NJF393327:NJF393328 NTB393327:NTB393328 OCX393327:OCX393328 OMT393327:OMT393328 OWP393327:OWP393328 PGL393327:PGL393328 PQH393327:PQH393328 QAD393327:QAD393328 QJZ393327:QJZ393328 QTV393327:QTV393328 RDR393327:RDR393328 RNN393327:RNN393328 RXJ393327:RXJ393328 SHF393327:SHF393328 SRB393327:SRB393328 TAX393327:TAX393328 TKT393327:TKT393328 TUP393327:TUP393328 UEL393327:UEL393328 UOH393327:UOH393328 UYD393327:UYD393328 VHZ393327:VHZ393328 VRV393327:VRV393328 WBR393327:WBR393328 WLN393327:WLN393328 WVJ393327:WVJ393328 B458863:B458864 IX458863:IX458864 ST458863:ST458864 ACP458863:ACP458864 AML458863:AML458864 AWH458863:AWH458864 BGD458863:BGD458864 BPZ458863:BPZ458864 BZV458863:BZV458864 CJR458863:CJR458864 CTN458863:CTN458864 DDJ458863:DDJ458864 DNF458863:DNF458864 DXB458863:DXB458864 EGX458863:EGX458864 EQT458863:EQT458864 FAP458863:FAP458864 FKL458863:FKL458864 FUH458863:FUH458864 GED458863:GED458864 GNZ458863:GNZ458864 GXV458863:GXV458864 HHR458863:HHR458864 HRN458863:HRN458864 IBJ458863:IBJ458864 ILF458863:ILF458864 IVB458863:IVB458864 JEX458863:JEX458864 JOT458863:JOT458864 JYP458863:JYP458864 KIL458863:KIL458864 KSH458863:KSH458864 LCD458863:LCD458864 LLZ458863:LLZ458864 LVV458863:LVV458864 MFR458863:MFR458864 MPN458863:MPN458864 MZJ458863:MZJ458864 NJF458863:NJF458864 NTB458863:NTB458864 OCX458863:OCX458864 OMT458863:OMT458864 OWP458863:OWP458864 PGL458863:PGL458864 PQH458863:PQH458864 QAD458863:QAD458864 QJZ458863:QJZ458864 QTV458863:QTV458864 RDR458863:RDR458864 RNN458863:RNN458864 RXJ458863:RXJ458864 SHF458863:SHF458864 SRB458863:SRB458864 TAX458863:TAX458864 TKT458863:TKT458864 TUP458863:TUP458864 UEL458863:UEL458864 UOH458863:UOH458864 UYD458863:UYD458864 VHZ458863:VHZ458864 VRV458863:VRV458864 WBR458863:WBR458864 WLN458863:WLN458864 WVJ458863:WVJ458864 B524399:B524400 IX524399:IX524400 ST524399:ST524400 ACP524399:ACP524400 AML524399:AML524400 AWH524399:AWH524400 BGD524399:BGD524400 BPZ524399:BPZ524400 BZV524399:BZV524400 CJR524399:CJR524400 CTN524399:CTN524400 DDJ524399:DDJ524400 DNF524399:DNF524400 DXB524399:DXB524400 EGX524399:EGX524400 EQT524399:EQT524400 FAP524399:FAP524400 FKL524399:FKL524400 FUH524399:FUH524400 GED524399:GED524400 GNZ524399:GNZ524400 GXV524399:GXV524400 HHR524399:HHR524400 HRN524399:HRN524400 IBJ524399:IBJ524400 ILF524399:ILF524400 IVB524399:IVB524400 JEX524399:JEX524400 JOT524399:JOT524400 JYP524399:JYP524400 KIL524399:KIL524400 KSH524399:KSH524400 LCD524399:LCD524400 LLZ524399:LLZ524400 LVV524399:LVV524400 MFR524399:MFR524400 MPN524399:MPN524400 MZJ524399:MZJ524400 NJF524399:NJF524400 NTB524399:NTB524400 OCX524399:OCX524400 OMT524399:OMT524400 OWP524399:OWP524400 PGL524399:PGL524400 PQH524399:PQH524400 QAD524399:QAD524400 QJZ524399:QJZ524400 QTV524399:QTV524400 RDR524399:RDR524400 RNN524399:RNN524400 RXJ524399:RXJ524400 SHF524399:SHF524400 SRB524399:SRB524400 TAX524399:TAX524400 TKT524399:TKT524400 TUP524399:TUP524400 UEL524399:UEL524400 UOH524399:UOH524400 UYD524399:UYD524400 VHZ524399:VHZ524400 VRV524399:VRV524400 WBR524399:WBR524400 WLN524399:WLN524400 WVJ524399:WVJ524400 B589935:B589936 IX589935:IX589936 ST589935:ST589936 ACP589935:ACP589936 AML589935:AML589936 AWH589935:AWH589936 BGD589935:BGD589936 BPZ589935:BPZ589936 BZV589935:BZV589936 CJR589935:CJR589936 CTN589935:CTN589936 DDJ589935:DDJ589936 DNF589935:DNF589936 DXB589935:DXB589936 EGX589935:EGX589936 EQT589935:EQT589936 FAP589935:FAP589936 FKL589935:FKL589936 FUH589935:FUH589936 GED589935:GED589936 GNZ589935:GNZ589936 GXV589935:GXV589936 HHR589935:HHR589936 HRN589935:HRN589936 IBJ589935:IBJ589936 ILF589935:ILF589936 IVB589935:IVB589936 JEX589935:JEX589936 JOT589935:JOT589936 JYP589935:JYP589936 KIL589935:KIL589936 KSH589935:KSH589936 LCD589935:LCD589936 LLZ589935:LLZ589936 LVV589935:LVV589936 MFR589935:MFR589936 MPN589935:MPN589936 MZJ589935:MZJ589936 NJF589935:NJF589936 NTB589935:NTB589936 OCX589935:OCX589936 OMT589935:OMT589936 OWP589935:OWP589936 PGL589935:PGL589936 PQH589935:PQH589936 QAD589935:QAD589936 QJZ589935:QJZ589936 QTV589935:QTV589936 RDR589935:RDR589936 RNN589935:RNN589936 RXJ589935:RXJ589936 SHF589935:SHF589936 SRB589935:SRB589936 TAX589935:TAX589936 TKT589935:TKT589936 TUP589935:TUP589936 UEL589935:UEL589936 UOH589935:UOH589936 UYD589935:UYD589936 VHZ589935:VHZ589936 VRV589935:VRV589936 WBR589935:WBR589936 WLN589935:WLN589936 WVJ589935:WVJ589936 B655471:B655472 IX655471:IX655472 ST655471:ST655472 ACP655471:ACP655472 AML655471:AML655472 AWH655471:AWH655472 BGD655471:BGD655472 BPZ655471:BPZ655472 BZV655471:BZV655472 CJR655471:CJR655472 CTN655471:CTN655472 DDJ655471:DDJ655472 DNF655471:DNF655472 DXB655471:DXB655472 EGX655471:EGX655472 EQT655471:EQT655472 FAP655471:FAP655472 FKL655471:FKL655472 FUH655471:FUH655472 GED655471:GED655472 GNZ655471:GNZ655472 GXV655471:GXV655472 HHR655471:HHR655472 HRN655471:HRN655472 IBJ655471:IBJ655472 ILF655471:ILF655472 IVB655471:IVB655472 JEX655471:JEX655472 JOT655471:JOT655472 JYP655471:JYP655472 KIL655471:KIL655472 KSH655471:KSH655472 LCD655471:LCD655472 LLZ655471:LLZ655472 LVV655471:LVV655472 MFR655471:MFR655472 MPN655471:MPN655472 MZJ655471:MZJ655472 NJF655471:NJF655472 NTB655471:NTB655472 OCX655471:OCX655472 OMT655471:OMT655472 OWP655471:OWP655472 PGL655471:PGL655472 PQH655471:PQH655472 QAD655471:QAD655472 QJZ655471:QJZ655472 QTV655471:QTV655472 RDR655471:RDR655472 RNN655471:RNN655472 RXJ655471:RXJ655472 SHF655471:SHF655472 SRB655471:SRB655472 TAX655471:TAX655472 TKT655471:TKT655472 TUP655471:TUP655472 UEL655471:UEL655472 UOH655471:UOH655472 UYD655471:UYD655472 VHZ655471:VHZ655472 VRV655471:VRV655472 WBR655471:WBR655472 WLN655471:WLN655472 WVJ655471:WVJ655472 B721007:B721008 IX721007:IX721008 ST721007:ST721008 ACP721007:ACP721008 AML721007:AML721008 AWH721007:AWH721008 BGD721007:BGD721008 BPZ721007:BPZ721008 BZV721007:BZV721008 CJR721007:CJR721008 CTN721007:CTN721008 DDJ721007:DDJ721008 DNF721007:DNF721008 DXB721007:DXB721008 EGX721007:EGX721008 EQT721007:EQT721008 FAP721007:FAP721008 FKL721007:FKL721008 FUH721007:FUH721008 GED721007:GED721008 GNZ721007:GNZ721008 GXV721007:GXV721008 HHR721007:HHR721008 HRN721007:HRN721008 IBJ721007:IBJ721008 ILF721007:ILF721008 IVB721007:IVB721008 JEX721007:JEX721008 JOT721007:JOT721008 JYP721007:JYP721008 KIL721007:KIL721008 KSH721007:KSH721008 LCD721007:LCD721008 LLZ721007:LLZ721008 LVV721007:LVV721008 MFR721007:MFR721008 MPN721007:MPN721008 MZJ721007:MZJ721008 NJF721007:NJF721008 NTB721007:NTB721008 OCX721007:OCX721008 OMT721007:OMT721008 OWP721007:OWP721008 PGL721007:PGL721008 PQH721007:PQH721008 QAD721007:QAD721008 QJZ721007:QJZ721008 QTV721007:QTV721008 RDR721007:RDR721008 RNN721007:RNN721008 RXJ721007:RXJ721008 SHF721007:SHF721008 SRB721007:SRB721008 TAX721007:TAX721008 TKT721007:TKT721008 TUP721007:TUP721008 UEL721007:UEL721008 UOH721007:UOH721008 UYD721007:UYD721008 VHZ721007:VHZ721008 VRV721007:VRV721008 WBR721007:WBR721008 WLN721007:WLN721008 WVJ721007:WVJ721008 B786543:B786544 IX786543:IX786544 ST786543:ST786544 ACP786543:ACP786544 AML786543:AML786544 AWH786543:AWH786544 BGD786543:BGD786544 BPZ786543:BPZ786544 BZV786543:BZV786544 CJR786543:CJR786544 CTN786543:CTN786544 DDJ786543:DDJ786544 DNF786543:DNF786544 DXB786543:DXB786544 EGX786543:EGX786544 EQT786543:EQT786544 FAP786543:FAP786544 FKL786543:FKL786544 FUH786543:FUH786544 GED786543:GED786544 GNZ786543:GNZ786544 GXV786543:GXV786544 HHR786543:HHR786544 HRN786543:HRN786544 IBJ786543:IBJ786544 ILF786543:ILF786544 IVB786543:IVB786544 JEX786543:JEX786544 JOT786543:JOT786544 JYP786543:JYP786544 KIL786543:KIL786544 KSH786543:KSH786544 LCD786543:LCD786544 LLZ786543:LLZ786544 LVV786543:LVV786544 MFR786543:MFR786544 MPN786543:MPN786544 MZJ786543:MZJ786544 NJF786543:NJF786544 NTB786543:NTB786544 OCX786543:OCX786544 OMT786543:OMT786544 OWP786543:OWP786544 PGL786543:PGL786544 PQH786543:PQH786544 QAD786543:QAD786544 QJZ786543:QJZ786544 QTV786543:QTV786544 RDR786543:RDR786544 RNN786543:RNN786544 RXJ786543:RXJ786544 SHF786543:SHF786544 SRB786543:SRB786544 TAX786543:TAX786544 TKT786543:TKT786544 TUP786543:TUP786544 UEL786543:UEL786544 UOH786543:UOH786544 UYD786543:UYD786544 VHZ786543:VHZ786544 VRV786543:VRV786544 WBR786543:WBR786544 WLN786543:WLN786544 WVJ786543:WVJ786544 B852079:B852080 IX852079:IX852080 ST852079:ST852080 ACP852079:ACP852080 AML852079:AML852080 AWH852079:AWH852080 BGD852079:BGD852080 BPZ852079:BPZ852080 BZV852079:BZV852080 CJR852079:CJR852080 CTN852079:CTN852080 DDJ852079:DDJ852080 DNF852079:DNF852080 DXB852079:DXB852080 EGX852079:EGX852080 EQT852079:EQT852080 FAP852079:FAP852080 FKL852079:FKL852080 FUH852079:FUH852080 GED852079:GED852080 GNZ852079:GNZ852080 GXV852079:GXV852080 HHR852079:HHR852080 HRN852079:HRN852080 IBJ852079:IBJ852080 ILF852079:ILF852080 IVB852079:IVB852080 JEX852079:JEX852080 JOT852079:JOT852080 JYP852079:JYP852080 KIL852079:KIL852080 KSH852079:KSH852080 LCD852079:LCD852080 LLZ852079:LLZ852080 LVV852079:LVV852080 MFR852079:MFR852080 MPN852079:MPN852080 MZJ852079:MZJ852080 NJF852079:NJF852080 NTB852079:NTB852080 OCX852079:OCX852080 OMT852079:OMT852080 OWP852079:OWP852080 PGL852079:PGL852080 PQH852079:PQH852080 QAD852079:QAD852080 QJZ852079:QJZ852080 QTV852079:QTV852080 RDR852079:RDR852080 RNN852079:RNN852080 RXJ852079:RXJ852080 SHF852079:SHF852080 SRB852079:SRB852080 TAX852079:TAX852080 TKT852079:TKT852080 TUP852079:TUP852080 UEL852079:UEL852080 UOH852079:UOH852080 UYD852079:UYD852080 VHZ852079:VHZ852080 VRV852079:VRV852080 WBR852079:WBR852080 WLN852079:WLN852080 WVJ852079:WVJ852080 B917615:B917616 IX917615:IX917616 ST917615:ST917616 ACP917615:ACP917616 AML917615:AML917616 AWH917615:AWH917616 BGD917615:BGD917616 BPZ917615:BPZ917616 BZV917615:BZV917616 CJR917615:CJR917616 CTN917615:CTN917616 DDJ917615:DDJ917616 DNF917615:DNF917616 DXB917615:DXB917616 EGX917615:EGX917616 EQT917615:EQT917616 FAP917615:FAP917616 FKL917615:FKL917616 FUH917615:FUH917616 GED917615:GED917616 GNZ917615:GNZ917616 GXV917615:GXV917616 HHR917615:HHR917616 HRN917615:HRN917616 IBJ917615:IBJ917616 ILF917615:ILF917616 IVB917615:IVB917616 JEX917615:JEX917616 JOT917615:JOT917616 JYP917615:JYP917616 KIL917615:KIL917616 KSH917615:KSH917616 LCD917615:LCD917616 LLZ917615:LLZ917616 LVV917615:LVV917616 MFR917615:MFR917616 MPN917615:MPN917616 MZJ917615:MZJ917616 NJF917615:NJF917616 NTB917615:NTB917616 OCX917615:OCX917616 OMT917615:OMT917616 OWP917615:OWP917616 PGL917615:PGL917616 PQH917615:PQH917616 QAD917615:QAD917616 QJZ917615:QJZ917616 QTV917615:QTV917616 RDR917615:RDR917616 RNN917615:RNN917616 RXJ917615:RXJ917616 SHF917615:SHF917616 SRB917615:SRB917616 TAX917615:TAX917616 TKT917615:TKT917616 TUP917615:TUP917616 UEL917615:UEL917616 UOH917615:UOH917616 UYD917615:UYD917616 VHZ917615:VHZ917616 VRV917615:VRV917616 WBR917615:WBR917616 WLN917615:WLN917616 WVJ917615:WVJ917616 B983151:B983152 IX983151:IX983152 ST983151:ST983152 ACP983151:ACP983152 AML983151:AML983152 AWH983151:AWH983152 BGD983151:BGD983152 BPZ983151:BPZ983152 BZV983151:BZV983152 CJR983151:CJR983152 CTN983151:CTN983152 DDJ983151:DDJ983152 DNF983151:DNF983152 DXB983151:DXB983152 EGX983151:EGX983152 EQT983151:EQT983152 FAP983151:FAP983152 FKL983151:FKL983152 FUH983151:FUH983152 GED983151:GED983152 GNZ983151:GNZ983152 GXV983151:GXV983152 HHR983151:HHR983152 HRN983151:HRN983152 IBJ983151:IBJ983152 ILF983151:ILF983152 IVB983151:IVB983152 JEX983151:JEX983152 JOT983151:JOT983152 JYP983151:JYP983152 KIL983151:KIL983152 KSH983151:KSH983152 LCD983151:LCD983152 LLZ983151:LLZ983152 LVV983151:LVV983152 MFR983151:MFR983152 MPN983151:MPN983152 MZJ983151:MZJ983152 NJF983151:NJF983152 NTB983151:NTB983152 OCX983151:OCX983152 OMT983151:OMT983152 OWP983151:OWP983152 PGL983151:PGL983152 PQH983151:PQH983152 QAD983151:QAD983152 QJZ983151:QJZ983152 QTV983151:QTV983152 RDR983151:RDR983152 RNN983151:RNN983152 RXJ983151:RXJ983152 SHF983151:SHF983152 SRB983151:SRB983152 TAX983151:TAX983152 TKT983151:TKT983152 TUP983151:TUP983152 UEL983151:UEL983152 UOH983151:UOH983152 UYD983151:UYD983152 VHZ983151:VHZ983152 VRV983151:VRV983152 WBR983151:WBR983152 WLN983151:WLN983152 WVJ983151:WVJ983152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B65566:B65568 IX65566:IX65568 ST65566:ST65568 ACP65566:ACP65568 AML65566:AML65568 AWH65566:AWH65568 BGD65566:BGD65568 BPZ65566:BPZ65568 BZV65566:BZV65568 CJR65566:CJR65568 CTN65566:CTN65568 DDJ65566:DDJ65568 DNF65566:DNF65568 DXB65566:DXB65568 EGX65566:EGX65568 EQT65566:EQT65568 FAP65566:FAP65568 FKL65566:FKL65568 FUH65566:FUH65568 GED65566:GED65568 GNZ65566:GNZ65568 GXV65566:GXV65568 HHR65566:HHR65568 HRN65566:HRN65568 IBJ65566:IBJ65568 ILF65566:ILF65568 IVB65566:IVB65568 JEX65566:JEX65568 JOT65566:JOT65568 JYP65566:JYP65568 KIL65566:KIL65568 KSH65566:KSH65568 LCD65566:LCD65568 LLZ65566:LLZ65568 LVV65566:LVV65568 MFR65566:MFR65568 MPN65566:MPN65568 MZJ65566:MZJ65568 NJF65566:NJF65568 NTB65566:NTB65568 OCX65566:OCX65568 OMT65566:OMT65568 OWP65566:OWP65568 PGL65566:PGL65568 PQH65566:PQH65568 QAD65566:QAD65568 QJZ65566:QJZ65568 QTV65566:QTV65568 RDR65566:RDR65568 RNN65566:RNN65568 RXJ65566:RXJ65568 SHF65566:SHF65568 SRB65566:SRB65568 TAX65566:TAX65568 TKT65566:TKT65568 TUP65566:TUP65568 UEL65566:UEL65568 UOH65566:UOH65568 UYD65566:UYD65568 VHZ65566:VHZ65568 VRV65566:VRV65568 WBR65566:WBR65568 WLN65566:WLN65568 WVJ65566:WVJ65568 B131102:B131104 IX131102:IX131104 ST131102:ST131104 ACP131102:ACP131104 AML131102:AML131104 AWH131102:AWH131104 BGD131102:BGD131104 BPZ131102:BPZ131104 BZV131102:BZV131104 CJR131102:CJR131104 CTN131102:CTN131104 DDJ131102:DDJ131104 DNF131102:DNF131104 DXB131102:DXB131104 EGX131102:EGX131104 EQT131102:EQT131104 FAP131102:FAP131104 FKL131102:FKL131104 FUH131102:FUH131104 GED131102:GED131104 GNZ131102:GNZ131104 GXV131102:GXV131104 HHR131102:HHR131104 HRN131102:HRN131104 IBJ131102:IBJ131104 ILF131102:ILF131104 IVB131102:IVB131104 JEX131102:JEX131104 JOT131102:JOT131104 JYP131102:JYP131104 KIL131102:KIL131104 KSH131102:KSH131104 LCD131102:LCD131104 LLZ131102:LLZ131104 LVV131102:LVV131104 MFR131102:MFR131104 MPN131102:MPN131104 MZJ131102:MZJ131104 NJF131102:NJF131104 NTB131102:NTB131104 OCX131102:OCX131104 OMT131102:OMT131104 OWP131102:OWP131104 PGL131102:PGL131104 PQH131102:PQH131104 QAD131102:QAD131104 QJZ131102:QJZ131104 QTV131102:QTV131104 RDR131102:RDR131104 RNN131102:RNN131104 RXJ131102:RXJ131104 SHF131102:SHF131104 SRB131102:SRB131104 TAX131102:TAX131104 TKT131102:TKT131104 TUP131102:TUP131104 UEL131102:UEL131104 UOH131102:UOH131104 UYD131102:UYD131104 VHZ131102:VHZ131104 VRV131102:VRV131104 WBR131102:WBR131104 WLN131102:WLN131104 WVJ131102:WVJ131104 B196638:B196640 IX196638:IX196640 ST196638:ST196640 ACP196638:ACP196640 AML196638:AML196640 AWH196638:AWH196640 BGD196638:BGD196640 BPZ196638:BPZ196640 BZV196638:BZV196640 CJR196638:CJR196640 CTN196638:CTN196640 DDJ196638:DDJ196640 DNF196638:DNF196640 DXB196638:DXB196640 EGX196638:EGX196640 EQT196638:EQT196640 FAP196638:FAP196640 FKL196638:FKL196640 FUH196638:FUH196640 GED196638:GED196640 GNZ196638:GNZ196640 GXV196638:GXV196640 HHR196638:HHR196640 HRN196638:HRN196640 IBJ196638:IBJ196640 ILF196638:ILF196640 IVB196638:IVB196640 JEX196638:JEX196640 JOT196638:JOT196640 JYP196638:JYP196640 KIL196638:KIL196640 KSH196638:KSH196640 LCD196638:LCD196640 LLZ196638:LLZ196640 LVV196638:LVV196640 MFR196638:MFR196640 MPN196638:MPN196640 MZJ196638:MZJ196640 NJF196638:NJF196640 NTB196638:NTB196640 OCX196638:OCX196640 OMT196638:OMT196640 OWP196638:OWP196640 PGL196638:PGL196640 PQH196638:PQH196640 QAD196638:QAD196640 QJZ196638:QJZ196640 QTV196638:QTV196640 RDR196638:RDR196640 RNN196638:RNN196640 RXJ196638:RXJ196640 SHF196638:SHF196640 SRB196638:SRB196640 TAX196638:TAX196640 TKT196638:TKT196640 TUP196638:TUP196640 UEL196638:UEL196640 UOH196638:UOH196640 UYD196638:UYD196640 VHZ196638:VHZ196640 VRV196638:VRV196640 WBR196638:WBR196640 WLN196638:WLN196640 WVJ196638:WVJ196640 B262174:B262176 IX262174:IX262176 ST262174:ST262176 ACP262174:ACP262176 AML262174:AML262176 AWH262174:AWH262176 BGD262174:BGD262176 BPZ262174:BPZ262176 BZV262174:BZV262176 CJR262174:CJR262176 CTN262174:CTN262176 DDJ262174:DDJ262176 DNF262174:DNF262176 DXB262174:DXB262176 EGX262174:EGX262176 EQT262174:EQT262176 FAP262174:FAP262176 FKL262174:FKL262176 FUH262174:FUH262176 GED262174:GED262176 GNZ262174:GNZ262176 GXV262174:GXV262176 HHR262174:HHR262176 HRN262174:HRN262176 IBJ262174:IBJ262176 ILF262174:ILF262176 IVB262174:IVB262176 JEX262174:JEX262176 JOT262174:JOT262176 JYP262174:JYP262176 KIL262174:KIL262176 KSH262174:KSH262176 LCD262174:LCD262176 LLZ262174:LLZ262176 LVV262174:LVV262176 MFR262174:MFR262176 MPN262174:MPN262176 MZJ262174:MZJ262176 NJF262174:NJF262176 NTB262174:NTB262176 OCX262174:OCX262176 OMT262174:OMT262176 OWP262174:OWP262176 PGL262174:PGL262176 PQH262174:PQH262176 QAD262174:QAD262176 QJZ262174:QJZ262176 QTV262174:QTV262176 RDR262174:RDR262176 RNN262174:RNN262176 RXJ262174:RXJ262176 SHF262174:SHF262176 SRB262174:SRB262176 TAX262174:TAX262176 TKT262174:TKT262176 TUP262174:TUP262176 UEL262174:UEL262176 UOH262174:UOH262176 UYD262174:UYD262176 VHZ262174:VHZ262176 VRV262174:VRV262176 WBR262174:WBR262176 WLN262174:WLN262176 WVJ262174:WVJ262176 B327710:B327712 IX327710:IX327712 ST327710:ST327712 ACP327710:ACP327712 AML327710:AML327712 AWH327710:AWH327712 BGD327710:BGD327712 BPZ327710:BPZ327712 BZV327710:BZV327712 CJR327710:CJR327712 CTN327710:CTN327712 DDJ327710:DDJ327712 DNF327710:DNF327712 DXB327710:DXB327712 EGX327710:EGX327712 EQT327710:EQT327712 FAP327710:FAP327712 FKL327710:FKL327712 FUH327710:FUH327712 GED327710:GED327712 GNZ327710:GNZ327712 GXV327710:GXV327712 HHR327710:HHR327712 HRN327710:HRN327712 IBJ327710:IBJ327712 ILF327710:ILF327712 IVB327710:IVB327712 JEX327710:JEX327712 JOT327710:JOT327712 JYP327710:JYP327712 KIL327710:KIL327712 KSH327710:KSH327712 LCD327710:LCD327712 LLZ327710:LLZ327712 LVV327710:LVV327712 MFR327710:MFR327712 MPN327710:MPN327712 MZJ327710:MZJ327712 NJF327710:NJF327712 NTB327710:NTB327712 OCX327710:OCX327712 OMT327710:OMT327712 OWP327710:OWP327712 PGL327710:PGL327712 PQH327710:PQH327712 QAD327710:QAD327712 QJZ327710:QJZ327712 QTV327710:QTV327712 RDR327710:RDR327712 RNN327710:RNN327712 RXJ327710:RXJ327712 SHF327710:SHF327712 SRB327710:SRB327712 TAX327710:TAX327712 TKT327710:TKT327712 TUP327710:TUP327712 UEL327710:UEL327712 UOH327710:UOH327712 UYD327710:UYD327712 VHZ327710:VHZ327712 VRV327710:VRV327712 WBR327710:WBR327712 WLN327710:WLN327712 WVJ327710:WVJ327712 B393246:B393248 IX393246:IX393248 ST393246:ST393248 ACP393246:ACP393248 AML393246:AML393248 AWH393246:AWH393248 BGD393246:BGD393248 BPZ393246:BPZ393248 BZV393246:BZV393248 CJR393246:CJR393248 CTN393246:CTN393248 DDJ393246:DDJ393248 DNF393246:DNF393248 DXB393246:DXB393248 EGX393246:EGX393248 EQT393246:EQT393248 FAP393246:FAP393248 FKL393246:FKL393248 FUH393246:FUH393248 GED393246:GED393248 GNZ393246:GNZ393248 GXV393246:GXV393248 HHR393246:HHR393248 HRN393246:HRN393248 IBJ393246:IBJ393248 ILF393246:ILF393248 IVB393246:IVB393248 JEX393246:JEX393248 JOT393246:JOT393248 JYP393246:JYP393248 KIL393246:KIL393248 KSH393246:KSH393248 LCD393246:LCD393248 LLZ393246:LLZ393248 LVV393246:LVV393248 MFR393246:MFR393248 MPN393246:MPN393248 MZJ393246:MZJ393248 NJF393246:NJF393248 NTB393246:NTB393248 OCX393246:OCX393248 OMT393246:OMT393248 OWP393246:OWP393248 PGL393246:PGL393248 PQH393246:PQH393248 QAD393246:QAD393248 QJZ393246:QJZ393248 QTV393246:QTV393248 RDR393246:RDR393248 RNN393246:RNN393248 RXJ393246:RXJ393248 SHF393246:SHF393248 SRB393246:SRB393248 TAX393246:TAX393248 TKT393246:TKT393248 TUP393246:TUP393248 UEL393246:UEL393248 UOH393246:UOH393248 UYD393246:UYD393248 VHZ393246:VHZ393248 VRV393246:VRV393248 WBR393246:WBR393248 WLN393246:WLN393248 WVJ393246:WVJ393248 B458782:B458784 IX458782:IX458784 ST458782:ST458784 ACP458782:ACP458784 AML458782:AML458784 AWH458782:AWH458784 BGD458782:BGD458784 BPZ458782:BPZ458784 BZV458782:BZV458784 CJR458782:CJR458784 CTN458782:CTN458784 DDJ458782:DDJ458784 DNF458782:DNF458784 DXB458782:DXB458784 EGX458782:EGX458784 EQT458782:EQT458784 FAP458782:FAP458784 FKL458782:FKL458784 FUH458782:FUH458784 GED458782:GED458784 GNZ458782:GNZ458784 GXV458782:GXV458784 HHR458782:HHR458784 HRN458782:HRN458784 IBJ458782:IBJ458784 ILF458782:ILF458784 IVB458782:IVB458784 JEX458782:JEX458784 JOT458782:JOT458784 JYP458782:JYP458784 KIL458782:KIL458784 KSH458782:KSH458784 LCD458782:LCD458784 LLZ458782:LLZ458784 LVV458782:LVV458784 MFR458782:MFR458784 MPN458782:MPN458784 MZJ458782:MZJ458784 NJF458782:NJF458784 NTB458782:NTB458784 OCX458782:OCX458784 OMT458782:OMT458784 OWP458782:OWP458784 PGL458782:PGL458784 PQH458782:PQH458784 QAD458782:QAD458784 QJZ458782:QJZ458784 QTV458782:QTV458784 RDR458782:RDR458784 RNN458782:RNN458784 RXJ458782:RXJ458784 SHF458782:SHF458784 SRB458782:SRB458784 TAX458782:TAX458784 TKT458782:TKT458784 TUP458782:TUP458784 UEL458782:UEL458784 UOH458782:UOH458784 UYD458782:UYD458784 VHZ458782:VHZ458784 VRV458782:VRV458784 WBR458782:WBR458784 WLN458782:WLN458784 WVJ458782:WVJ458784 B524318:B524320 IX524318:IX524320 ST524318:ST524320 ACP524318:ACP524320 AML524318:AML524320 AWH524318:AWH524320 BGD524318:BGD524320 BPZ524318:BPZ524320 BZV524318:BZV524320 CJR524318:CJR524320 CTN524318:CTN524320 DDJ524318:DDJ524320 DNF524318:DNF524320 DXB524318:DXB524320 EGX524318:EGX524320 EQT524318:EQT524320 FAP524318:FAP524320 FKL524318:FKL524320 FUH524318:FUH524320 GED524318:GED524320 GNZ524318:GNZ524320 GXV524318:GXV524320 HHR524318:HHR524320 HRN524318:HRN524320 IBJ524318:IBJ524320 ILF524318:ILF524320 IVB524318:IVB524320 JEX524318:JEX524320 JOT524318:JOT524320 JYP524318:JYP524320 KIL524318:KIL524320 KSH524318:KSH524320 LCD524318:LCD524320 LLZ524318:LLZ524320 LVV524318:LVV524320 MFR524318:MFR524320 MPN524318:MPN524320 MZJ524318:MZJ524320 NJF524318:NJF524320 NTB524318:NTB524320 OCX524318:OCX524320 OMT524318:OMT524320 OWP524318:OWP524320 PGL524318:PGL524320 PQH524318:PQH524320 QAD524318:QAD524320 QJZ524318:QJZ524320 QTV524318:QTV524320 RDR524318:RDR524320 RNN524318:RNN524320 RXJ524318:RXJ524320 SHF524318:SHF524320 SRB524318:SRB524320 TAX524318:TAX524320 TKT524318:TKT524320 TUP524318:TUP524320 UEL524318:UEL524320 UOH524318:UOH524320 UYD524318:UYD524320 VHZ524318:VHZ524320 VRV524318:VRV524320 WBR524318:WBR524320 WLN524318:WLN524320 WVJ524318:WVJ524320 B589854:B589856 IX589854:IX589856 ST589854:ST589856 ACP589854:ACP589856 AML589854:AML589856 AWH589854:AWH589856 BGD589854:BGD589856 BPZ589854:BPZ589856 BZV589854:BZV589856 CJR589854:CJR589856 CTN589854:CTN589856 DDJ589854:DDJ589856 DNF589854:DNF589856 DXB589854:DXB589856 EGX589854:EGX589856 EQT589854:EQT589856 FAP589854:FAP589856 FKL589854:FKL589856 FUH589854:FUH589856 GED589854:GED589856 GNZ589854:GNZ589856 GXV589854:GXV589856 HHR589854:HHR589856 HRN589854:HRN589856 IBJ589854:IBJ589856 ILF589854:ILF589856 IVB589854:IVB589856 JEX589854:JEX589856 JOT589854:JOT589856 JYP589854:JYP589856 KIL589854:KIL589856 KSH589854:KSH589856 LCD589854:LCD589856 LLZ589854:LLZ589856 LVV589854:LVV589856 MFR589854:MFR589856 MPN589854:MPN589856 MZJ589854:MZJ589856 NJF589854:NJF589856 NTB589854:NTB589856 OCX589854:OCX589856 OMT589854:OMT589856 OWP589854:OWP589856 PGL589854:PGL589856 PQH589854:PQH589856 QAD589854:QAD589856 QJZ589854:QJZ589856 QTV589854:QTV589856 RDR589854:RDR589856 RNN589854:RNN589856 RXJ589854:RXJ589856 SHF589854:SHF589856 SRB589854:SRB589856 TAX589854:TAX589856 TKT589854:TKT589856 TUP589854:TUP589856 UEL589854:UEL589856 UOH589854:UOH589856 UYD589854:UYD589856 VHZ589854:VHZ589856 VRV589854:VRV589856 WBR589854:WBR589856 WLN589854:WLN589856 WVJ589854:WVJ589856 B655390:B655392 IX655390:IX655392 ST655390:ST655392 ACP655390:ACP655392 AML655390:AML655392 AWH655390:AWH655392 BGD655390:BGD655392 BPZ655390:BPZ655392 BZV655390:BZV655392 CJR655390:CJR655392 CTN655390:CTN655392 DDJ655390:DDJ655392 DNF655390:DNF655392 DXB655390:DXB655392 EGX655390:EGX655392 EQT655390:EQT655392 FAP655390:FAP655392 FKL655390:FKL655392 FUH655390:FUH655392 GED655390:GED655392 GNZ655390:GNZ655392 GXV655390:GXV655392 HHR655390:HHR655392 HRN655390:HRN655392 IBJ655390:IBJ655392 ILF655390:ILF655392 IVB655390:IVB655392 JEX655390:JEX655392 JOT655390:JOT655392 JYP655390:JYP655392 KIL655390:KIL655392 KSH655390:KSH655392 LCD655390:LCD655392 LLZ655390:LLZ655392 LVV655390:LVV655392 MFR655390:MFR655392 MPN655390:MPN655392 MZJ655390:MZJ655392 NJF655390:NJF655392 NTB655390:NTB655392 OCX655390:OCX655392 OMT655390:OMT655392 OWP655390:OWP655392 PGL655390:PGL655392 PQH655390:PQH655392 QAD655390:QAD655392 QJZ655390:QJZ655392 QTV655390:QTV655392 RDR655390:RDR655392 RNN655390:RNN655392 RXJ655390:RXJ655392 SHF655390:SHF655392 SRB655390:SRB655392 TAX655390:TAX655392 TKT655390:TKT655392 TUP655390:TUP655392 UEL655390:UEL655392 UOH655390:UOH655392 UYD655390:UYD655392 VHZ655390:VHZ655392 VRV655390:VRV655392 WBR655390:WBR655392 WLN655390:WLN655392 WVJ655390:WVJ655392 B720926:B720928 IX720926:IX720928 ST720926:ST720928 ACP720926:ACP720928 AML720926:AML720928 AWH720926:AWH720928 BGD720926:BGD720928 BPZ720926:BPZ720928 BZV720926:BZV720928 CJR720926:CJR720928 CTN720926:CTN720928 DDJ720926:DDJ720928 DNF720926:DNF720928 DXB720926:DXB720928 EGX720926:EGX720928 EQT720926:EQT720928 FAP720926:FAP720928 FKL720926:FKL720928 FUH720926:FUH720928 GED720926:GED720928 GNZ720926:GNZ720928 GXV720926:GXV720928 HHR720926:HHR720928 HRN720926:HRN720928 IBJ720926:IBJ720928 ILF720926:ILF720928 IVB720926:IVB720928 JEX720926:JEX720928 JOT720926:JOT720928 JYP720926:JYP720928 KIL720926:KIL720928 KSH720926:KSH720928 LCD720926:LCD720928 LLZ720926:LLZ720928 LVV720926:LVV720928 MFR720926:MFR720928 MPN720926:MPN720928 MZJ720926:MZJ720928 NJF720926:NJF720928 NTB720926:NTB720928 OCX720926:OCX720928 OMT720926:OMT720928 OWP720926:OWP720928 PGL720926:PGL720928 PQH720926:PQH720928 QAD720926:QAD720928 QJZ720926:QJZ720928 QTV720926:QTV720928 RDR720926:RDR720928 RNN720926:RNN720928 RXJ720926:RXJ720928 SHF720926:SHF720928 SRB720926:SRB720928 TAX720926:TAX720928 TKT720926:TKT720928 TUP720926:TUP720928 UEL720926:UEL720928 UOH720926:UOH720928 UYD720926:UYD720928 VHZ720926:VHZ720928 VRV720926:VRV720928 WBR720926:WBR720928 WLN720926:WLN720928 WVJ720926:WVJ720928 B786462:B786464 IX786462:IX786464 ST786462:ST786464 ACP786462:ACP786464 AML786462:AML786464 AWH786462:AWH786464 BGD786462:BGD786464 BPZ786462:BPZ786464 BZV786462:BZV786464 CJR786462:CJR786464 CTN786462:CTN786464 DDJ786462:DDJ786464 DNF786462:DNF786464 DXB786462:DXB786464 EGX786462:EGX786464 EQT786462:EQT786464 FAP786462:FAP786464 FKL786462:FKL786464 FUH786462:FUH786464 GED786462:GED786464 GNZ786462:GNZ786464 GXV786462:GXV786464 HHR786462:HHR786464 HRN786462:HRN786464 IBJ786462:IBJ786464 ILF786462:ILF786464 IVB786462:IVB786464 JEX786462:JEX786464 JOT786462:JOT786464 JYP786462:JYP786464 KIL786462:KIL786464 KSH786462:KSH786464 LCD786462:LCD786464 LLZ786462:LLZ786464 LVV786462:LVV786464 MFR786462:MFR786464 MPN786462:MPN786464 MZJ786462:MZJ786464 NJF786462:NJF786464 NTB786462:NTB786464 OCX786462:OCX786464 OMT786462:OMT786464 OWP786462:OWP786464 PGL786462:PGL786464 PQH786462:PQH786464 QAD786462:QAD786464 QJZ786462:QJZ786464 QTV786462:QTV786464 RDR786462:RDR786464 RNN786462:RNN786464 RXJ786462:RXJ786464 SHF786462:SHF786464 SRB786462:SRB786464 TAX786462:TAX786464 TKT786462:TKT786464 TUP786462:TUP786464 UEL786462:UEL786464 UOH786462:UOH786464 UYD786462:UYD786464 VHZ786462:VHZ786464 VRV786462:VRV786464 WBR786462:WBR786464 WLN786462:WLN786464 WVJ786462:WVJ786464 B851998:B852000 IX851998:IX852000 ST851998:ST852000 ACP851998:ACP852000 AML851998:AML852000 AWH851998:AWH852000 BGD851998:BGD852000 BPZ851998:BPZ852000 BZV851998:BZV852000 CJR851998:CJR852000 CTN851998:CTN852000 DDJ851998:DDJ852000 DNF851998:DNF852000 DXB851998:DXB852000 EGX851998:EGX852000 EQT851998:EQT852000 FAP851998:FAP852000 FKL851998:FKL852000 FUH851998:FUH852000 GED851998:GED852000 GNZ851998:GNZ852000 GXV851998:GXV852000 HHR851998:HHR852000 HRN851998:HRN852000 IBJ851998:IBJ852000 ILF851998:ILF852000 IVB851998:IVB852000 JEX851998:JEX852000 JOT851998:JOT852000 JYP851998:JYP852000 KIL851998:KIL852000 KSH851998:KSH852000 LCD851998:LCD852000 LLZ851998:LLZ852000 LVV851998:LVV852000 MFR851998:MFR852000 MPN851998:MPN852000 MZJ851998:MZJ852000 NJF851998:NJF852000 NTB851998:NTB852000 OCX851998:OCX852000 OMT851998:OMT852000 OWP851998:OWP852000 PGL851998:PGL852000 PQH851998:PQH852000 QAD851998:QAD852000 QJZ851998:QJZ852000 QTV851998:QTV852000 RDR851998:RDR852000 RNN851998:RNN852000 RXJ851998:RXJ852000 SHF851998:SHF852000 SRB851998:SRB852000 TAX851998:TAX852000 TKT851998:TKT852000 TUP851998:TUP852000 UEL851998:UEL852000 UOH851998:UOH852000 UYD851998:UYD852000 VHZ851998:VHZ852000 VRV851998:VRV852000 WBR851998:WBR852000 WLN851998:WLN852000 WVJ851998:WVJ852000 B917534:B917536 IX917534:IX917536 ST917534:ST917536 ACP917534:ACP917536 AML917534:AML917536 AWH917534:AWH917536 BGD917534:BGD917536 BPZ917534:BPZ917536 BZV917534:BZV917536 CJR917534:CJR917536 CTN917534:CTN917536 DDJ917534:DDJ917536 DNF917534:DNF917536 DXB917534:DXB917536 EGX917534:EGX917536 EQT917534:EQT917536 FAP917534:FAP917536 FKL917534:FKL917536 FUH917534:FUH917536 GED917534:GED917536 GNZ917534:GNZ917536 GXV917534:GXV917536 HHR917534:HHR917536 HRN917534:HRN917536 IBJ917534:IBJ917536 ILF917534:ILF917536 IVB917534:IVB917536 JEX917534:JEX917536 JOT917534:JOT917536 JYP917534:JYP917536 KIL917534:KIL917536 KSH917534:KSH917536 LCD917534:LCD917536 LLZ917534:LLZ917536 LVV917534:LVV917536 MFR917534:MFR917536 MPN917534:MPN917536 MZJ917534:MZJ917536 NJF917534:NJF917536 NTB917534:NTB917536 OCX917534:OCX917536 OMT917534:OMT917536 OWP917534:OWP917536 PGL917534:PGL917536 PQH917534:PQH917536 QAD917534:QAD917536 QJZ917534:QJZ917536 QTV917534:QTV917536 RDR917534:RDR917536 RNN917534:RNN917536 RXJ917534:RXJ917536 SHF917534:SHF917536 SRB917534:SRB917536 TAX917534:TAX917536 TKT917534:TKT917536 TUP917534:TUP917536 UEL917534:UEL917536 UOH917534:UOH917536 UYD917534:UYD917536 VHZ917534:VHZ917536 VRV917534:VRV917536 WBR917534:WBR917536 WLN917534:WLN917536 WVJ917534:WVJ917536 B983070:B983072 IX983070:IX983072 ST983070:ST983072 ACP983070:ACP983072 AML983070:AML983072 AWH983070:AWH983072 BGD983070:BGD983072 BPZ983070:BPZ983072 BZV983070:BZV983072 CJR983070:CJR983072 CTN983070:CTN983072 DDJ983070:DDJ983072 DNF983070:DNF983072 DXB983070:DXB983072 EGX983070:EGX983072 EQT983070:EQT983072 FAP983070:FAP983072 FKL983070:FKL983072 FUH983070:FUH983072 GED983070:GED983072 GNZ983070:GNZ983072 GXV983070:GXV983072 HHR983070:HHR983072 HRN983070:HRN983072 IBJ983070:IBJ983072 ILF983070:ILF983072 IVB983070:IVB983072 JEX983070:JEX983072 JOT983070:JOT983072 JYP983070:JYP983072 KIL983070:KIL983072 KSH983070:KSH983072 LCD983070:LCD983072 LLZ983070:LLZ983072 LVV983070:LVV983072 MFR983070:MFR983072 MPN983070:MPN983072 MZJ983070:MZJ983072 NJF983070:NJF983072 NTB983070:NTB983072 OCX983070:OCX983072 OMT983070:OMT983072 OWP983070:OWP983072 PGL983070:PGL983072 PQH983070:PQH983072 QAD983070:QAD983072 QJZ983070:QJZ983072 QTV983070:QTV983072 RDR983070:RDR983072 RNN983070:RNN983072 RXJ983070:RXJ983072 SHF983070:SHF983072 SRB983070:SRB983072 TAX983070:TAX983072 TKT983070:TKT983072 TUP983070:TUP983072 UEL983070:UEL983072 UOH983070:UOH983072 UYD983070:UYD983072 VHZ983070:VHZ983072 VRV983070:VRV983072 WBR983070:WBR983072 WLN983070:WLN983072 WVJ90:WVJ96 WLN90:WLN96 WBR90:WBR96 VRV90:VRV96 VHZ90:VHZ96 UYD90:UYD96 UOH90:UOH96 UEL90:UEL96 TUP90:TUP96 TKT90:TKT96 TAX90:TAX96 SRB90:SRB96 SHF90:SHF96 RXJ90:RXJ96 RNN90:RNN96 RDR90:RDR96 QTV90:QTV96 QJZ90:QJZ96 QAD90:QAD96 PQH90:PQH96 PGL90:PGL96 OWP90:OWP96 OMT90:OMT96 OCX90:OCX96 NTB90:NTB96 NJF90:NJF96 MZJ90:MZJ96 MPN90:MPN96 MFR90:MFR96 LVV90:LVV96 LLZ90:LLZ96 LCD90:LCD96 KSH90:KSH96 KIL90:KIL96 JYP90:JYP96 JOT90:JOT96 JEX90:JEX96 IVB90:IVB96 ILF90:ILF96 IBJ90:IBJ96 HRN90:HRN96 HHR90:HHR96 GXV90:GXV96 GNZ90:GNZ96 GED90:GED96 FUH90:FUH96 FKL90:FKL96 FAP90:FAP96 EQT90:EQT96 EGX90:EGX96 DXB90:DXB96 DNF90:DNF96 DDJ90:DDJ96 CTN90:CTN96 CJR90:CJR96 BZV90:BZV96 BPZ90:BPZ96 BGD90:BGD96 AWH90:AWH96 AML90:AML96 ACP90:ACP96 ST90:ST96 IX90:IX96 B90:B93 B99:B100 B104:B106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H501"/>
  <sheetViews>
    <sheetView workbookViewId="0">
      <selection activeCell="J36" sqref="J36"/>
    </sheetView>
  </sheetViews>
  <sheetFormatPr defaultRowHeight="18.75"/>
  <cols>
    <col min="1" max="1" width="27.28515625" style="81" customWidth="1"/>
    <col min="2" max="2" width="17.28515625" bestFit="1" customWidth="1"/>
    <col min="3" max="3" width="10" bestFit="1" customWidth="1"/>
    <col min="4" max="4" width="18.28515625" bestFit="1" customWidth="1"/>
    <col min="6" max="6" width="10" style="40" hidden="1" customWidth="1"/>
  </cols>
  <sheetData>
    <row r="1" spans="1:8" s="40" customFormat="1">
      <c r="A1" s="309" t="s">
        <v>1278</v>
      </c>
      <c r="B1" s="40" t="s">
        <v>1276</v>
      </c>
      <c r="C1" s="40" t="s">
        <v>452</v>
      </c>
      <c r="D1" s="40" t="s">
        <v>1277</v>
      </c>
      <c r="E1" s="40" t="s">
        <v>452</v>
      </c>
      <c r="G1" s="40" t="s">
        <v>712</v>
      </c>
      <c r="H1" s="302" t="s">
        <v>1228</v>
      </c>
    </row>
    <row r="2" spans="1:8">
      <c r="A2" s="126" t="s">
        <v>317</v>
      </c>
      <c r="B2" s="192" t="s">
        <v>145</v>
      </c>
      <c r="C2" s="2">
        <f t="shared" ref="C2:C32" si="0">VLOOKUP(B2,Tarieven_VPT0,9,FALSE)</f>
        <v>82.56</v>
      </c>
      <c r="D2" s="192" t="s">
        <v>341</v>
      </c>
      <c r="E2" s="2">
        <f t="shared" ref="E2:E32" si="1">IFERROR(VLOOKUP(D2,Tarieven_VPT0,9,FALSE),0)</f>
        <v>0</v>
      </c>
      <c r="F2" s="2">
        <f>E2-C2</f>
        <v>-82.56</v>
      </c>
      <c r="G2" s="2">
        <f>IF(F2&gt;0,F2,0)</f>
        <v>0</v>
      </c>
      <c r="H2" s="308">
        <f>G2*7</f>
        <v>0</v>
      </c>
    </row>
    <row r="3" spans="1:8">
      <c r="A3" s="126" t="s">
        <v>318</v>
      </c>
      <c r="B3" s="192" t="s">
        <v>74</v>
      </c>
      <c r="C3" s="2">
        <f t="shared" si="0"/>
        <v>109.09</v>
      </c>
      <c r="D3" s="192" t="s">
        <v>341</v>
      </c>
      <c r="E3" s="2">
        <f t="shared" si="1"/>
        <v>0</v>
      </c>
      <c r="F3" s="2">
        <f t="shared" ref="F3:N46" si="2">E3-C3</f>
        <v>-109.09</v>
      </c>
      <c r="G3" s="2">
        <f t="shared" ref="G3:O46" si="3">IF(F3&gt;0,F3,0)</f>
        <v>0</v>
      </c>
      <c r="H3" s="308">
        <f t="shared" ref="H3:P46" si="4">G3*7</f>
        <v>0</v>
      </c>
    </row>
    <row r="4" spans="1:8">
      <c r="A4" s="126" t="s">
        <v>319</v>
      </c>
      <c r="B4" s="192" t="s">
        <v>123</v>
      </c>
      <c r="C4" s="2">
        <f t="shared" si="0"/>
        <v>144.26</v>
      </c>
      <c r="D4" s="192" t="s">
        <v>172</v>
      </c>
      <c r="E4" s="2">
        <f t="shared" si="1"/>
        <v>169.76</v>
      </c>
      <c r="F4" s="2">
        <f t="shared" si="2"/>
        <v>25.5</v>
      </c>
      <c r="G4" s="2">
        <f t="shared" si="3"/>
        <v>25.5</v>
      </c>
      <c r="H4" s="308">
        <f t="shared" si="4"/>
        <v>178.5</v>
      </c>
    </row>
    <row r="5" spans="1:8">
      <c r="A5" s="126" t="s">
        <v>320</v>
      </c>
      <c r="B5" s="192" t="s">
        <v>20</v>
      </c>
      <c r="C5" s="2">
        <f t="shared" si="0"/>
        <v>135.80000000000001</v>
      </c>
      <c r="D5" s="192" t="s">
        <v>93</v>
      </c>
      <c r="E5" s="2">
        <f t="shared" si="1"/>
        <v>148.24</v>
      </c>
      <c r="F5" s="2">
        <f t="shared" si="2"/>
        <v>12.439999999999998</v>
      </c>
      <c r="G5" s="2">
        <f t="shared" si="3"/>
        <v>12.439999999999998</v>
      </c>
      <c r="H5" s="308">
        <f t="shared" si="4"/>
        <v>87.079999999999984</v>
      </c>
    </row>
    <row r="6" spans="1:8">
      <c r="A6" s="126" t="s">
        <v>321</v>
      </c>
      <c r="B6" s="192" t="s">
        <v>55</v>
      </c>
      <c r="C6" s="2">
        <f t="shared" si="0"/>
        <v>268.18</v>
      </c>
      <c r="D6" s="192" t="s">
        <v>231</v>
      </c>
      <c r="E6" s="2">
        <f t="shared" si="1"/>
        <v>283.83</v>
      </c>
      <c r="F6" s="2">
        <f t="shared" si="2"/>
        <v>15.649999999999977</v>
      </c>
      <c r="G6" s="2">
        <f t="shared" si="3"/>
        <v>15.649999999999977</v>
      </c>
      <c r="H6" s="308">
        <f t="shared" si="4"/>
        <v>109.54999999999984</v>
      </c>
    </row>
    <row r="7" spans="1:8">
      <c r="A7" s="126" t="s">
        <v>322</v>
      </c>
      <c r="B7" s="192" t="s">
        <v>155</v>
      </c>
      <c r="C7" s="2">
        <f t="shared" si="0"/>
        <v>237.36</v>
      </c>
      <c r="D7" s="192" t="s">
        <v>205</v>
      </c>
      <c r="E7" s="2">
        <f t="shared" si="1"/>
        <v>254.23</v>
      </c>
      <c r="F7" s="2">
        <f t="shared" si="2"/>
        <v>16.869999999999976</v>
      </c>
      <c r="G7" s="2">
        <f t="shared" si="3"/>
        <v>16.869999999999976</v>
      </c>
      <c r="H7" s="308">
        <f t="shared" si="4"/>
        <v>118.08999999999983</v>
      </c>
    </row>
    <row r="8" spans="1:8">
      <c r="A8" s="126" t="s">
        <v>323</v>
      </c>
      <c r="B8" s="192" t="s">
        <v>236</v>
      </c>
      <c r="C8" s="2">
        <f t="shared" si="0"/>
        <v>327.12</v>
      </c>
      <c r="D8" s="192" t="s">
        <v>158</v>
      </c>
      <c r="E8" s="2">
        <f t="shared" si="1"/>
        <v>348.08</v>
      </c>
      <c r="F8" s="2">
        <f t="shared" si="2"/>
        <v>20.95999999999998</v>
      </c>
      <c r="G8" s="2">
        <f t="shared" si="3"/>
        <v>20.95999999999998</v>
      </c>
      <c r="H8" s="308">
        <f t="shared" si="4"/>
        <v>146.71999999999986</v>
      </c>
    </row>
    <row r="9" spans="1:8">
      <c r="A9" s="126" t="s">
        <v>324</v>
      </c>
      <c r="B9" s="192" t="s">
        <v>183</v>
      </c>
      <c r="C9" s="2">
        <f t="shared" si="0"/>
        <v>432.18</v>
      </c>
      <c r="D9" s="192" t="s">
        <v>114</v>
      </c>
      <c r="E9" s="2">
        <f t="shared" si="1"/>
        <v>448.18</v>
      </c>
      <c r="F9" s="2">
        <f t="shared" si="2"/>
        <v>16</v>
      </c>
      <c r="G9" s="2">
        <f t="shared" si="3"/>
        <v>16</v>
      </c>
      <c r="H9" s="308">
        <f t="shared" si="4"/>
        <v>112</v>
      </c>
    </row>
    <row r="10" spans="1:8">
      <c r="A10" s="126" t="s">
        <v>1337</v>
      </c>
      <c r="B10" s="192" t="s">
        <v>295</v>
      </c>
      <c r="C10" s="2">
        <f t="shared" si="0"/>
        <v>234.04</v>
      </c>
      <c r="D10" s="192" t="s">
        <v>296</v>
      </c>
      <c r="E10" s="2">
        <f t="shared" si="1"/>
        <v>300.43</v>
      </c>
      <c r="F10" s="2">
        <f t="shared" si="2"/>
        <v>66.390000000000015</v>
      </c>
      <c r="G10" s="2">
        <f t="shared" si="3"/>
        <v>66.390000000000015</v>
      </c>
      <c r="H10" s="308">
        <f t="shared" si="4"/>
        <v>464.73000000000013</v>
      </c>
    </row>
    <row r="11" spans="1:8">
      <c r="A11" s="126" t="s">
        <v>326</v>
      </c>
      <c r="B11" s="192" t="s">
        <v>46</v>
      </c>
      <c r="C11" s="2">
        <f t="shared" si="0"/>
        <v>518.38</v>
      </c>
      <c r="D11" s="192" t="s">
        <v>108</v>
      </c>
      <c r="E11" s="2">
        <f t="shared" si="1"/>
        <v>512.1</v>
      </c>
      <c r="F11" s="2">
        <f t="shared" si="2"/>
        <v>-6.2799999999999727</v>
      </c>
      <c r="G11" s="2">
        <f t="shared" si="3"/>
        <v>0</v>
      </c>
      <c r="H11" s="308">
        <f t="shared" si="4"/>
        <v>0</v>
      </c>
    </row>
    <row r="12" spans="1:8">
      <c r="A12" s="126" t="s">
        <v>327</v>
      </c>
      <c r="B12" s="192" t="s">
        <v>87</v>
      </c>
      <c r="C12" s="2">
        <f t="shared" si="0"/>
        <v>64.22</v>
      </c>
      <c r="D12" s="192" t="s">
        <v>341</v>
      </c>
      <c r="E12" s="2">
        <f t="shared" si="1"/>
        <v>0</v>
      </c>
      <c r="F12" s="2">
        <f t="shared" si="2"/>
        <v>-64.22</v>
      </c>
      <c r="G12" s="2">
        <f t="shared" si="3"/>
        <v>0</v>
      </c>
      <c r="H12" s="308">
        <f t="shared" si="4"/>
        <v>0</v>
      </c>
    </row>
    <row r="13" spans="1:8">
      <c r="A13" s="126" t="s">
        <v>328</v>
      </c>
      <c r="B13" s="192" t="s">
        <v>149</v>
      </c>
      <c r="C13" s="2">
        <f t="shared" si="0"/>
        <v>78.59</v>
      </c>
      <c r="D13" s="192" t="s">
        <v>341</v>
      </c>
      <c r="E13" s="2">
        <f t="shared" si="1"/>
        <v>0</v>
      </c>
      <c r="F13" s="2">
        <f t="shared" si="2"/>
        <v>-78.59</v>
      </c>
      <c r="G13" s="2">
        <f t="shared" si="3"/>
        <v>0</v>
      </c>
      <c r="H13" s="308">
        <f t="shared" si="4"/>
        <v>0</v>
      </c>
    </row>
    <row r="14" spans="1:8">
      <c r="A14" s="126" t="s">
        <v>329</v>
      </c>
      <c r="B14" s="192" t="s">
        <v>130</v>
      </c>
      <c r="C14" s="2">
        <f t="shared" si="0"/>
        <v>108.92</v>
      </c>
      <c r="D14" s="192" t="s">
        <v>140</v>
      </c>
      <c r="E14" s="2">
        <f t="shared" si="1"/>
        <v>134.76</v>
      </c>
      <c r="F14" s="2">
        <f t="shared" si="2"/>
        <v>25.839999999999989</v>
      </c>
      <c r="G14" s="2">
        <f t="shared" si="3"/>
        <v>25.839999999999989</v>
      </c>
      <c r="H14" s="308">
        <f t="shared" si="4"/>
        <v>180.87999999999994</v>
      </c>
    </row>
    <row r="15" spans="1:8">
      <c r="A15" s="126" t="s">
        <v>330</v>
      </c>
      <c r="B15" s="192" t="s">
        <v>162</v>
      </c>
      <c r="C15" s="2">
        <f t="shared" si="0"/>
        <v>133.61000000000001</v>
      </c>
      <c r="D15" s="192" t="s">
        <v>191</v>
      </c>
      <c r="E15" s="2">
        <f t="shared" si="1"/>
        <v>177.65</v>
      </c>
      <c r="F15" s="2">
        <f t="shared" si="2"/>
        <v>44.039999999999992</v>
      </c>
      <c r="G15" s="2">
        <f t="shared" si="3"/>
        <v>44.039999999999992</v>
      </c>
      <c r="H15" s="308">
        <f t="shared" si="4"/>
        <v>308.27999999999997</v>
      </c>
    </row>
    <row r="16" spans="1:8">
      <c r="A16" s="126" t="s">
        <v>331</v>
      </c>
      <c r="B16" s="192" t="s">
        <v>170</v>
      </c>
      <c r="C16" s="2">
        <f t="shared" si="0"/>
        <v>181.04</v>
      </c>
      <c r="D16" s="192" t="s">
        <v>117</v>
      </c>
      <c r="E16" s="2">
        <f t="shared" si="1"/>
        <v>218.28</v>
      </c>
      <c r="F16" s="2">
        <f t="shared" si="2"/>
        <v>37.240000000000009</v>
      </c>
      <c r="G16" s="2">
        <f t="shared" si="3"/>
        <v>37.240000000000009</v>
      </c>
      <c r="H16" s="308">
        <f t="shared" si="4"/>
        <v>260.68000000000006</v>
      </c>
    </row>
    <row r="17" spans="1:8">
      <c r="A17" s="126" t="s">
        <v>332</v>
      </c>
      <c r="B17" s="192" t="s">
        <v>186</v>
      </c>
      <c r="C17" s="2">
        <f t="shared" si="0"/>
        <v>141.80000000000001</v>
      </c>
      <c r="D17" s="192" t="s">
        <v>27</v>
      </c>
      <c r="E17" s="2">
        <f t="shared" si="1"/>
        <v>190.69</v>
      </c>
      <c r="F17" s="2">
        <f t="shared" si="2"/>
        <v>48.889999999999986</v>
      </c>
      <c r="G17" s="2">
        <f t="shared" si="3"/>
        <v>48.889999999999986</v>
      </c>
      <c r="H17" s="308">
        <f t="shared" si="4"/>
        <v>342.2299999999999</v>
      </c>
    </row>
    <row r="18" spans="1:8">
      <c r="A18" s="126" t="s">
        <v>333</v>
      </c>
      <c r="B18" s="192" t="s">
        <v>82</v>
      </c>
      <c r="C18" s="2">
        <f t="shared" si="0"/>
        <v>199.83</v>
      </c>
      <c r="D18" s="192" t="s">
        <v>197</v>
      </c>
      <c r="E18" s="2">
        <f t="shared" si="1"/>
        <v>284.98</v>
      </c>
      <c r="F18" s="2">
        <f t="shared" si="2"/>
        <v>85.15</v>
      </c>
      <c r="G18" s="2">
        <f t="shared" si="3"/>
        <v>85.15</v>
      </c>
      <c r="H18" s="308">
        <f t="shared" si="4"/>
        <v>596.05000000000007</v>
      </c>
    </row>
    <row r="19" spans="1:8">
      <c r="A19" s="126" t="s">
        <v>334</v>
      </c>
      <c r="B19" s="192" t="s">
        <v>228</v>
      </c>
      <c r="C19" s="2">
        <f t="shared" si="0"/>
        <v>211.48</v>
      </c>
      <c r="D19" s="192" t="s">
        <v>166</v>
      </c>
      <c r="E19" s="2">
        <f t="shared" si="1"/>
        <v>262.13</v>
      </c>
      <c r="F19" s="2">
        <f t="shared" si="2"/>
        <v>50.650000000000006</v>
      </c>
      <c r="G19" s="2">
        <f t="shared" si="3"/>
        <v>50.650000000000006</v>
      </c>
      <c r="H19" s="308">
        <f t="shared" si="4"/>
        <v>354.55000000000007</v>
      </c>
    </row>
    <row r="20" spans="1:8">
      <c r="A20" s="126" t="s">
        <v>335</v>
      </c>
      <c r="B20" s="192" t="s">
        <v>68</v>
      </c>
      <c r="C20" s="2">
        <f t="shared" si="0"/>
        <v>210.55</v>
      </c>
      <c r="D20" s="192" t="s">
        <v>68</v>
      </c>
      <c r="E20" s="2">
        <f t="shared" si="1"/>
        <v>210.55</v>
      </c>
      <c r="F20" s="2">
        <f t="shared" si="2"/>
        <v>0</v>
      </c>
      <c r="G20" s="2">
        <f t="shared" si="3"/>
        <v>0</v>
      </c>
      <c r="H20" s="308">
        <f t="shared" si="4"/>
        <v>0</v>
      </c>
    </row>
    <row r="21" spans="1:8">
      <c r="A21" s="126" t="s">
        <v>336</v>
      </c>
      <c r="B21" s="192" t="s">
        <v>152</v>
      </c>
      <c r="C21" s="2">
        <f t="shared" si="0"/>
        <v>260.69</v>
      </c>
      <c r="D21" s="192" t="s">
        <v>152</v>
      </c>
      <c r="E21" s="2">
        <f t="shared" si="1"/>
        <v>260.69</v>
      </c>
      <c r="F21" s="2">
        <f t="shared" si="2"/>
        <v>0</v>
      </c>
      <c r="G21" s="2">
        <f t="shared" si="3"/>
        <v>0</v>
      </c>
      <c r="H21" s="308">
        <f t="shared" si="4"/>
        <v>0</v>
      </c>
    </row>
    <row r="22" spans="1:8">
      <c r="A22" s="126" t="s">
        <v>337</v>
      </c>
      <c r="B22" s="192" t="s">
        <v>160</v>
      </c>
      <c r="C22" s="2">
        <f t="shared" si="0"/>
        <v>338.38</v>
      </c>
      <c r="D22" s="192" t="s">
        <v>160</v>
      </c>
      <c r="E22" s="2">
        <f t="shared" si="1"/>
        <v>338.38</v>
      </c>
      <c r="F22" s="2">
        <f t="shared" si="2"/>
        <v>0</v>
      </c>
      <c r="G22" s="2">
        <f t="shared" si="3"/>
        <v>0</v>
      </c>
      <c r="H22" s="308">
        <f t="shared" si="4"/>
        <v>0</v>
      </c>
    </row>
    <row r="23" spans="1:8">
      <c r="A23" s="126" t="s">
        <v>338</v>
      </c>
      <c r="B23" s="192" t="s">
        <v>144</v>
      </c>
      <c r="C23" s="2">
        <f t="shared" si="0"/>
        <v>397.18</v>
      </c>
      <c r="D23" s="192" t="s">
        <v>144</v>
      </c>
      <c r="E23" s="2">
        <f t="shared" si="1"/>
        <v>397.18</v>
      </c>
      <c r="F23" s="2">
        <f t="shared" si="2"/>
        <v>0</v>
      </c>
      <c r="G23" s="2">
        <f t="shared" si="3"/>
        <v>0</v>
      </c>
      <c r="H23" s="308">
        <f t="shared" si="4"/>
        <v>0</v>
      </c>
    </row>
    <row r="24" spans="1:8">
      <c r="A24" s="126" t="s">
        <v>339</v>
      </c>
      <c r="B24" s="192" t="s">
        <v>120</v>
      </c>
      <c r="C24" s="2">
        <f t="shared" si="0"/>
        <v>375.99</v>
      </c>
      <c r="D24" s="192" t="s">
        <v>120</v>
      </c>
      <c r="E24" s="2">
        <f t="shared" si="1"/>
        <v>375.99</v>
      </c>
      <c r="F24" s="2">
        <f t="shared" si="2"/>
        <v>0</v>
      </c>
      <c r="G24" s="2">
        <f t="shared" si="3"/>
        <v>0</v>
      </c>
      <c r="H24" s="308">
        <f t="shared" si="4"/>
        <v>0</v>
      </c>
    </row>
    <row r="25" spans="1:8">
      <c r="A25" s="126" t="s">
        <v>340</v>
      </c>
      <c r="B25" s="192" t="s">
        <v>292</v>
      </c>
      <c r="C25" s="2">
        <f t="shared" si="0"/>
        <v>424.88</v>
      </c>
      <c r="D25" s="192" t="s">
        <v>292</v>
      </c>
      <c r="E25" s="2">
        <f t="shared" si="1"/>
        <v>424.88</v>
      </c>
      <c r="F25" s="2">
        <f t="shared" si="2"/>
        <v>0</v>
      </c>
      <c r="G25" s="2">
        <f t="shared" si="3"/>
        <v>0</v>
      </c>
      <c r="H25" s="308">
        <f t="shared" si="4"/>
        <v>0</v>
      </c>
    </row>
    <row r="26" spans="1:8">
      <c r="A26" s="126" t="s">
        <v>301</v>
      </c>
      <c r="B26" s="192" t="s">
        <v>128</v>
      </c>
      <c r="C26" s="2">
        <f t="shared" si="0"/>
        <v>92.95</v>
      </c>
      <c r="D26" s="192" t="s">
        <v>341</v>
      </c>
      <c r="E26" s="2">
        <f t="shared" si="1"/>
        <v>0</v>
      </c>
      <c r="F26" s="2">
        <f t="shared" si="2"/>
        <v>-92.95</v>
      </c>
      <c r="G26" s="2">
        <f t="shared" si="3"/>
        <v>0</v>
      </c>
      <c r="H26" s="308">
        <f t="shared" si="4"/>
        <v>0</v>
      </c>
    </row>
    <row r="27" spans="1:8">
      <c r="A27" s="126" t="s">
        <v>302</v>
      </c>
      <c r="B27" s="192" t="s">
        <v>66</v>
      </c>
      <c r="C27" s="2">
        <f t="shared" si="0"/>
        <v>135.52000000000001</v>
      </c>
      <c r="D27" s="192" t="s">
        <v>341</v>
      </c>
      <c r="E27" s="2">
        <f t="shared" si="1"/>
        <v>0</v>
      </c>
      <c r="F27" s="2">
        <f t="shared" si="2"/>
        <v>-135.52000000000001</v>
      </c>
      <c r="G27" s="2">
        <f t="shared" si="3"/>
        <v>0</v>
      </c>
      <c r="H27" s="308">
        <f t="shared" si="4"/>
        <v>0</v>
      </c>
    </row>
    <row r="28" spans="1:8">
      <c r="A28" s="126" t="s">
        <v>303</v>
      </c>
      <c r="B28" s="192" t="s">
        <v>151</v>
      </c>
      <c r="C28" s="2">
        <f t="shared" si="0"/>
        <v>105.62</v>
      </c>
      <c r="D28" s="192" t="s">
        <v>104</v>
      </c>
      <c r="E28" s="2">
        <f t="shared" si="1"/>
        <v>132.72</v>
      </c>
      <c r="F28" s="2">
        <f t="shared" si="2"/>
        <v>27.099999999999994</v>
      </c>
      <c r="G28" s="2">
        <f t="shared" si="3"/>
        <v>27.099999999999994</v>
      </c>
      <c r="H28" s="308">
        <f t="shared" si="4"/>
        <v>189.69999999999996</v>
      </c>
    </row>
    <row r="29" spans="1:8">
      <c r="A29" s="126" t="s">
        <v>304</v>
      </c>
      <c r="B29" s="192" t="s">
        <v>207</v>
      </c>
      <c r="C29" s="2">
        <f t="shared" si="0"/>
        <v>164.81</v>
      </c>
      <c r="D29" s="192" t="s">
        <v>139</v>
      </c>
      <c r="E29" s="2">
        <f t="shared" si="1"/>
        <v>207.16</v>
      </c>
      <c r="F29" s="2">
        <f t="shared" si="2"/>
        <v>42.349999999999994</v>
      </c>
      <c r="G29" s="2">
        <f t="shared" si="3"/>
        <v>42.349999999999994</v>
      </c>
      <c r="H29" s="308">
        <f t="shared" si="4"/>
        <v>296.44999999999993</v>
      </c>
    </row>
    <row r="30" spans="1:8">
      <c r="A30" s="126" t="s">
        <v>305</v>
      </c>
      <c r="B30" s="192" t="s">
        <v>80</v>
      </c>
      <c r="C30" s="2">
        <f t="shared" si="0"/>
        <v>167.04</v>
      </c>
      <c r="D30" s="192" t="s">
        <v>85</v>
      </c>
      <c r="E30" s="2">
        <f t="shared" si="1"/>
        <v>210.2</v>
      </c>
      <c r="F30" s="2">
        <f t="shared" si="2"/>
        <v>43.16</v>
      </c>
      <c r="G30" s="2">
        <f t="shared" si="3"/>
        <v>43.16</v>
      </c>
      <c r="H30" s="308">
        <f t="shared" si="4"/>
        <v>302.12</v>
      </c>
    </row>
    <row r="31" spans="1:8">
      <c r="A31" s="126" t="s">
        <v>306</v>
      </c>
      <c r="B31" s="192" t="s">
        <v>135</v>
      </c>
      <c r="C31" s="2">
        <f t="shared" si="0"/>
        <v>231.77</v>
      </c>
      <c r="D31" s="192" t="s">
        <v>233</v>
      </c>
      <c r="E31" s="2">
        <f t="shared" si="1"/>
        <v>290.68</v>
      </c>
      <c r="F31" s="2">
        <f t="shared" si="2"/>
        <v>58.91</v>
      </c>
      <c r="G31" s="2">
        <f t="shared" si="3"/>
        <v>58.91</v>
      </c>
      <c r="H31" s="308">
        <f t="shared" si="4"/>
        <v>412.37</v>
      </c>
    </row>
    <row r="32" spans="1:8">
      <c r="A32" s="126" t="s">
        <v>307</v>
      </c>
      <c r="B32" s="192" t="s">
        <v>90</v>
      </c>
      <c r="C32" s="2">
        <f t="shared" si="0"/>
        <v>262.18</v>
      </c>
      <c r="D32" s="192" t="s">
        <v>101</v>
      </c>
      <c r="E32" s="2">
        <f t="shared" si="1"/>
        <v>325.18</v>
      </c>
      <c r="F32" s="2">
        <f t="shared" si="2"/>
        <v>63</v>
      </c>
      <c r="G32" s="2">
        <f t="shared" si="3"/>
        <v>63</v>
      </c>
      <c r="H32" s="308">
        <f t="shared" si="4"/>
        <v>441</v>
      </c>
    </row>
    <row r="33" spans="1:8" s="392" customFormat="1">
      <c r="A33" s="126" t="s">
        <v>1774</v>
      </c>
      <c r="B33" s="394" t="s">
        <v>1568</v>
      </c>
      <c r="C33" s="2">
        <f t="shared" ref="C33:C37" si="5">VLOOKUP(B33,Tarieven_VPT0,9,FALSE)</f>
        <v>130.52000000000001</v>
      </c>
      <c r="D33" s="394" t="s">
        <v>341</v>
      </c>
      <c r="E33" s="2">
        <f t="shared" ref="E33:E37" si="6">IFERROR(VLOOKUP(D33,Tarieven_VPT0,9,FALSE),0)</f>
        <v>0</v>
      </c>
      <c r="F33" s="2">
        <f t="shared" ref="F33:F37" si="7">E33-C33</f>
        <v>-130.52000000000001</v>
      </c>
      <c r="G33" s="2">
        <f t="shared" ref="G33:G37" si="8">IF(F33&gt;0,F33,0)</f>
        <v>0</v>
      </c>
      <c r="H33" s="308">
        <f t="shared" si="4"/>
        <v>0</v>
      </c>
    </row>
    <row r="34" spans="1:8" s="392" customFormat="1">
      <c r="A34" s="126" t="s">
        <v>1775</v>
      </c>
      <c r="B34" s="394" t="s">
        <v>1569</v>
      </c>
      <c r="C34" s="2">
        <f t="shared" si="5"/>
        <v>156.88</v>
      </c>
      <c r="D34" s="394" t="s">
        <v>341</v>
      </c>
      <c r="E34" s="2">
        <f t="shared" si="6"/>
        <v>0</v>
      </c>
      <c r="F34" s="2">
        <f t="shared" si="7"/>
        <v>-156.88</v>
      </c>
      <c r="G34" s="2">
        <f t="shared" si="8"/>
        <v>0</v>
      </c>
      <c r="H34" s="308">
        <f t="shared" si="4"/>
        <v>0</v>
      </c>
    </row>
    <row r="35" spans="1:8" s="392" customFormat="1">
      <c r="A35" s="126" t="s">
        <v>1776</v>
      </c>
      <c r="B35" s="394" t="s">
        <v>1570</v>
      </c>
      <c r="C35" s="2">
        <f t="shared" si="5"/>
        <v>170.87</v>
      </c>
      <c r="D35" s="394" t="s">
        <v>341</v>
      </c>
      <c r="E35" s="2">
        <f t="shared" si="6"/>
        <v>0</v>
      </c>
      <c r="F35" s="2">
        <f t="shared" si="7"/>
        <v>-170.87</v>
      </c>
      <c r="G35" s="2">
        <f t="shared" si="8"/>
        <v>0</v>
      </c>
      <c r="H35" s="308">
        <f t="shared" si="4"/>
        <v>0</v>
      </c>
    </row>
    <row r="36" spans="1:8" s="392" customFormat="1">
      <c r="A36" s="126" t="s">
        <v>1777</v>
      </c>
      <c r="B36" s="394" t="s">
        <v>1571</v>
      </c>
      <c r="C36" s="2">
        <f t="shared" si="5"/>
        <v>214.97</v>
      </c>
      <c r="D36" s="394" t="s">
        <v>341</v>
      </c>
      <c r="E36" s="2">
        <f t="shared" si="6"/>
        <v>0</v>
      </c>
      <c r="F36" s="2">
        <f t="shared" si="7"/>
        <v>-214.97</v>
      </c>
      <c r="G36" s="2">
        <f t="shared" si="8"/>
        <v>0</v>
      </c>
      <c r="H36" s="308">
        <f t="shared" si="4"/>
        <v>0</v>
      </c>
    </row>
    <row r="37" spans="1:8" s="392" customFormat="1">
      <c r="A37" s="126" t="s">
        <v>1778</v>
      </c>
      <c r="B37" s="394" t="s">
        <v>1572</v>
      </c>
      <c r="C37" s="2">
        <f t="shared" si="5"/>
        <v>286.73</v>
      </c>
      <c r="D37" s="394" t="s">
        <v>341</v>
      </c>
      <c r="E37" s="2">
        <f t="shared" si="6"/>
        <v>0</v>
      </c>
      <c r="F37" s="2">
        <f t="shared" si="7"/>
        <v>-286.73</v>
      </c>
      <c r="G37" s="2">
        <f t="shared" si="8"/>
        <v>0</v>
      </c>
      <c r="H37" s="308">
        <f t="shared" si="4"/>
        <v>0</v>
      </c>
    </row>
    <row r="38" spans="1:8">
      <c r="A38" s="126" t="s">
        <v>1338</v>
      </c>
      <c r="B38" s="192" t="s">
        <v>220</v>
      </c>
      <c r="C38" s="2">
        <f t="shared" ref="C38:C46" si="9">VLOOKUP(B38,Tarieven_VPT0,9,FALSE)</f>
        <v>158.05000000000001</v>
      </c>
      <c r="D38" s="192" t="s">
        <v>184</v>
      </c>
      <c r="E38" s="2">
        <f t="shared" ref="E38:E46" si="10">IFERROR(VLOOKUP(D38,Tarieven_VPT0,9,FALSE),0)</f>
        <v>148.87</v>
      </c>
      <c r="F38" s="2">
        <f t="shared" si="2"/>
        <v>-9.1800000000000068</v>
      </c>
      <c r="G38" s="2">
        <f t="shared" si="3"/>
        <v>0</v>
      </c>
      <c r="H38" s="308">
        <f t="shared" si="4"/>
        <v>0</v>
      </c>
    </row>
    <row r="39" spans="1:8">
      <c r="A39" s="126" t="s">
        <v>1340</v>
      </c>
      <c r="B39" s="192" t="s">
        <v>98</v>
      </c>
      <c r="C39" s="2">
        <f t="shared" si="9"/>
        <v>322.79000000000002</v>
      </c>
      <c r="D39" s="192" t="s">
        <v>134</v>
      </c>
      <c r="E39" s="2">
        <f t="shared" si="10"/>
        <v>326.68</v>
      </c>
      <c r="F39" s="2">
        <f t="shared" si="2"/>
        <v>3.8899999999999864</v>
      </c>
      <c r="G39" s="2">
        <f t="shared" si="3"/>
        <v>3.8899999999999864</v>
      </c>
      <c r="H39" s="308">
        <f t="shared" si="4"/>
        <v>27.229999999999905</v>
      </c>
    </row>
    <row r="40" spans="1:8">
      <c r="A40" s="126" t="s">
        <v>1341</v>
      </c>
      <c r="B40" s="192" t="s">
        <v>113</v>
      </c>
      <c r="C40" s="2">
        <f t="shared" si="9"/>
        <v>369.9</v>
      </c>
      <c r="D40" s="192" t="s">
        <v>53</v>
      </c>
      <c r="E40" s="2">
        <f t="shared" si="10"/>
        <v>375.93</v>
      </c>
      <c r="F40" s="2">
        <f t="shared" si="2"/>
        <v>6.0300000000000296</v>
      </c>
      <c r="G40" s="2">
        <f t="shared" si="3"/>
        <v>6.0300000000000296</v>
      </c>
      <c r="H40" s="308">
        <f t="shared" si="4"/>
        <v>42.210000000000207</v>
      </c>
    </row>
    <row r="41" spans="1:8">
      <c r="A41" s="126" t="s">
        <v>1339</v>
      </c>
      <c r="B41" s="192" t="s">
        <v>110</v>
      </c>
      <c r="C41" s="2">
        <f t="shared" si="9"/>
        <v>191.21</v>
      </c>
      <c r="D41" s="192" t="s">
        <v>230</v>
      </c>
      <c r="E41" s="2">
        <f t="shared" si="10"/>
        <v>218.27</v>
      </c>
      <c r="F41" s="2">
        <f t="shared" si="2"/>
        <v>27.060000000000002</v>
      </c>
      <c r="G41" s="2">
        <f t="shared" si="3"/>
        <v>27.060000000000002</v>
      </c>
      <c r="H41" s="308">
        <f t="shared" si="4"/>
        <v>189.42000000000002</v>
      </c>
    </row>
    <row r="42" spans="1:8">
      <c r="A42" s="126" t="s">
        <v>1342</v>
      </c>
      <c r="B42" s="192" t="s">
        <v>59</v>
      </c>
      <c r="C42" s="2">
        <f t="shared" si="9"/>
        <v>84.17</v>
      </c>
      <c r="D42" s="192" t="s">
        <v>341</v>
      </c>
      <c r="E42" s="2">
        <f t="shared" si="10"/>
        <v>0</v>
      </c>
      <c r="F42" s="2">
        <f t="shared" si="2"/>
        <v>-84.17</v>
      </c>
      <c r="G42" s="2">
        <f t="shared" si="3"/>
        <v>0</v>
      </c>
      <c r="H42" s="308">
        <f t="shared" si="4"/>
        <v>0</v>
      </c>
    </row>
    <row r="43" spans="1:8">
      <c r="A43" s="126" t="s">
        <v>1343</v>
      </c>
      <c r="B43" s="192" t="s">
        <v>116</v>
      </c>
      <c r="C43" s="2">
        <f t="shared" si="9"/>
        <v>135.72</v>
      </c>
      <c r="D43" s="192" t="s">
        <v>341</v>
      </c>
      <c r="E43" s="2">
        <f t="shared" si="10"/>
        <v>0</v>
      </c>
      <c r="F43" s="2">
        <f t="shared" si="2"/>
        <v>-135.72</v>
      </c>
      <c r="G43" s="2">
        <f t="shared" si="3"/>
        <v>0</v>
      </c>
      <c r="H43" s="308">
        <f t="shared" si="4"/>
        <v>0</v>
      </c>
    </row>
    <row r="44" spans="1:8">
      <c r="A44" s="126" t="s">
        <v>1344</v>
      </c>
      <c r="B44" s="192" t="s">
        <v>132</v>
      </c>
      <c r="C44" s="2">
        <f t="shared" si="9"/>
        <v>173.86</v>
      </c>
      <c r="D44" s="192" t="s">
        <v>169</v>
      </c>
      <c r="E44" s="2">
        <f t="shared" si="10"/>
        <v>188.99</v>
      </c>
      <c r="F44" s="2">
        <f t="shared" si="2"/>
        <v>15.129999999999995</v>
      </c>
      <c r="G44" s="2">
        <f t="shared" si="3"/>
        <v>15.129999999999995</v>
      </c>
      <c r="H44" s="308">
        <f t="shared" si="4"/>
        <v>105.90999999999997</v>
      </c>
    </row>
    <row r="45" spans="1:8">
      <c r="A45" s="126" t="s">
        <v>1345</v>
      </c>
      <c r="B45" s="192" t="s">
        <v>182</v>
      </c>
      <c r="C45" s="2">
        <f t="shared" si="9"/>
        <v>226.73</v>
      </c>
      <c r="D45" s="192" t="s">
        <v>24</v>
      </c>
      <c r="E45" s="2">
        <f t="shared" si="10"/>
        <v>249.11</v>
      </c>
      <c r="F45" s="2">
        <f t="shared" si="2"/>
        <v>22.380000000000024</v>
      </c>
      <c r="G45" s="2">
        <f t="shared" si="3"/>
        <v>22.380000000000024</v>
      </c>
      <c r="H45" s="308">
        <f t="shared" si="4"/>
        <v>156.66000000000017</v>
      </c>
    </row>
    <row r="46" spans="1:8">
      <c r="A46" s="126" t="s">
        <v>1346</v>
      </c>
      <c r="B46" s="192" t="s">
        <v>168</v>
      </c>
      <c r="C46" s="2">
        <f t="shared" si="9"/>
        <v>251.64</v>
      </c>
      <c r="D46" s="192" t="s">
        <v>153</v>
      </c>
      <c r="E46" s="2">
        <f t="shared" si="10"/>
        <v>280.20999999999998</v>
      </c>
      <c r="F46" s="2">
        <f t="shared" si="2"/>
        <v>28.569999999999993</v>
      </c>
      <c r="G46" s="2">
        <f t="shared" si="3"/>
        <v>28.569999999999993</v>
      </c>
      <c r="H46" s="308">
        <f t="shared" si="4"/>
        <v>199.98999999999995</v>
      </c>
    </row>
    <row r="47" spans="1:8">
      <c r="A47" s="177"/>
    </row>
    <row r="48" spans="1:8">
      <c r="A48" s="177"/>
    </row>
    <row r="49" spans="1:1">
      <c r="A49" s="177"/>
    </row>
    <row r="50" spans="1:1">
      <c r="A50" s="177"/>
    </row>
    <row r="51" spans="1:1">
      <c r="A51" s="177"/>
    </row>
    <row r="52" spans="1:1">
      <c r="A52" s="177"/>
    </row>
    <row r="53" spans="1:1">
      <c r="A53" s="177"/>
    </row>
    <row r="54" spans="1:1">
      <c r="A54" s="177"/>
    </row>
    <row r="55" spans="1:1">
      <c r="A55" s="177"/>
    </row>
    <row r="56" spans="1:1">
      <c r="A56" s="177"/>
    </row>
    <row r="57" spans="1:1">
      <c r="A57" s="177"/>
    </row>
    <row r="58" spans="1:1">
      <c r="A58" s="177"/>
    </row>
    <row r="59" spans="1:1">
      <c r="A59" s="177"/>
    </row>
    <row r="60" spans="1:1">
      <c r="A60" s="177"/>
    </row>
    <row r="61" spans="1:1">
      <c r="A61" s="177"/>
    </row>
    <row r="62" spans="1:1">
      <c r="A62" s="177"/>
    </row>
    <row r="63" spans="1:1">
      <c r="A63" s="177"/>
    </row>
    <row r="64" spans="1:1">
      <c r="A64" s="177"/>
    </row>
    <row r="65" spans="1:1">
      <c r="A65" s="177"/>
    </row>
    <row r="66" spans="1:1">
      <c r="A66" s="177"/>
    </row>
    <row r="67" spans="1:1">
      <c r="A67" s="177"/>
    </row>
    <row r="68" spans="1:1">
      <c r="A68" s="177"/>
    </row>
    <row r="69" spans="1:1">
      <c r="A69" s="177"/>
    </row>
    <row r="70" spans="1:1">
      <c r="A70" s="177"/>
    </row>
    <row r="71" spans="1:1">
      <c r="A71" s="177"/>
    </row>
    <row r="72" spans="1:1">
      <c r="A72" s="177"/>
    </row>
    <row r="73" spans="1:1">
      <c r="A73" s="177"/>
    </row>
    <row r="74" spans="1:1">
      <c r="A74" s="177"/>
    </row>
    <row r="75" spans="1:1">
      <c r="A75" s="177"/>
    </row>
    <row r="76" spans="1:1">
      <c r="A76" s="177"/>
    </row>
    <row r="77" spans="1:1">
      <c r="A77" s="177"/>
    </row>
    <row r="78" spans="1:1">
      <c r="A78" s="177"/>
    </row>
    <row r="79" spans="1:1">
      <c r="A79" s="177"/>
    </row>
    <row r="80" spans="1:1">
      <c r="A80" s="177"/>
    </row>
    <row r="81" spans="1:1">
      <c r="A81" s="177"/>
    </row>
    <row r="82" spans="1:1">
      <c r="A82" s="177"/>
    </row>
    <row r="83" spans="1:1">
      <c r="A83" s="177"/>
    </row>
    <row r="84" spans="1:1">
      <c r="A84" s="177"/>
    </row>
    <row r="85" spans="1:1">
      <c r="A85" s="177"/>
    </row>
    <row r="86" spans="1:1">
      <c r="A86" s="177"/>
    </row>
    <row r="87" spans="1:1">
      <c r="A87" s="177"/>
    </row>
    <row r="88" spans="1:1">
      <c r="A88" s="177"/>
    </row>
    <row r="89" spans="1:1">
      <c r="A89" s="177"/>
    </row>
    <row r="90" spans="1:1">
      <c r="A90" s="177"/>
    </row>
    <row r="91" spans="1:1">
      <c r="A91" s="177"/>
    </row>
    <row r="92" spans="1:1">
      <c r="A92" s="177"/>
    </row>
    <row r="93" spans="1:1">
      <c r="A93" s="177"/>
    </row>
    <row r="94" spans="1:1">
      <c r="A94" s="177"/>
    </row>
    <row r="95" spans="1:1">
      <c r="A95" s="177"/>
    </row>
    <row r="96" spans="1:1">
      <c r="A96" s="177"/>
    </row>
    <row r="97" spans="1:1">
      <c r="A97" s="177"/>
    </row>
    <row r="98" spans="1:1">
      <c r="A98" s="177"/>
    </row>
    <row r="99" spans="1:1">
      <c r="A99" s="177"/>
    </row>
    <row r="100" spans="1:1">
      <c r="A100" s="177"/>
    </row>
    <row r="101" spans="1:1">
      <c r="A101" s="177"/>
    </row>
    <row r="102" spans="1:1">
      <c r="A102" s="177"/>
    </row>
    <row r="103" spans="1:1">
      <c r="A103" s="177"/>
    </row>
    <row r="104" spans="1:1">
      <c r="A104" s="177"/>
    </row>
    <row r="105" spans="1:1">
      <c r="A105" s="177"/>
    </row>
    <row r="106" spans="1:1">
      <c r="A106" s="177"/>
    </row>
    <row r="107" spans="1:1">
      <c r="A107" s="177"/>
    </row>
    <row r="108" spans="1:1">
      <c r="A108" s="177"/>
    </row>
    <row r="109" spans="1:1">
      <c r="A109" s="177"/>
    </row>
    <row r="110" spans="1:1">
      <c r="A110" s="177"/>
    </row>
    <row r="111" spans="1:1">
      <c r="A111" s="177"/>
    </row>
    <row r="112" spans="1:1">
      <c r="A112" s="177"/>
    </row>
    <row r="113" spans="1:1">
      <c r="A113" s="177"/>
    </row>
    <row r="114" spans="1:1">
      <c r="A114" s="177"/>
    </row>
    <row r="115" spans="1:1">
      <c r="A115" s="177"/>
    </row>
    <row r="116" spans="1:1">
      <c r="A116" s="177"/>
    </row>
    <row r="117" spans="1:1">
      <c r="A117" s="177"/>
    </row>
    <row r="118" spans="1:1">
      <c r="A118" s="177"/>
    </row>
    <row r="119" spans="1:1">
      <c r="A119" s="177"/>
    </row>
    <row r="120" spans="1:1">
      <c r="A120" s="177"/>
    </row>
    <row r="121" spans="1:1">
      <c r="A121" s="177"/>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row r="294" spans="1:1">
      <c r="A294" s="49"/>
    </row>
    <row r="295" spans="1:1">
      <c r="A295" s="49"/>
    </row>
    <row r="296" spans="1:1">
      <c r="A296" s="49"/>
    </row>
    <row r="297" spans="1:1">
      <c r="A297" s="49"/>
    </row>
    <row r="298" spans="1:1">
      <c r="A298" s="49"/>
    </row>
    <row r="299" spans="1:1">
      <c r="A299" s="49"/>
    </row>
    <row r="300" spans="1:1">
      <c r="A300" s="49"/>
    </row>
    <row r="301" spans="1:1">
      <c r="A301" s="49"/>
    </row>
    <row r="302" spans="1:1">
      <c r="A302" s="49"/>
    </row>
    <row r="303" spans="1:1">
      <c r="A303" s="49"/>
    </row>
    <row r="304" spans="1:1">
      <c r="A304" s="49"/>
    </row>
    <row r="305" spans="1:1">
      <c r="A305" s="49"/>
    </row>
    <row r="306" spans="1:1">
      <c r="A306" s="49"/>
    </row>
    <row r="307" spans="1:1">
      <c r="A307" s="49"/>
    </row>
    <row r="308" spans="1:1">
      <c r="A308" s="49"/>
    </row>
    <row r="309" spans="1:1">
      <c r="A309" s="49"/>
    </row>
    <row r="310" spans="1:1">
      <c r="A310" s="49"/>
    </row>
    <row r="311" spans="1:1">
      <c r="A311" s="49"/>
    </row>
    <row r="312" spans="1:1">
      <c r="A312" s="49"/>
    </row>
    <row r="313" spans="1:1">
      <c r="A313" s="49"/>
    </row>
    <row r="314" spans="1:1">
      <c r="A314" s="49"/>
    </row>
    <row r="315" spans="1:1">
      <c r="A315" s="49"/>
    </row>
    <row r="316" spans="1:1">
      <c r="A316" s="49"/>
    </row>
    <row r="317" spans="1:1">
      <c r="A317" s="49"/>
    </row>
    <row r="318" spans="1:1">
      <c r="A318" s="49"/>
    </row>
    <row r="319" spans="1:1">
      <c r="A319" s="49"/>
    </row>
    <row r="320" spans="1:1">
      <c r="A320" s="49"/>
    </row>
    <row r="321" spans="1:1">
      <c r="A321" s="49"/>
    </row>
    <row r="322" spans="1:1">
      <c r="A322" s="49"/>
    </row>
    <row r="323" spans="1:1">
      <c r="A323" s="49"/>
    </row>
    <row r="324" spans="1:1">
      <c r="A324" s="49"/>
    </row>
    <row r="325" spans="1:1">
      <c r="A325" s="49"/>
    </row>
    <row r="326" spans="1:1">
      <c r="A326" s="49"/>
    </row>
    <row r="327" spans="1:1">
      <c r="A327" s="49"/>
    </row>
    <row r="328" spans="1:1">
      <c r="A328" s="49"/>
    </row>
    <row r="329" spans="1:1">
      <c r="A329" s="49"/>
    </row>
    <row r="330" spans="1:1">
      <c r="A330" s="49"/>
    </row>
    <row r="331" spans="1:1">
      <c r="A331" s="49"/>
    </row>
    <row r="332" spans="1:1">
      <c r="A332" s="49"/>
    </row>
    <row r="333" spans="1:1">
      <c r="A333" s="49"/>
    </row>
    <row r="334" spans="1:1">
      <c r="A334" s="49"/>
    </row>
    <row r="335" spans="1:1">
      <c r="A335" s="49"/>
    </row>
    <row r="336" spans="1:1">
      <c r="A336" s="49"/>
    </row>
    <row r="337" spans="1:1">
      <c r="A337" s="49"/>
    </row>
    <row r="338" spans="1:1">
      <c r="A338" s="49"/>
    </row>
    <row r="339" spans="1:1">
      <c r="A339" s="49"/>
    </row>
    <row r="340" spans="1:1">
      <c r="A340" s="49"/>
    </row>
    <row r="341" spans="1:1">
      <c r="A341" s="49"/>
    </row>
    <row r="342" spans="1:1">
      <c r="A342" s="49"/>
    </row>
    <row r="343" spans="1:1">
      <c r="A343" s="49"/>
    </row>
    <row r="344" spans="1:1">
      <c r="A344" s="49"/>
    </row>
    <row r="345" spans="1:1">
      <c r="A345" s="49"/>
    </row>
    <row r="346" spans="1:1">
      <c r="A346" s="49"/>
    </row>
    <row r="347" spans="1:1">
      <c r="A347" s="49"/>
    </row>
    <row r="348" spans="1:1">
      <c r="A348" s="49"/>
    </row>
    <row r="349" spans="1:1">
      <c r="A349" s="49"/>
    </row>
    <row r="350" spans="1:1">
      <c r="A350" s="49"/>
    </row>
    <row r="351" spans="1:1">
      <c r="A351" s="49"/>
    </row>
    <row r="352" spans="1:1">
      <c r="A352" s="49"/>
    </row>
    <row r="353" spans="1:1">
      <c r="A353" s="49"/>
    </row>
    <row r="354" spans="1:1">
      <c r="A354" s="49"/>
    </row>
    <row r="355" spans="1:1">
      <c r="A355" s="49"/>
    </row>
    <row r="356" spans="1:1">
      <c r="A356" s="49"/>
    </row>
    <row r="357" spans="1:1">
      <c r="A357" s="49"/>
    </row>
    <row r="358" spans="1:1">
      <c r="A358" s="49"/>
    </row>
    <row r="359" spans="1:1">
      <c r="A359" s="49"/>
    </row>
    <row r="360" spans="1:1">
      <c r="A360" s="49"/>
    </row>
    <row r="361" spans="1:1">
      <c r="A361" s="49"/>
    </row>
    <row r="362" spans="1:1">
      <c r="A362" s="49"/>
    </row>
    <row r="363" spans="1:1">
      <c r="A363" s="49"/>
    </row>
    <row r="364" spans="1:1">
      <c r="A364" s="49"/>
    </row>
    <row r="365" spans="1:1">
      <c r="A365" s="49"/>
    </row>
    <row r="366" spans="1:1">
      <c r="A366" s="49"/>
    </row>
    <row r="367" spans="1:1">
      <c r="A367" s="49"/>
    </row>
    <row r="368" spans="1:1">
      <c r="A368" s="49"/>
    </row>
    <row r="369" spans="1:1">
      <c r="A369" s="49"/>
    </row>
    <row r="370" spans="1:1">
      <c r="A370" s="49"/>
    </row>
    <row r="371" spans="1:1">
      <c r="A371" s="49"/>
    </row>
    <row r="372" spans="1:1">
      <c r="A372" s="49"/>
    </row>
    <row r="373" spans="1:1">
      <c r="A373" s="49"/>
    </row>
    <row r="374" spans="1:1">
      <c r="A374" s="49"/>
    </row>
    <row r="375" spans="1:1">
      <c r="A375" s="49"/>
    </row>
    <row r="376" spans="1:1">
      <c r="A376" s="49"/>
    </row>
    <row r="377" spans="1:1">
      <c r="A377" s="49"/>
    </row>
    <row r="378" spans="1:1">
      <c r="A378" s="49"/>
    </row>
    <row r="379" spans="1:1">
      <c r="A379" s="49"/>
    </row>
    <row r="380" spans="1:1">
      <c r="A380" s="49"/>
    </row>
    <row r="381" spans="1:1">
      <c r="A381" s="49"/>
    </row>
    <row r="382" spans="1:1">
      <c r="A382" s="49"/>
    </row>
    <row r="383" spans="1:1">
      <c r="A383" s="49"/>
    </row>
    <row r="384" spans="1:1">
      <c r="A384" s="49"/>
    </row>
    <row r="385" spans="1:1">
      <c r="A385" s="49"/>
    </row>
    <row r="386" spans="1:1">
      <c r="A386" s="49"/>
    </row>
    <row r="387" spans="1:1">
      <c r="A387" s="49"/>
    </row>
    <row r="388" spans="1:1">
      <c r="A388" s="49"/>
    </row>
    <row r="389" spans="1:1">
      <c r="A389" s="49"/>
    </row>
    <row r="390" spans="1:1">
      <c r="A390" s="49"/>
    </row>
    <row r="391" spans="1:1">
      <c r="A391" s="49"/>
    </row>
    <row r="392" spans="1:1">
      <c r="A392" s="49"/>
    </row>
    <row r="393" spans="1:1">
      <c r="A393" s="49"/>
    </row>
    <row r="394" spans="1:1">
      <c r="A394" s="49"/>
    </row>
    <row r="395" spans="1:1">
      <c r="A395" s="49"/>
    </row>
    <row r="396" spans="1:1">
      <c r="A396" s="49"/>
    </row>
    <row r="397" spans="1:1">
      <c r="A397" s="49"/>
    </row>
    <row r="398" spans="1:1">
      <c r="A398" s="49"/>
    </row>
    <row r="399" spans="1:1">
      <c r="A399" s="49"/>
    </row>
    <row r="400" spans="1:1">
      <c r="A400" s="49"/>
    </row>
    <row r="401" spans="1:1">
      <c r="A401" s="49"/>
    </row>
    <row r="402" spans="1:1">
      <c r="A402" s="49"/>
    </row>
    <row r="403" spans="1:1">
      <c r="A403" s="49"/>
    </row>
    <row r="404" spans="1:1">
      <c r="A404" s="49"/>
    </row>
    <row r="405" spans="1:1">
      <c r="A405" s="49"/>
    </row>
    <row r="406" spans="1:1">
      <c r="A406" s="49"/>
    </row>
    <row r="407" spans="1:1">
      <c r="A407" s="49"/>
    </row>
    <row r="408" spans="1:1">
      <c r="A408" s="49"/>
    </row>
    <row r="409" spans="1:1">
      <c r="A409" s="49"/>
    </row>
    <row r="410" spans="1:1">
      <c r="A410" s="49"/>
    </row>
    <row r="411" spans="1:1">
      <c r="A411" s="49"/>
    </row>
    <row r="412" spans="1:1">
      <c r="A412" s="49"/>
    </row>
    <row r="413" spans="1:1">
      <c r="A413" s="49"/>
    </row>
    <row r="414" spans="1:1">
      <c r="A414" s="49"/>
    </row>
    <row r="415" spans="1:1">
      <c r="A415" s="49"/>
    </row>
    <row r="416" spans="1:1">
      <c r="A416" s="49"/>
    </row>
    <row r="417" spans="1:1">
      <c r="A417" s="49"/>
    </row>
    <row r="418" spans="1:1">
      <c r="A418" s="49"/>
    </row>
    <row r="419" spans="1:1">
      <c r="A419" s="49"/>
    </row>
    <row r="420" spans="1:1">
      <c r="A420" s="49"/>
    </row>
    <row r="421" spans="1:1">
      <c r="A421" s="49"/>
    </row>
    <row r="422" spans="1:1">
      <c r="A422" s="49"/>
    </row>
    <row r="423" spans="1:1">
      <c r="A423" s="49"/>
    </row>
    <row r="424" spans="1:1">
      <c r="A424" s="49"/>
    </row>
    <row r="425" spans="1:1">
      <c r="A425" s="49"/>
    </row>
    <row r="426" spans="1:1">
      <c r="A426" s="49"/>
    </row>
    <row r="427" spans="1:1">
      <c r="A427" s="49"/>
    </row>
    <row r="428" spans="1:1">
      <c r="A428" s="49"/>
    </row>
    <row r="429" spans="1:1">
      <c r="A429" s="49"/>
    </row>
    <row r="430" spans="1:1">
      <c r="A430" s="49"/>
    </row>
    <row r="431" spans="1:1">
      <c r="A431" s="49"/>
    </row>
    <row r="432" spans="1:1">
      <c r="A432" s="49"/>
    </row>
    <row r="433" spans="1:1">
      <c r="A433" s="49"/>
    </row>
    <row r="434" spans="1:1">
      <c r="A434" s="49"/>
    </row>
    <row r="435" spans="1:1">
      <c r="A435" s="49"/>
    </row>
    <row r="436" spans="1:1">
      <c r="A436" s="49"/>
    </row>
    <row r="437" spans="1:1">
      <c r="A437" s="49"/>
    </row>
    <row r="438" spans="1:1">
      <c r="A438" s="49"/>
    </row>
    <row r="439" spans="1:1">
      <c r="A439" s="49"/>
    </row>
    <row r="440" spans="1:1">
      <c r="A440" s="49"/>
    </row>
    <row r="441" spans="1:1">
      <c r="A441" s="49"/>
    </row>
    <row r="442" spans="1:1">
      <c r="A442" s="49"/>
    </row>
    <row r="443" spans="1:1">
      <c r="A443" s="49"/>
    </row>
    <row r="444" spans="1:1">
      <c r="A444" s="49"/>
    </row>
    <row r="445" spans="1:1">
      <c r="A445" s="49"/>
    </row>
    <row r="446" spans="1:1">
      <c r="A446" s="49"/>
    </row>
    <row r="447" spans="1:1">
      <c r="A447" s="49"/>
    </row>
    <row r="448" spans="1:1">
      <c r="A448" s="49"/>
    </row>
    <row r="449" spans="1:1">
      <c r="A449" s="49"/>
    </row>
    <row r="450" spans="1:1">
      <c r="A450" s="49"/>
    </row>
    <row r="451" spans="1:1">
      <c r="A451" s="49"/>
    </row>
    <row r="452" spans="1:1">
      <c r="A452" s="49"/>
    </row>
    <row r="453" spans="1:1">
      <c r="A453" s="49"/>
    </row>
    <row r="454" spans="1:1">
      <c r="A454" s="49"/>
    </row>
    <row r="455" spans="1:1">
      <c r="A455" s="49"/>
    </row>
    <row r="456" spans="1:1">
      <c r="A456" s="49"/>
    </row>
    <row r="457" spans="1:1">
      <c r="A457" s="49"/>
    </row>
    <row r="458" spans="1:1">
      <c r="A458" s="49"/>
    </row>
    <row r="459" spans="1:1">
      <c r="A459" s="49"/>
    </row>
    <row r="460" spans="1:1">
      <c r="A460" s="49"/>
    </row>
    <row r="461" spans="1:1">
      <c r="A461" s="49"/>
    </row>
    <row r="462" spans="1:1">
      <c r="A462" s="49"/>
    </row>
    <row r="463" spans="1:1">
      <c r="A463" s="49"/>
    </row>
    <row r="464" spans="1:1">
      <c r="A464" s="49"/>
    </row>
    <row r="465" spans="1:1">
      <c r="A465" s="49"/>
    </row>
    <row r="466" spans="1:1">
      <c r="A466" s="49"/>
    </row>
    <row r="467" spans="1:1">
      <c r="A467" s="49"/>
    </row>
    <row r="468" spans="1:1">
      <c r="A468" s="49"/>
    </row>
    <row r="469" spans="1:1">
      <c r="A469" s="49"/>
    </row>
    <row r="470" spans="1:1">
      <c r="A470" s="49"/>
    </row>
    <row r="471" spans="1:1">
      <c r="A471" s="49"/>
    </row>
    <row r="472" spans="1:1">
      <c r="A472" s="49"/>
    </row>
    <row r="473" spans="1:1">
      <c r="A473" s="49"/>
    </row>
    <row r="474" spans="1:1">
      <c r="A474" s="49"/>
    </row>
    <row r="475" spans="1:1">
      <c r="A475" s="49"/>
    </row>
    <row r="476" spans="1:1">
      <c r="A476" s="49"/>
    </row>
    <row r="477" spans="1:1">
      <c r="A477" s="49"/>
    </row>
    <row r="478" spans="1:1">
      <c r="A478" s="49"/>
    </row>
    <row r="479" spans="1:1">
      <c r="A479" s="49"/>
    </row>
    <row r="480" spans="1:1">
      <c r="A480" s="49"/>
    </row>
    <row r="481" spans="1:1">
      <c r="A481" s="49"/>
    </row>
    <row r="482" spans="1:1">
      <c r="A482" s="49"/>
    </row>
    <row r="483" spans="1:1">
      <c r="A483" s="49"/>
    </row>
    <row r="484" spans="1:1">
      <c r="A484" s="49"/>
    </row>
    <row r="485" spans="1:1">
      <c r="A485" s="49"/>
    </row>
    <row r="486" spans="1:1">
      <c r="A486" s="49"/>
    </row>
    <row r="487" spans="1:1">
      <c r="A487" s="49"/>
    </row>
    <row r="488" spans="1:1">
      <c r="A488" s="49"/>
    </row>
    <row r="489" spans="1:1">
      <c r="A489" s="49"/>
    </row>
    <row r="490" spans="1:1">
      <c r="A490" s="49"/>
    </row>
    <row r="491" spans="1:1">
      <c r="A491" s="49"/>
    </row>
    <row r="492" spans="1:1">
      <c r="A492" s="49"/>
    </row>
    <row r="493" spans="1:1">
      <c r="A493" s="49"/>
    </row>
    <row r="494" spans="1:1">
      <c r="A494" s="49"/>
    </row>
    <row r="495" spans="1:1">
      <c r="A495" s="49"/>
    </row>
    <row r="496" spans="1:1">
      <c r="A496" s="49"/>
    </row>
    <row r="497" spans="1:1">
      <c r="A497" s="49"/>
    </row>
    <row r="498" spans="1:1">
      <c r="A498" s="49"/>
    </row>
    <row r="499" spans="1:1">
      <c r="A499" s="49"/>
    </row>
    <row r="500" spans="1:1">
      <c r="A500" s="49"/>
    </row>
    <row r="501" spans="1:1">
      <c r="A501" s="49"/>
    </row>
  </sheetData>
  <sheetProtection algorithmName="SHA-512" hashValue="3M+VkTLDmfSooVrFgNQhTZvu+lXxOzB7pdBgvfBD2K5skA/qIeZfOVyn7ks3eHEa4M9cWH6c19NvM1HSRHD3ew==" saltValue="BpORFnNjwmv8z43DVmN1cA==" spinCount="100000" sheet="1" objects="1" scenarios="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CC0066"/>
    <pageSetUpPr fitToPage="1"/>
  </sheetPr>
  <dimension ref="A1:GE631"/>
  <sheetViews>
    <sheetView tabSelected="1" topLeftCell="B1" zoomScale="70" zoomScaleNormal="70" workbookViewId="0">
      <selection activeCell="D2" sqref="D2"/>
    </sheetView>
  </sheetViews>
  <sheetFormatPr defaultColWidth="0" defaultRowHeight="0" customHeight="1" zeroHeight="1"/>
  <cols>
    <col min="1" max="1" width="3.7109375" style="193" customWidth="1"/>
    <col min="2" max="2" width="17.28515625" style="201" customWidth="1"/>
    <col min="3" max="3" width="3.7109375" style="201" customWidth="1"/>
    <col min="4" max="4" width="47.7109375" style="201" customWidth="1"/>
    <col min="5" max="5" width="13.7109375" style="201" customWidth="1"/>
    <col min="6" max="6" width="11.28515625" style="201" customWidth="1"/>
    <col min="7" max="7" width="15.28515625" style="201" customWidth="1"/>
    <col min="8" max="8" width="16.7109375" style="198" customWidth="1"/>
    <col min="9" max="9" width="14.7109375" style="198" customWidth="1"/>
    <col min="10" max="10" width="2.7109375" style="198" customWidth="1"/>
    <col min="11" max="11" width="9.28515625" style="198" customWidth="1"/>
    <col min="12" max="12" width="7.28515625" style="39" customWidth="1"/>
    <col min="13" max="13" width="21.85546875" style="39" customWidth="1"/>
    <col min="14" max="14" width="16.28515625" style="39" customWidth="1"/>
    <col min="15" max="15" width="13.7109375" style="39" customWidth="1"/>
    <col min="16" max="16" width="15.28515625" style="39" customWidth="1"/>
    <col min="17" max="17" width="12.5703125" style="39" customWidth="1"/>
    <col min="18" max="18" width="44.140625" style="39" customWidth="1"/>
    <col min="19" max="19" width="3.5703125" style="39" customWidth="1"/>
    <col min="20" max="20" width="15.28515625" style="49" hidden="1" customWidth="1"/>
    <col min="21" max="21" width="53.5703125" style="49" hidden="1" customWidth="1"/>
    <col min="22" max="23" width="38.28515625" style="49" hidden="1" customWidth="1"/>
    <col min="24" max="24" width="14.5703125" style="49" hidden="1" customWidth="1"/>
    <col min="25" max="25" width="32.7109375" style="49" hidden="1" customWidth="1"/>
    <col min="26" max="27" width="9.28515625" style="49" hidden="1" customWidth="1"/>
    <col min="28" max="28" width="19.5703125" style="49" hidden="1" customWidth="1"/>
    <col min="29" max="29" width="43.7109375" style="49" hidden="1" customWidth="1"/>
    <col min="30" max="30" width="53.5703125" style="49" hidden="1" customWidth="1"/>
    <col min="31" max="34" width="65.5703125" style="49" hidden="1" customWidth="1"/>
    <col min="35" max="35" width="45.42578125" style="49" hidden="1" customWidth="1"/>
    <col min="36" max="38" width="57" style="49" hidden="1" customWidth="1"/>
    <col min="39" max="39" width="56.7109375" style="49" hidden="1" customWidth="1"/>
    <col min="40" max="40" width="46.42578125" style="49" hidden="1" customWidth="1"/>
    <col min="41" max="41" width="24.42578125" style="49" hidden="1" customWidth="1"/>
    <col min="42" max="43" width="9.28515625" style="49" hidden="1" customWidth="1"/>
    <col min="44" max="44" width="21.5703125" style="49" hidden="1" customWidth="1"/>
    <col min="45" max="45" width="15.7109375" style="49" hidden="1" customWidth="1"/>
    <col min="46" max="46" width="9.28515625" style="49" hidden="1" customWidth="1"/>
    <col min="47" max="47" width="20.7109375" style="49" hidden="1" customWidth="1"/>
    <col min="48" max="48" width="9.28515625" style="49" hidden="1" customWidth="1"/>
    <col min="49" max="49" width="10.5703125" style="49" hidden="1" customWidth="1"/>
    <col min="50" max="50" width="21.28515625" style="49" hidden="1" customWidth="1"/>
    <col min="51" max="51" width="80.7109375" style="79" hidden="1" customWidth="1"/>
    <col min="52" max="52" width="23.7109375" style="49" hidden="1" customWidth="1"/>
    <col min="53" max="53" width="14.5703125" style="80" hidden="1" customWidth="1"/>
    <col min="54" max="54" width="12" style="49" hidden="1" customWidth="1"/>
    <col min="55" max="55" width="26.28515625" style="49" hidden="1" customWidth="1"/>
    <col min="56" max="56" width="12.28515625" style="49" hidden="1" customWidth="1"/>
    <col min="57" max="59" width="9.28515625" style="49" hidden="1" customWidth="1"/>
    <col min="60" max="60" width="12.5703125" style="49" hidden="1" customWidth="1"/>
    <col min="61" max="61" width="11.5703125" style="49" hidden="1" customWidth="1"/>
    <col min="62" max="62" width="11.28515625" style="49" hidden="1" customWidth="1"/>
    <col min="63" max="63" width="9.28515625" style="49" hidden="1" customWidth="1"/>
    <col min="64" max="64" width="27.28515625" style="81" hidden="1" customWidth="1"/>
    <col min="65" max="65" width="13.7109375" style="70" hidden="1" customWidth="1"/>
    <col min="66" max="66" width="29.42578125" style="49" hidden="1" customWidth="1"/>
    <col min="67" max="67" width="19.28515625" style="49" hidden="1" customWidth="1"/>
    <col min="68" max="68" width="32" style="49" hidden="1" customWidth="1"/>
    <col min="69" max="69" width="13.7109375" style="49" hidden="1" customWidth="1"/>
    <col min="70" max="70" width="15" style="49" hidden="1" customWidth="1"/>
    <col min="71" max="72" width="9.28515625" style="49" hidden="1" customWidth="1"/>
    <col min="73" max="73" width="15.5703125" style="49" hidden="1" customWidth="1"/>
    <col min="74" max="74" width="9.28515625" style="49" hidden="1" customWidth="1"/>
    <col min="75" max="75" width="18.7109375" style="49" hidden="1" customWidth="1"/>
    <col min="76" max="76" width="10.42578125" style="49" hidden="1" customWidth="1"/>
    <col min="77" max="78" width="9.28515625" style="49" hidden="1" customWidth="1"/>
    <col min="79" max="79" width="12.28515625" style="49" hidden="1" customWidth="1"/>
    <col min="80" max="85" width="9.28515625" style="49" hidden="1" customWidth="1"/>
    <col min="86" max="86" width="17" style="49" hidden="1" customWidth="1"/>
    <col min="87" max="92" width="9.28515625" style="49" hidden="1" customWidth="1"/>
    <col min="93" max="93" width="11.28515625" style="49" hidden="1" customWidth="1"/>
    <col min="94" max="94" width="9.28515625" style="49" hidden="1" customWidth="1"/>
    <col min="95" max="95" width="11.28515625" style="49" hidden="1" customWidth="1"/>
    <col min="96" max="96" width="9.28515625" style="49" hidden="1" customWidth="1"/>
    <col min="97" max="97" width="11.28515625" style="49" hidden="1" customWidth="1"/>
    <col min="98" max="98" width="7.7109375" style="49" hidden="1" customWidth="1"/>
    <col min="99" max="99" width="11.28515625" style="49" hidden="1" customWidth="1"/>
    <col min="100" max="100" width="9.28515625" style="49" hidden="1" customWidth="1"/>
    <col min="101" max="102" width="12.7109375" style="49" hidden="1" customWidth="1"/>
    <col min="103" max="103" width="30" style="49" hidden="1" customWidth="1"/>
    <col min="104" max="104" width="9.28515625" style="49" hidden="1" customWidth="1"/>
    <col min="105" max="106" width="14.5703125" style="49" hidden="1" customWidth="1"/>
    <col min="107" max="111" width="9.28515625" style="49" hidden="1" customWidth="1"/>
    <col min="112" max="112" width="45" style="49" hidden="1" customWidth="1"/>
    <col min="113" max="113" width="18.5703125" style="49" hidden="1" customWidth="1"/>
    <col min="114" max="119" width="9.28515625" style="49" hidden="1" customWidth="1"/>
    <col min="120" max="124" width="44.28515625" style="49" hidden="1" customWidth="1"/>
    <col min="125" max="125" width="17.7109375" style="49" hidden="1" customWidth="1"/>
    <col min="126" max="128" width="9.28515625" style="49" hidden="1" customWidth="1"/>
    <col min="129" max="129" width="14.42578125" style="49" hidden="1" customWidth="1"/>
    <col min="130" max="131" width="9.28515625" style="49" hidden="1" customWidth="1"/>
    <col min="132" max="132" width="10.28515625" style="49" hidden="1" customWidth="1"/>
    <col min="133" max="145" width="9.28515625" style="49" hidden="1" customWidth="1"/>
    <col min="146" max="146" width="11.7109375" style="49" hidden="1" customWidth="1"/>
    <col min="147" max="147" width="9.28515625" style="49" hidden="1" customWidth="1"/>
    <col min="148" max="148" width="54.42578125" style="49" hidden="1" customWidth="1"/>
    <col min="149" max="149" width="14.28515625" style="49" hidden="1" customWidth="1"/>
    <col min="150" max="150" width="17.5703125" style="49" hidden="1" customWidth="1"/>
    <col min="151" max="152" width="9.28515625" style="49" hidden="1" customWidth="1"/>
    <col min="153" max="153" width="35" style="49" hidden="1" customWidth="1"/>
    <col min="154" max="157" width="9.28515625" style="49" hidden="1" customWidth="1"/>
    <col min="158" max="158" width="7.5703125" style="49" hidden="1" customWidth="1"/>
    <col min="159" max="165" width="35" style="49" hidden="1" customWidth="1"/>
    <col min="166" max="166" width="13.28515625" style="49" hidden="1" customWidth="1"/>
    <col min="167" max="167" width="14.7109375" style="49" hidden="1" customWidth="1"/>
    <col min="168" max="173" width="9.28515625" style="49" hidden="1" customWidth="1"/>
    <col min="174" max="174" width="29.7109375" style="49" hidden="1" customWidth="1"/>
    <col min="175" max="175" width="21.28515625" style="49" hidden="1" customWidth="1"/>
    <col min="176" max="176" width="9.28515625" style="49" hidden="1" customWidth="1"/>
    <col min="177" max="177" width="11.28515625" style="49" hidden="1" customWidth="1"/>
    <col min="178" max="180" width="9.28515625" style="49" hidden="1" customWidth="1"/>
    <col min="181" max="181" width="13.5703125" style="49" hidden="1" customWidth="1"/>
    <col min="182" max="182" width="9.28515625" style="49" hidden="1" customWidth="1"/>
    <col min="183" max="183" width="10.5703125" style="49" hidden="1" customWidth="1"/>
    <col min="184" max="185" width="9.28515625" style="49" hidden="1" customWidth="1"/>
    <col min="186" max="186" width="13.28515625" style="49" hidden="1" customWidth="1"/>
    <col min="187" max="16384" width="9.28515625" style="49" hidden="1"/>
  </cols>
  <sheetData>
    <row r="1" spans="1:187" ht="19.5" thickBot="1">
      <c r="A1" s="206"/>
      <c r="B1" s="206"/>
      <c r="C1" s="206"/>
      <c r="D1" s="206"/>
      <c r="E1" s="315"/>
      <c r="F1" s="206"/>
      <c r="G1" s="206"/>
      <c r="H1" s="529">
        <v>0.95799999999999996</v>
      </c>
      <c r="I1" s="529"/>
      <c r="J1" s="206"/>
      <c r="K1" s="206"/>
      <c r="L1" s="206"/>
      <c r="M1" s="238" t="s">
        <v>1779</v>
      </c>
      <c r="N1" s="206"/>
      <c r="O1" s="206"/>
      <c r="P1" s="206"/>
      <c r="Q1" s="206"/>
      <c r="R1" s="206"/>
      <c r="S1" s="206"/>
      <c r="T1" s="48">
        <f>IF($I$33&gt;0,$M$6+$FS$8+$T$20,$M$6+$FS$8)</f>
        <v>0</v>
      </c>
      <c r="U1" s="70">
        <f>IFERROR(BR10,0)</f>
        <v>0</v>
      </c>
      <c r="V1" s="236" t="e">
        <f>M8/M6</f>
        <v>#DIV/0!</v>
      </c>
      <c r="AZ1" s="386" t="s">
        <v>1740</v>
      </c>
      <c r="BA1" s="80">
        <f>BA11*H1</f>
        <v>35.800459999999994</v>
      </c>
      <c r="DP1" s="56" t="e">
        <f>VLOOKUP(DQ1,$DS$2:$DT$50,2,FALSE)</f>
        <v>#N/A</v>
      </c>
      <c r="DQ1" s="49">
        <f>G10</f>
        <v>0</v>
      </c>
      <c r="DR1" s="49" t="s">
        <v>1310</v>
      </c>
      <c r="DU1" s="49" t="s">
        <v>700</v>
      </c>
      <c r="DV1" s="49" t="s">
        <v>298</v>
      </c>
      <c r="DW1" s="49" t="s">
        <v>1</v>
      </c>
      <c r="DX1" s="49" t="s">
        <v>608</v>
      </c>
      <c r="DY1" s="49" t="s">
        <v>701</v>
      </c>
      <c r="DZ1" s="49" t="s">
        <v>702</v>
      </c>
      <c r="EE1" s="49">
        <f>G10</f>
        <v>0</v>
      </c>
      <c r="EF1" s="49">
        <f>IFERROR(VLOOKUP(EE1,DV2:DX83,3,0),0)</f>
        <v>0</v>
      </c>
      <c r="EG1" s="49">
        <f>IF(EF1="nee",1,2)</f>
        <v>2</v>
      </c>
      <c r="EH1" s="49">
        <f>IF(Q24="Meerzorg",3,4)</f>
        <v>4</v>
      </c>
      <c r="EI1" s="49">
        <f>SUM(EG1:EH1)</f>
        <v>6</v>
      </c>
      <c r="EJ1" s="49" t="str">
        <f>IF(EI1=4,"Meerzorg is niet toegestaan bij dit ZZP tenzij client Wlz indiceerbaar is en recht op het vangnet heeft"," ")</f>
        <v xml:space="preserve"> </v>
      </c>
      <c r="EL1" s="49" t="s">
        <v>713</v>
      </c>
      <c r="EO1" s="82" t="s">
        <v>714</v>
      </c>
      <c r="EP1" s="82" t="s">
        <v>1347</v>
      </c>
      <c r="EQ1" s="82" t="s">
        <v>1312</v>
      </c>
      <c r="ER1" s="82" t="s">
        <v>716</v>
      </c>
      <c r="ES1" s="82" t="s">
        <v>16</v>
      </c>
      <c r="ET1" s="82" t="s">
        <v>1160</v>
      </c>
      <c r="EU1" s="49" t="s">
        <v>1161</v>
      </c>
      <c r="EW1" s="49" t="s">
        <v>758</v>
      </c>
      <c r="EX1" s="49" t="s">
        <v>718</v>
      </c>
      <c r="FB1" s="49" t="s">
        <v>298</v>
      </c>
      <c r="FC1" s="49" t="s">
        <v>1125</v>
      </c>
      <c r="FF1" s="49" t="s">
        <v>1126</v>
      </c>
      <c r="FG1" s="49" t="s">
        <v>1127</v>
      </c>
      <c r="FH1" s="49" t="s">
        <v>1336</v>
      </c>
      <c r="FL1" s="49" t="s">
        <v>1146</v>
      </c>
      <c r="FM1" s="49" t="s">
        <v>1147</v>
      </c>
      <c r="FQ1" s="49" t="s">
        <v>492</v>
      </c>
      <c r="FR1" s="49" t="s">
        <v>1401</v>
      </c>
      <c r="FS1" s="70" t="e">
        <f>'Deeltijd verblijf'!M9</f>
        <v>#N/A</v>
      </c>
      <c r="FX1" s="49" t="s">
        <v>1404</v>
      </c>
      <c r="FY1" s="49" t="s">
        <v>1336</v>
      </c>
      <c r="FZ1" s="49" t="s">
        <v>1403</v>
      </c>
    </row>
    <row r="2" spans="1:187" ht="19.5" thickBot="1">
      <c r="A2" s="206"/>
      <c r="B2" s="237" t="s">
        <v>526</v>
      </c>
      <c r="C2" s="238"/>
      <c r="D2" s="239" t="s">
        <v>1144</v>
      </c>
      <c r="E2" s="216"/>
      <c r="F2" s="206"/>
      <c r="G2" s="206"/>
      <c r="H2" s="206"/>
      <c r="I2" s="206"/>
      <c r="J2" s="206"/>
      <c r="K2" s="206"/>
      <c r="L2" s="206"/>
      <c r="M2" s="206"/>
      <c r="N2" s="231">
        <f>IFERROR(IF(OR($F$5="opname",$F$5="VPT"),$FI$7*$H$1,$BR$10),0)</f>
        <v>0</v>
      </c>
      <c r="O2" s="206"/>
      <c r="P2" s="206"/>
      <c r="Q2" s="206"/>
      <c r="R2" s="206"/>
      <c r="S2" s="206"/>
      <c r="T2" s="518" t="s">
        <v>407</v>
      </c>
      <c r="U2" s="519"/>
      <c r="V2" s="506" t="s">
        <v>405</v>
      </c>
      <c r="W2" s="507"/>
      <c r="X2" s="507"/>
      <c r="Y2" s="507"/>
      <c r="Z2" s="507"/>
      <c r="AA2" s="508"/>
      <c r="AB2" s="515" t="s">
        <v>406</v>
      </c>
      <c r="AC2" s="494" t="s">
        <v>404</v>
      </c>
      <c r="AD2" s="495"/>
      <c r="AE2" s="495"/>
      <c r="AF2" s="495"/>
      <c r="AG2" s="495"/>
      <c r="AH2" s="495"/>
      <c r="AI2" s="495"/>
      <c r="AJ2" s="495"/>
      <c r="AK2" s="496"/>
      <c r="AL2" s="496"/>
      <c r="AM2" s="496"/>
      <c r="AN2" s="497"/>
      <c r="AO2" s="83" t="s">
        <v>408</v>
      </c>
      <c r="AP2" s="84"/>
      <c r="AQ2" s="84"/>
      <c r="AR2" s="84">
        <f>IF(OR(F5="Deeltijd verblijf icm MPT",F5="logeren icm MPT"),"MPT",F5)</f>
        <v>0</v>
      </c>
      <c r="AS2" s="84"/>
      <c r="AT2" s="84"/>
      <c r="AU2" s="84"/>
      <c r="AV2" s="84"/>
      <c r="AW2" s="84"/>
      <c r="AX2" s="84"/>
      <c r="AY2" s="85" t="s">
        <v>422</v>
      </c>
      <c r="AZ2" s="86"/>
      <c r="BA2" s="86"/>
      <c r="BB2" s="86"/>
      <c r="BC2" s="87" t="s">
        <v>423</v>
      </c>
      <c r="BD2" s="87"/>
      <c r="BE2" s="485" t="s">
        <v>433</v>
      </c>
      <c r="BF2" s="486"/>
      <c r="BG2" s="486"/>
      <c r="BH2" s="486"/>
      <c r="BI2" s="486"/>
      <c r="BJ2" s="486"/>
      <c r="BK2" s="486"/>
      <c r="BL2" s="88" t="s">
        <v>434</v>
      </c>
      <c r="BM2" s="89"/>
      <c r="BN2" s="90" t="s">
        <v>436</v>
      </c>
      <c r="BO2" s="91" t="s">
        <v>438</v>
      </c>
      <c r="BP2" s="92" t="s">
        <v>439</v>
      </c>
      <c r="BQ2" s="92"/>
      <c r="BR2" s="92">
        <f>IFERROR(VLOOKUP(Q23,BO12:BQ14,3,FALSE),0)</f>
        <v>0</v>
      </c>
      <c r="BS2" s="93" t="s">
        <v>377</v>
      </c>
      <c r="BT2" s="93"/>
      <c r="BU2" s="93"/>
      <c r="BV2" s="93"/>
      <c r="BW2" s="93" t="s">
        <v>358</v>
      </c>
      <c r="BX2" s="93"/>
      <c r="BY2" s="93"/>
      <c r="BZ2" s="94" t="s">
        <v>447</v>
      </c>
      <c r="CA2" s="84"/>
      <c r="CB2" s="84"/>
      <c r="CC2" s="84"/>
      <c r="CD2" s="84"/>
      <c r="CE2" s="84"/>
      <c r="CF2" s="84"/>
      <c r="CG2" s="84"/>
      <c r="CH2" s="84"/>
      <c r="CI2" s="84"/>
      <c r="CJ2" s="49" t="s">
        <v>1</v>
      </c>
      <c r="CM2" s="49" t="s">
        <v>457</v>
      </c>
      <c r="CZ2" s="49" t="s">
        <v>459</v>
      </c>
      <c r="DR2" s="49">
        <v>3.5</v>
      </c>
      <c r="DS2" s="49" t="s">
        <v>632</v>
      </c>
      <c r="DT2" s="49" t="s">
        <v>672</v>
      </c>
      <c r="DU2" s="49" t="str">
        <f>IF(D42="meerzorg","ja","nee")</f>
        <v>nee</v>
      </c>
      <c r="DV2" s="95" t="s">
        <v>350</v>
      </c>
      <c r="DW2" s="96" t="s">
        <v>357</v>
      </c>
      <c r="DX2" s="49" t="s">
        <v>432</v>
      </c>
      <c r="DY2" s="49">
        <v>0</v>
      </c>
      <c r="DZ2" s="49">
        <v>10</v>
      </c>
      <c r="EL2" s="49" t="s">
        <v>714</v>
      </c>
      <c r="EO2" s="97" t="s">
        <v>378</v>
      </c>
      <c r="EP2" s="97" t="s">
        <v>378</v>
      </c>
      <c r="EQ2" s="97" t="s">
        <v>378</v>
      </c>
      <c r="ER2" s="97" t="s">
        <v>378</v>
      </c>
      <c r="ES2" s="98" t="s">
        <v>948</v>
      </c>
      <c r="ET2" s="82" t="s">
        <v>717</v>
      </c>
      <c r="EU2" s="49" t="s">
        <v>717</v>
      </c>
      <c r="EW2" s="49" t="s">
        <v>759</v>
      </c>
      <c r="EX2" s="49" t="s">
        <v>719</v>
      </c>
      <c r="FB2" s="49" t="s">
        <v>640</v>
      </c>
      <c r="FC2" s="49" t="s">
        <v>758</v>
      </c>
      <c r="FD2" s="49" t="s">
        <v>1160</v>
      </c>
      <c r="FE2" s="49" t="str">
        <f t="shared" ref="FE2:FE74" si="0">CONCATENATE(FB2,FD2)</f>
        <v>1vvOpname</v>
      </c>
      <c r="FF2" s="70">
        <f t="shared" ref="FF2:FF46" si="1">VLOOKUP(FC2,Tarieven_ZZP1,7,FALSE)</f>
        <v>115.74</v>
      </c>
      <c r="FG2" s="70">
        <f>FF2*7</f>
        <v>810.18</v>
      </c>
      <c r="FL2" s="95" t="s">
        <v>1467</v>
      </c>
      <c r="FM2" s="49">
        <v>1</v>
      </c>
      <c r="FQ2" s="49">
        <v>1</v>
      </c>
      <c r="FR2" s="49" t="s">
        <v>1312</v>
      </c>
      <c r="FS2" s="70" t="e">
        <f>'Deeltijd verblijf'!M17</f>
        <v>#N/A</v>
      </c>
      <c r="FX2" s="49">
        <f t="shared" ref="FX2:FX15" si="2">E18</f>
        <v>0</v>
      </c>
      <c r="FY2" s="49">
        <f>IF(B18="Deeltijd_verblijf",1,0)</f>
        <v>0</v>
      </c>
      <c r="FZ2" s="49">
        <f>IF(B18="Verblijfsprestatie",1,0)</f>
        <v>0</v>
      </c>
      <c r="GA2" s="49">
        <f>SUM(FY2:FZ2)</f>
        <v>0</v>
      </c>
      <c r="GB2" s="49" t="str">
        <f>IFERROR(IF(FX2=0,"",(IF(GA2=0,"Nee","Ja"))),0)</f>
        <v/>
      </c>
      <c r="GC2" s="49">
        <f>E18</f>
        <v>0</v>
      </c>
      <c r="GD2" s="49">
        <f>IFERROR(VLOOKUP(GC2,$GA$18:$GB$18,2,0),0)</f>
        <v>0</v>
      </c>
      <c r="GE2" s="49" t="str">
        <f>IF(GD2="ja","ja","Nee")</f>
        <v>Nee</v>
      </c>
    </row>
    <row r="3" spans="1:187" ht="19.5" thickBot="1">
      <c r="A3" s="206"/>
      <c r="B3" s="237" t="s">
        <v>525</v>
      </c>
      <c r="C3" s="238"/>
      <c r="D3" s="240" t="s">
        <v>680</v>
      </c>
      <c r="E3" s="216"/>
      <c r="F3" s="206"/>
      <c r="G3" s="206"/>
      <c r="H3" s="206"/>
      <c r="I3" s="206"/>
      <c r="J3" s="206"/>
      <c r="K3" s="218"/>
      <c r="L3" s="206"/>
      <c r="N3" s="206"/>
      <c r="O3" s="206"/>
      <c r="P3" s="206"/>
      <c r="Q3" s="206"/>
      <c r="R3" s="206"/>
      <c r="S3" s="206"/>
      <c r="T3" s="520"/>
      <c r="U3" s="521"/>
      <c r="V3" s="509"/>
      <c r="W3" s="510"/>
      <c r="X3" s="510"/>
      <c r="Y3" s="510"/>
      <c r="Z3" s="510"/>
      <c r="AA3" s="511"/>
      <c r="AB3" s="516"/>
      <c r="AC3" s="498"/>
      <c r="AD3" s="499"/>
      <c r="AE3" s="499"/>
      <c r="AF3" s="499"/>
      <c r="AG3" s="499"/>
      <c r="AH3" s="499"/>
      <c r="AI3" s="499"/>
      <c r="AJ3" s="499"/>
      <c r="AK3" s="500"/>
      <c r="AL3" s="500"/>
      <c r="AM3" s="500"/>
      <c r="AN3" s="501"/>
      <c r="AO3" s="99"/>
      <c r="AP3" s="84"/>
      <c r="AQ3" s="84"/>
      <c r="AR3" s="84"/>
      <c r="AS3" s="84"/>
      <c r="AT3" s="84"/>
      <c r="AU3" s="84"/>
      <c r="AV3" s="84"/>
      <c r="AW3" s="84"/>
      <c r="AX3" s="84"/>
      <c r="AY3" s="85"/>
      <c r="AZ3" s="86"/>
      <c r="BA3" s="86"/>
      <c r="BB3" s="86"/>
      <c r="BC3" s="87"/>
      <c r="BD3" s="87"/>
      <c r="BE3" s="100"/>
      <c r="BF3" s="101"/>
      <c r="BG3" s="101"/>
      <c r="BH3" s="101"/>
      <c r="BI3" s="101"/>
      <c r="BJ3" s="101"/>
      <c r="BK3" s="101"/>
      <c r="BL3" s="88"/>
      <c r="BM3" s="89"/>
      <c r="BN3" s="90"/>
      <c r="BO3" s="91"/>
      <c r="BP3" s="92"/>
      <c r="BQ3" s="92"/>
      <c r="BR3" s="92"/>
      <c r="BS3" s="93"/>
      <c r="BT3" s="93"/>
      <c r="BU3" s="93"/>
      <c r="BV3" s="93"/>
      <c r="BW3" s="93"/>
      <c r="BX3" s="93"/>
      <c r="BY3" s="93"/>
      <c r="BZ3" s="102"/>
      <c r="CA3" s="84"/>
      <c r="CB3" s="84"/>
      <c r="CC3" s="84"/>
      <c r="CD3" s="84"/>
      <c r="CE3" s="84"/>
      <c r="CF3" s="84"/>
      <c r="CG3" s="84"/>
      <c r="CH3" s="84"/>
      <c r="CI3" s="84"/>
      <c r="DR3" s="49">
        <v>4</v>
      </c>
      <c r="DV3" s="95"/>
      <c r="DW3" s="96"/>
      <c r="EL3" s="49" t="s">
        <v>16</v>
      </c>
      <c r="EO3" s="103" t="s">
        <v>342</v>
      </c>
      <c r="EP3" s="103" t="s">
        <v>342</v>
      </c>
      <c r="EQ3" s="103" t="s">
        <v>342</v>
      </c>
      <c r="ER3" s="103" t="s">
        <v>342</v>
      </c>
      <c r="ES3" s="82" t="s">
        <v>1</v>
      </c>
      <c r="ET3" s="82" t="s">
        <v>1</v>
      </c>
      <c r="EU3" s="49" t="s">
        <v>1149</v>
      </c>
      <c r="EW3" s="49" t="s">
        <v>760</v>
      </c>
      <c r="EX3" s="49" t="s">
        <v>720</v>
      </c>
      <c r="FB3" s="49" t="s">
        <v>642</v>
      </c>
      <c r="FC3" s="49" t="s">
        <v>759</v>
      </c>
      <c r="FD3" s="49" t="s">
        <v>1160</v>
      </c>
      <c r="FE3" s="49" t="str">
        <f t="shared" si="0"/>
        <v>2vvOpname</v>
      </c>
      <c r="FF3" s="70">
        <f t="shared" si="1"/>
        <v>148.28</v>
      </c>
      <c r="FG3" s="70">
        <f t="shared" ref="FG3:FG46" si="3">FF3*7</f>
        <v>1037.96</v>
      </c>
      <c r="FL3" s="95" t="s">
        <v>1468</v>
      </c>
      <c r="FM3" s="49">
        <v>1</v>
      </c>
      <c r="FQ3" s="49">
        <v>2</v>
      </c>
      <c r="FR3" s="49" t="s">
        <v>714</v>
      </c>
      <c r="FS3" s="197">
        <f>IFERROR(IF(OR($F$5="opname",$F$5="VPT"),$FI$7*$H$1,$BR$10),0)</f>
        <v>0</v>
      </c>
      <c r="FX3" s="49">
        <f t="shared" si="2"/>
        <v>0</v>
      </c>
      <c r="FY3" s="49">
        <f>IF(B19="Deeltijd_verblijf",1,0)</f>
        <v>0</v>
      </c>
      <c r="FZ3" s="49">
        <f>IF(B19="Verblijfsprestatie",1,0)</f>
        <v>0</v>
      </c>
      <c r="GA3" s="49">
        <f t="shared" ref="GA3:GA15" si="4">SUM(FY3:FZ3)</f>
        <v>0</v>
      </c>
      <c r="GB3" s="49" t="str">
        <f t="shared" ref="GB3:GB15" si="5">IFERROR(IF(FX3=0,"",(IF(GA3=0,"Nee","Ja"))),0)</f>
        <v/>
      </c>
      <c r="GC3" s="49">
        <f t="shared" ref="GC3:GC15" si="6">E19</f>
        <v>0</v>
      </c>
      <c r="GD3" s="49">
        <f t="shared" ref="GD3:GD15" si="7">IFERROR(VLOOKUP(GC3,$GA$18:$GB$18,2,0),0)</f>
        <v>0</v>
      </c>
      <c r="GE3" s="49" t="str">
        <f t="shared" ref="GE3:GE15" si="8">IF(GD3="ja","ja","Nee")</f>
        <v>Nee</v>
      </c>
    </row>
    <row r="4" spans="1:187" ht="19.5" thickBot="1">
      <c r="A4" s="206"/>
      <c r="B4" s="237" t="s">
        <v>1159</v>
      </c>
      <c r="C4" s="238"/>
      <c r="D4" s="443" t="s">
        <v>1596</v>
      </c>
      <c r="E4" s="216"/>
      <c r="F4" s="206"/>
      <c r="G4" s="206"/>
      <c r="H4" s="206"/>
      <c r="I4" s="206"/>
      <c r="J4" s="206"/>
      <c r="K4" s="206"/>
      <c r="L4" s="206"/>
      <c r="N4" s="314"/>
      <c r="O4" s="312"/>
      <c r="P4" s="206"/>
      <c r="Q4" s="206"/>
      <c r="R4" s="206"/>
      <c r="S4" s="206"/>
      <c r="T4" s="520"/>
      <c r="U4" s="521"/>
      <c r="V4" s="509"/>
      <c r="W4" s="510"/>
      <c r="X4" s="510"/>
      <c r="Y4" s="510"/>
      <c r="Z4" s="510"/>
      <c r="AA4" s="511"/>
      <c r="AB4" s="516"/>
      <c r="AC4" s="498"/>
      <c r="AD4" s="499"/>
      <c r="AE4" s="499"/>
      <c r="AF4" s="499"/>
      <c r="AG4" s="499"/>
      <c r="AH4" s="499"/>
      <c r="AI4" s="499"/>
      <c r="AJ4" s="499"/>
      <c r="AK4" s="500"/>
      <c r="AL4" s="500"/>
      <c r="AM4" s="500"/>
      <c r="AN4" s="501"/>
      <c r="AO4" s="99"/>
      <c r="AP4" s="84"/>
      <c r="AQ4" s="84"/>
      <c r="AR4" s="84"/>
      <c r="AS4" s="84"/>
      <c r="AT4" s="84"/>
      <c r="AU4" s="84"/>
      <c r="AV4" s="84"/>
      <c r="AW4" s="84"/>
      <c r="AX4" s="84"/>
      <c r="AY4" s="85"/>
      <c r="AZ4" s="86"/>
      <c r="BA4" s="86"/>
      <c r="BB4" s="86"/>
      <c r="BC4" s="87"/>
      <c r="BD4" s="87"/>
      <c r="BE4" s="100"/>
      <c r="BF4" s="101"/>
      <c r="BG4" s="101"/>
      <c r="BH4" s="101"/>
      <c r="BI4" s="101"/>
      <c r="BJ4" s="101"/>
      <c r="BK4" s="101"/>
      <c r="BL4" s="88"/>
      <c r="BM4" s="89"/>
      <c r="BN4" s="90"/>
      <c r="BO4" s="91"/>
      <c r="BP4" s="92"/>
      <c r="BQ4" s="92"/>
      <c r="BR4" s="92"/>
      <c r="BS4" s="93"/>
      <c r="BT4" s="93"/>
      <c r="BU4" s="93"/>
      <c r="BV4" s="93"/>
      <c r="BW4" s="93"/>
      <c r="BX4" s="93"/>
      <c r="BY4" s="93"/>
      <c r="BZ4" s="102"/>
      <c r="CA4" s="84"/>
      <c r="CB4" s="84"/>
      <c r="CC4" s="84"/>
      <c r="CD4" s="84"/>
      <c r="CE4" s="84"/>
      <c r="CF4" s="84"/>
      <c r="CG4" s="84"/>
      <c r="CH4" s="84"/>
      <c r="CI4" s="84"/>
      <c r="DR4" s="49">
        <v>4.5</v>
      </c>
      <c r="DV4" s="95"/>
      <c r="DW4" s="96"/>
      <c r="EL4" s="49" t="s">
        <v>1160</v>
      </c>
      <c r="EO4" s="103" t="s">
        <v>343</v>
      </c>
      <c r="EP4" s="103" t="s">
        <v>343</v>
      </c>
      <c r="EQ4" s="103" t="s">
        <v>343</v>
      </c>
      <c r="ER4" s="103" t="s">
        <v>343</v>
      </c>
      <c r="ES4" s="82" t="s">
        <v>381</v>
      </c>
      <c r="ET4" s="82" t="s">
        <v>381</v>
      </c>
      <c r="EW4" s="49" t="s">
        <v>768</v>
      </c>
      <c r="EX4" s="49" t="s">
        <v>880</v>
      </c>
      <c r="FB4" s="49" t="s">
        <v>641</v>
      </c>
      <c r="FC4" s="49" t="s">
        <v>768</v>
      </c>
      <c r="FD4" s="49" t="s">
        <v>1160</v>
      </c>
      <c r="FE4" s="49" t="str">
        <f t="shared" si="0"/>
        <v>3vvOpname</v>
      </c>
      <c r="FF4" s="70">
        <f t="shared" si="1"/>
        <v>211.45</v>
      </c>
      <c r="FG4" s="70">
        <f t="shared" si="3"/>
        <v>1480.1499999999999</v>
      </c>
      <c r="FL4" s="95" t="s">
        <v>1469</v>
      </c>
      <c r="FM4" s="49">
        <v>1</v>
      </c>
      <c r="FQ4" s="49">
        <v>3</v>
      </c>
      <c r="FR4" s="49" t="s">
        <v>16</v>
      </c>
      <c r="FS4" s="197">
        <f>IFERROR(IF(OR($F$5="opname",$F$5="VPT"),$FI$7*$H$1,$BR$10),0)</f>
        <v>0</v>
      </c>
      <c r="FX4" s="49">
        <f t="shared" si="2"/>
        <v>0</v>
      </c>
      <c r="FY4" s="49">
        <f t="shared" ref="FY4:FY15" si="9">IF(B20="Deeltijd_verblijf",1,0)</f>
        <v>0</v>
      </c>
      <c r="FZ4" s="49">
        <f t="shared" ref="FZ4:FZ15" si="10">IF(B20="Verblijfsprestatie",1,0)</f>
        <v>0</v>
      </c>
      <c r="GA4" s="49">
        <f t="shared" si="4"/>
        <v>0</v>
      </c>
      <c r="GB4" s="49" t="str">
        <f t="shared" si="5"/>
        <v/>
      </c>
      <c r="GC4" s="49">
        <f t="shared" si="6"/>
        <v>0</v>
      </c>
      <c r="GD4" s="49">
        <f t="shared" si="7"/>
        <v>0</v>
      </c>
      <c r="GE4" s="49" t="str">
        <f t="shared" si="8"/>
        <v>Nee</v>
      </c>
    </row>
    <row r="5" spans="1:187" ht="19.5" thickBot="1">
      <c r="A5" s="206"/>
      <c r="B5" s="237" t="s">
        <v>1598</v>
      </c>
      <c r="C5" s="238"/>
      <c r="D5" s="445" t="s">
        <v>1772</v>
      </c>
      <c r="E5" s="216"/>
      <c r="F5" s="535"/>
      <c r="G5" s="535"/>
      <c r="H5" s="535"/>
      <c r="I5" s="223" t="s">
        <v>1311</v>
      </c>
      <c r="J5" s="206"/>
      <c r="K5" s="206"/>
      <c r="L5" s="206"/>
      <c r="M5" s="245" t="str">
        <f>IF(F5="MPT","Ruimte",IF(OR(F5="logeren icm MPT",F5="deeltijd verblijf icm zorg thuis"),"Ruimte","Financiële ruimte"))</f>
        <v>Financiële ruimte</v>
      </c>
      <c r="N5" s="206"/>
      <c r="O5" s="206"/>
      <c r="P5" s="206"/>
      <c r="Q5" s="206"/>
      <c r="R5" s="206"/>
      <c r="S5" s="206"/>
      <c r="T5" s="520"/>
      <c r="U5" s="521"/>
      <c r="V5" s="509"/>
      <c r="W5" s="510"/>
      <c r="X5" s="510"/>
      <c r="Y5" s="510"/>
      <c r="Z5" s="510"/>
      <c r="AA5" s="511"/>
      <c r="AB5" s="516"/>
      <c r="AC5" s="498"/>
      <c r="AD5" s="499"/>
      <c r="AE5" s="499"/>
      <c r="AF5" s="499"/>
      <c r="AG5" s="499"/>
      <c r="AH5" s="499"/>
      <c r="AI5" s="499"/>
      <c r="AJ5" s="499"/>
      <c r="AK5" s="500"/>
      <c r="AL5" s="500"/>
      <c r="AM5" s="500"/>
      <c r="AN5" s="501"/>
      <c r="AO5" s="99"/>
      <c r="AP5" s="84"/>
      <c r="AQ5" s="84"/>
      <c r="AR5" s="84"/>
      <c r="AS5" s="84"/>
      <c r="AT5" s="84"/>
      <c r="AU5" s="84"/>
      <c r="AV5" s="84"/>
      <c r="AW5" s="84"/>
      <c r="AX5" s="84"/>
      <c r="AY5" s="85"/>
      <c r="AZ5" s="86"/>
      <c r="BA5" s="86"/>
      <c r="BB5" s="86"/>
      <c r="BC5" s="87"/>
      <c r="BD5" s="87"/>
      <c r="BE5" s="100"/>
      <c r="BF5" s="101"/>
      <c r="BG5" s="101"/>
      <c r="BH5" s="101"/>
      <c r="BI5" s="101"/>
      <c r="BJ5" s="101"/>
      <c r="BK5" s="101"/>
      <c r="BL5" s="88"/>
      <c r="BM5" s="89"/>
      <c r="BN5" s="90" t="s">
        <v>1294</v>
      </c>
      <c r="BO5" s="109">
        <f>$M$6*25%</f>
        <v>0</v>
      </c>
      <c r="BP5" s="92"/>
      <c r="BQ5" s="92"/>
      <c r="BR5" s="92"/>
      <c r="BS5" s="93"/>
      <c r="BT5" s="93"/>
      <c r="BU5" s="93"/>
      <c r="BV5" s="93"/>
      <c r="BW5" s="93"/>
      <c r="BX5" s="93"/>
      <c r="BY5" s="93"/>
      <c r="BZ5" s="102"/>
      <c r="CA5" s="84"/>
      <c r="CB5" s="84"/>
      <c r="CC5" s="84"/>
      <c r="CD5" s="84"/>
      <c r="CE5" s="84"/>
      <c r="CF5" s="84"/>
      <c r="CG5" s="84"/>
      <c r="CH5" s="84"/>
      <c r="CI5" s="84"/>
      <c r="DV5" s="95"/>
      <c r="DW5" s="96"/>
      <c r="EL5" s="49" t="s">
        <v>1401</v>
      </c>
      <c r="EO5" s="103" t="s">
        <v>358</v>
      </c>
      <c r="EP5" s="103" t="s">
        <v>379</v>
      </c>
      <c r="EQ5" s="103" t="s">
        <v>379</v>
      </c>
      <c r="ER5" s="103" t="s">
        <v>379</v>
      </c>
      <c r="ES5" s="82" t="s">
        <v>380</v>
      </c>
      <c r="ET5" s="82" t="s">
        <v>380</v>
      </c>
      <c r="EU5" s="49" t="s">
        <v>1150</v>
      </c>
      <c r="EW5" s="49" t="s">
        <v>761</v>
      </c>
      <c r="EX5" s="49" t="s">
        <v>721</v>
      </c>
      <c r="FB5" s="49" t="s">
        <v>643</v>
      </c>
      <c r="FC5" s="49" t="s">
        <v>769</v>
      </c>
      <c r="FD5" s="49" t="s">
        <v>1160</v>
      </c>
      <c r="FE5" s="49" t="str">
        <f t="shared" si="0"/>
        <v>4vvOpname</v>
      </c>
      <c r="FF5" s="70">
        <f t="shared" si="1"/>
        <v>204.59</v>
      </c>
      <c r="FG5" s="70">
        <f t="shared" si="3"/>
        <v>1432.13</v>
      </c>
      <c r="FL5" s="95" t="s">
        <v>1470</v>
      </c>
      <c r="FM5" s="49">
        <v>1</v>
      </c>
      <c r="FQ5" s="49">
        <v>3.5</v>
      </c>
      <c r="FR5" s="49" t="s">
        <v>1160</v>
      </c>
      <c r="FS5" s="197">
        <f>IFERROR(IF(OR($F$5="opname",$F$5="VPT"),$FI$7*$H$1,$BR$10),0)</f>
        <v>0</v>
      </c>
      <c r="FX5" s="49">
        <f t="shared" si="2"/>
        <v>0</v>
      </c>
      <c r="FY5" s="49">
        <f t="shared" si="9"/>
        <v>0</v>
      </c>
      <c r="FZ5" s="49">
        <f t="shared" si="10"/>
        <v>0</v>
      </c>
      <c r="GA5" s="49">
        <f t="shared" si="4"/>
        <v>0</v>
      </c>
      <c r="GB5" s="49" t="str">
        <f t="shared" si="5"/>
        <v/>
      </c>
      <c r="GC5" s="49">
        <f t="shared" si="6"/>
        <v>0</v>
      </c>
      <c r="GD5" s="49">
        <f t="shared" si="7"/>
        <v>0</v>
      </c>
      <c r="GE5" s="49" t="str">
        <f t="shared" si="8"/>
        <v>Nee</v>
      </c>
    </row>
    <row r="6" spans="1:187" ht="19.5" customHeight="1" thickBot="1">
      <c r="A6" s="206"/>
      <c r="B6" s="237" t="s">
        <v>1773</v>
      </c>
      <c r="C6" s="238"/>
      <c r="D6" s="444"/>
      <c r="E6" s="217"/>
      <c r="F6" s="535"/>
      <c r="G6" s="535"/>
      <c r="H6" s="535"/>
      <c r="I6" s="310"/>
      <c r="J6" s="206"/>
      <c r="K6" s="206"/>
      <c r="L6" s="206"/>
      <c r="M6" s="197">
        <f>IFERROR(VLOOKUP(F5,FR1:FS5,2,FALSE),0)</f>
        <v>0</v>
      </c>
      <c r="N6" s="231" t="s">
        <v>1437</v>
      </c>
      <c r="O6" s="206"/>
      <c r="P6" s="206"/>
      <c r="Q6" s="206"/>
      <c r="R6" s="206"/>
      <c r="S6" s="206"/>
      <c r="T6" s="522"/>
      <c r="U6" s="523"/>
      <c r="V6" s="512"/>
      <c r="W6" s="513"/>
      <c r="X6" s="513"/>
      <c r="Y6" s="513"/>
      <c r="Z6" s="513"/>
      <c r="AA6" s="514"/>
      <c r="AB6" s="517"/>
      <c r="AC6" s="502"/>
      <c r="AD6" s="503"/>
      <c r="AE6" s="503"/>
      <c r="AF6" s="503"/>
      <c r="AG6" s="503"/>
      <c r="AH6" s="503"/>
      <c r="AI6" s="503"/>
      <c r="AJ6" s="503"/>
      <c r="AK6" s="504"/>
      <c r="AL6" s="504"/>
      <c r="AM6" s="504"/>
      <c r="AN6" s="505"/>
      <c r="AO6" s="84"/>
      <c r="AP6" s="84"/>
      <c r="AQ6" s="84"/>
      <c r="AR6" s="84"/>
      <c r="AS6" s="84"/>
      <c r="AT6" s="84"/>
      <c r="AU6" s="84"/>
      <c r="AV6" s="84"/>
      <c r="AW6" s="84"/>
      <c r="AX6" s="84"/>
      <c r="AY6" s="85"/>
      <c r="AZ6" s="86"/>
      <c r="BA6" s="86"/>
      <c r="BB6" s="86"/>
      <c r="BC6" s="87"/>
      <c r="BD6" s="87"/>
      <c r="BE6" s="104"/>
      <c r="BF6" s="105" t="s">
        <v>346</v>
      </c>
      <c r="BG6" s="106" t="s">
        <v>347</v>
      </c>
      <c r="BH6" s="107"/>
      <c r="BI6" s="107"/>
      <c r="BJ6" s="107"/>
      <c r="BK6" s="107"/>
      <c r="BL6" s="108"/>
      <c r="BM6" s="89"/>
      <c r="BN6" s="90" t="s">
        <v>529</v>
      </c>
      <c r="BO6" s="109">
        <f>$M$6*25%</f>
        <v>0</v>
      </c>
      <c r="BP6" s="92" t="s">
        <v>440</v>
      </c>
      <c r="BQ6" s="92"/>
      <c r="BR6" s="92">
        <v>0</v>
      </c>
      <c r="BS6" s="93" t="s">
        <v>441</v>
      </c>
      <c r="BT6" s="93"/>
      <c r="BU6" s="110">
        <f ca="1">$M$10+$FS$8+$BX$14</f>
        <v>0</v>
      </c>
      <c r="BV6" s="93"/>
      <c r="BW6" s="93" t="s">
        <v>535</v>
      </c>
      <c r="BX6" s="110">
        <f ca="1">BD9</f>
        <v>0</v>
      </c>
      <c r="BY6" s="93"/>
      <c r="BZ6" s="84"/>
      <c r="CA6" s="84"/>
      <c r="CB6" s="84"/>
      <c r="CC6" s="84"/>
      <c r="CD6" s="84"/>
      <c r="CE6" s="84"/>
      <c r="CF6" s="84"/>
      <c r="CG6" s="84"/>
      <c r="CH6" s="84"/>
      <c r="CI6" s="84"/>
      <c r="CJ6" s="104"/>
      <c r="CK6" s="105" t="s">
        <v>346</v>
      </c>
      <c r="CL6" s="106" t="s">
        <v>347</v>
      </c>
      <c r="CM6" s="111" t="s">
        <v>298</v>
      </c>
      <c r="CN6" s="112" t="s">
        <v>298</v>
      </c>
      <c r="CO6" s="112" t="s">
        <v>342</v>
      </c>
      <c r="CP6" s="112"/>
      <c r="CQ6" s="112" t="s">
        <v>343</v>
      </c>
      <c r="CR6" s="112"/>
      <c r="CS6" s="112" t="s">
        <v>378</v>
      </c>
      <c r="CT6" s="112"/>
      <c r="CU6" s="112" t="s">
        <v>379</v>
      </c>
      <c r="CV6" s="112"/>
      <c r="CW6" s="112" t="s">
        <v>344</v>
      </c>
      <c r="CX6" s="112" t="s">
        <v>345</v>
      </c>
      <c r="CY6" s="113" t="s">
        <v>364</v>
      </c>
      <c r="CZ6" s="84">
        <v>25</v>
      </c>
      <c r="DA6" s="84" t="s">
        <v>389</v>
      </c>
      <c r="DB6" s="84"/>
      <c r="DC6" s="84" t="s">
        <v>399</v>
      </c>
      <c r="DL6" s="49">
        <f t="shared" ref="DL6:DL19" si="11">IFERROR(VLOOKUP(B18,$T$7:$U$19,2,FALSE),0)</f>
        <v>0</v>
      </c>
      <c r="DM6" s="49">
        <f t="shared" ref="DM6:DM19" si="12">IF(D18="F125 Dagactiviteit LZA","Minuten",0)</f>
        <v>0</v>
      </c>
      <c r="DN6" s="49">
        <f>IF(DM6="minuten",DM6,DL6)</f>
        <v>0</v>
      </c>
      <c r="DO6" s="49">
        <f>E18</f>
        <v>0</v>
      </c>
      <c r="DP6" s="49" t="s">
        <v>631</v>
      </c>
      <c r="DS6" s="49" t="s">
        <v>633</v>
      </c>
      <c r="DT6" s="49" t="s">
        <v>672</v>
      </c>
      <c r="DV6" s="95" t="s">
        <v>1468</v>
      </c>
      <c r="DW6" s="96" t="s">
        <v>357</v>
      </c>
      <c r="DX6" s="49" t="s">
        <v>432</v>
      </c>
      <c r="DY6" s="49">
        <v>0</v>
      </c>
      <c r="DZ6" s="114">
        <v>12.5</v>
      </c>
      <c r="EB6" s="49" t="s">
        <v>703</v>
      </c>
      <c r="EC6" s="49">
        <f>IFERROR(IF(DU2="ja",VLOOKUP($G$10,$DV$2:$DZ$35,4,FALSE),VLOOKUP($G$10,$DV$36:$DZ$83,4,FALSE)),0)</f>
        <v>0</v>
      </c>
      <c r="EL6" s="49" t="s">
        <v>1312</v>
      </c>
      <c r="EO6" s="103" t="s">
        <v>379</v>
      </c>
      <c r="EP6" s="103" t="s">
        <v>400</v>
      </c>
      <c r="EQ6" s="103" t="s">
        <v>400</v>
      </c>
      <c r="ER6" s="103" t="s">
        <v>400</v>
      </c>
      <c r="ES6" s="82"/>
      <c r="ET6" s="82"/>
      <c r="EU6" s="49" t="s">
        <v>948</v>
      </c>
      <c r="EW6" s="49" t="s">
        <v>769</v>
      </c>
      <c r="EX6" s="49" t="s">
        <v>881</v>
      </c>
      <c r="FB6" s="49" t="s">
        <v>644</v>
      </c>
      <c r="FC6" s="49" t="s">
        <v>770</v>
      </c>
      <c r="FD6" s="49" t="s">
        <v>1160</v>
      </c>
      <c r="FE6" s="49" t="str">
        <f t="shared" si="0"/>
        <v>5vvOpname</v>
      </c>
      <c r="FF6" s="70">
        <f t="shared" si="1"/>
        <v>336.73</v>
      </c>
      <c r="FG6" s="70">
        <f t="shared" si="3"/>
        <v>2357.11</v>
      </c>
      <c r="FL6" s="95" t="s">
        <v>1471</v>
      </c>
      <c r="FM6" s="49">
        <v>1</v>
      </c>
      <c r="FQ6" s="49">
        <v>4</v>
      </c>
      <c r="FX6" s="49">
        <f t="shared" si="2"/>
        <v>0</v>
      </c>
      <c r="FY6" s="49">
        <f t="shared" si="9"/>
        <v>0</v>
      </c>
      <c r="FZ6" s="49">
        <f t="shared" si="10"/>
        <v>0</v>
      </c>
      <c r="GA6" s="49">
        <f t="shared" si="4"/>
        <v>0</v>
      </c>
      <c r="GB6" s="49" t="str">
        <f t="shared" si="5"/>
        <v/>
      </c>
      <c r="GC6" s="49">
        <f t="shared" si="6"/>
        <v>0</v>
      </c>
      <c r="GD6" s="49">
        <f t="shared" si="7"/>
        <v>0</v>
      </c>
      <c r="GE6" s="49" t="str">
        <f t="shared" si="8"/>
        <v>Nee</v>
      </c>
    </row>
    <row r="7" spans="1:187" ht="19.5" customHeight="1" thickBot="1">
      <c r="A7" s="206"/>
      <c r="B7" s="238"/>
      <c r="C7" s="238"/>
      <c r="D7" s="238"/>
      <c r="E7" s="206"/>
      <c r="F7" s="206"/>
      <c r="G7" s="207"/>
      <c r="H7" s="207"/>
      <c r="I7" s="206"/>
      <c r="J7" s="206"/>
      <c r="K7" s="206"/>
      <c r="L7" s="206"/>
      <c r="M7" s="344">
        <f>FS3</f>
        <v>0</v>
      </c>
      <c r="N7" s="345" t="s">
        <v>1409</v>
      </c>
      <c r="O7" s="346"/>
      <c r="P7" s="206"/>
      <c r="Q7" s="206"/>
      <c r="R7" s="206"/>
      <c r="S7" s="206"/>
      <c r="T7" s="115" t="s">
        <v>378</v>
      </c>
      <c r="U7" s="116" t="s">
        <v>401</v>
      </c>
      <c r="V7" s="117" t="s">
        <v>370</v>
      </c>
      <c r="W7" s="118" t="s">
        <v>371</v>
      </c>
      <c r="X7" s="118" t="s">
        <v>1466</v>
      </c>
      <c r="Y7" s="118" t="s">
        <v>369</v>
      </c>
      <c r="Z7" s="118" t="s">
        <v>368</v>
      </c>
      <c r="AA7" s="119" t="s">
        <v>372</v>
      </c>
      <c r="AB7" s="51">
        <v>0.7</v>
      </c>
      <c r="AC7" s="52" t="s">
        <v>361</v>
      </c>
      <c r="AD7" s="52" t="s">
        <v>363</v>
      </c>
      <c r="AE7" s="52" t="s">
        <v>362</v>
      </c>
      <c r="AF7" s="52" t="s">
        <v>1395</v>
      </c>
      <c r="AG7" s="52" t="s">
        <v>595</v>
      </c>
      <c r="AH7" s="52" t="s">
        <v>358</v>
      </c>
      <c r="AI7" s="52" t="s">
        <v>343</v>
      </c>
      <c r="AJ7" s="52" t="s">
        <v>342</v>
      </c>
      <c r="AK7" s="53" t="s">
        <v>715</v>
      </c>
      <c r="AL7" s="53" t="s">
        <v>16</v>
      </c>
      <c r="AM7" s="53" t="s">
        <v>1153</v>
      </c>
      <c r="AN7" s="53" t="s">
        <v>373</v>
      </c>
      <c r="AO7" s="84" t="s">
        <v>413</v>
      </c>
      <c r="AP7" s="99" t="s">
        <v>376</v>
      </c>
      <c r="AQ7" s="99" t="s">
        <v>365</v>
      </c>
      <c r="AR7" s="84" t="s">
        <v>409</v>
      </c>
      <c r="AS7" s="99" t="s">
        <v>411</v>
      </c>
      <c r="AT7" s="84" t="s">
        <v>410</v>
      </c>
      <c r="AU7" s="84" t="s">
        <v>412</v>
      </c>
      <c r="AV7" s="84"/>
      <c r="AW7" s="84" t="s">
        <v>376</v>
      </c>
      <c r="AX7" s="84" t="s">
        <v>421</v>
      </c>
      <c r="AY7" s="79" t="s">
        <v>490</v>
      </c>
      <c r="AZ7" s="49" t="s">
        <v>5</v>
      </c>
      <c r="BA7" s="120">
        <f t="shared" ref="BA7:BA38" si="13">VLOOKUP(AZ7,Tarieven_ZIN1,2,0)</f>
        <v>13.94</v>
      </c>
      <c r="BB7" s="121"/>
      <c r="BC7" s="87" t="s">
        <v>426</v>
      </c>
      <c r="BD7" s="122">
        <f ca="1">SUMIF($B$18:$G$31,"Bhind",$I$18:$I$31)</f>
        <v>0</v>
      </c>
      <c r="BE7" s="95" t="s">
        <v>350</v>
      </c>
      <c r="BF7" s="123">
        <v>860</v>
      </c>
      <c r="BG7" s="96" t="s">
        <v>357</v>
      </c>
      <c r="BH7" s="124">
        <v>1</v>
      </c>
      <c r="BI7" s="125">
        <f>BH7/365*7</f>
        <v>1.9178082191780823E-2</v>
      </c>
      <c r="BJ7" s="107" t="s">
        <v>431</v>
      </c>
      <c r="BK7" s="107" t="e">
        <f>VLOOKUP(G10,BE7:BI54,5,FALSE)</f>
        <v>#N/A</v>
      </c>
      <c r="BL7" s="126" t="s">
        <v>317</v>
      </c>
      <c r="BM7" s="89">
        <f>VLOOKUP(BL7,'Ruimte behandeling basis MPT'!$A$2:$H$46,8,FALSE)</f>
        <v>0</v>
      </c>
      <c r="BN7" s="90" t="s">
        <v>530</v>
      </c>
      <c r="BO7" s="109">
        <f>$M$6*25%</f>
        <v>0</v>
      </c>
      <c r="BP7" s="92"/>
      <c r="BQ7" s="92"/>
      <c r="BR7" s="127" t="e">
        <f>BK7</f>
        <v>#N/A</v>
      </c>
      <c r="BS7" s="93" t="s">
        <v>442</v>
      </c>
      <c r="BT7" s="93"/>
      <c r="BU7" s="110">
        <f ca="1">I32</f>
        <v>0</v>
      </c>
      <c r="BV7" s="93"/>
      <c r="BW7" s="93"/>
      <c r="BX7" s="93"/>
      <c r="BY7" s="93"/>
      <c r="BZ7" s="102" t="s">
        <v>376</v>
      </c>
      <c r="CA7" s="102" t="s">
        <v>449</v>
      </c>
      <c r="CB7" s="102" t="s">
        <v>365</v>
      </c>
      <c r="CC7" s="128" t="s">
        <v>450</v>
      </c>
      <c r="CD7" s="102" t="s">
        <v>451</v>
      </c>
      <c r="CE7" s="128"/>
      <c r="CF7" s="128"/>
      <c r="CG7" s="128"/>
      <c r="CH7" s="128"/>
      <c r="CI7" s="128"/>
      <c r="CJ7" s="95" t="s">
        <v>350</v>
      </c>
      <c r="CK7" s="123" t="s">
        <v>466</v>
      </c>
      <c r="CL7" s="129" t="s">
        <v>341</v>
      </c>
      <c r="CM7" s="130"/>
      <c r="CN7" s="131" t="s">
        <v>346</v>
      </c>
      <c r="CO7" s="131"/>
      <c r="CP7" s="131"/>
      <c r="CQ7" s="131"/>
      <c r="CR7" s="131"/>
      <c r="CS7" s="131"/>
      <c r="CT7" s="131"/>
      <c r="CU7" s="131"/>
      <c r="CV7" s="131"/>
      <c r="CW7" s="131" t="s">
        <v>348</v>
      </c>
      <c r="CX7" s="131"/>
      <c r="DA7" s="49" t="s">
        <v>461</v>
      </c>
      <c r="DB7" s="49" t="s">
        <v>462</v>
      </c>
      <c r="DC7" s="49" t="s">
        <v>460</v>
      </c>
      <c r="DF7" s="49" t="e">
        <f>VLOOKUP(G$10,$CJ$7:$CL$54,2,FALSE)</f>
        <v>#N/A</v>
      </c>
      <c r="DI7" s="49" t="str">
        <f>IF(G10="10VV",DH9,DI9)</f>
        <v>Lijst4</v>
      </c>
      <c r="DL7" s="49">
        <f t="shared" si="11"/>
        <v>0</v>
      </c>
      <c r="DM7" s="49">
        <f t="shared" si="12"/>
        <v>0</v>
      </c>
      <c r="DN7" s="49">
        <f t="shared" ref="DN7:DN19" si="14">IF(DM7="minuten",DM7,DL7)</f>
        <v>0</v>
      </c>
      <c r="DO7" s="49">
        <f t="shared" ref="DO7:DO16" si="15">E19</f>
        <v>0</v>
      </c>
      <c r="DP7" s="132" t="s">
        <v>672</v>
      </c>
      <c r="DQ7" s="132" t="s">
        <v>673</v>
      </c>
      <c r="DR7" s="132" t="s">
        <v>674</v>
      </c>
      <c r="DS7" s="49" t="s">
        <v>634</v>
      </c>
      <c r="DT7" s="49" t="s">
        <v>672</v>
      </c>
      <c r="DV7" s="95" t="s">
        <v>1469</v>
      </c>
      <c r="DW7" s="96" t="s">
        <v>357</v>
      </c>
      <c r="DX7" s="49" t="s">
        <v>432</v>
      </c>
      <c r="DY7" s="49">
        <v>0</v>
      </c>
      <c r="DZ7" s="49">
        <v>16</v>
      </c>
      <c r="EL7" s="49" t="s">
        <v>1148</v>
      </c>
      <c r="EO7" s="103" t="s">
        <v>400</v>
      </c>
      <c r="EP7" s="189" t="s">
        <v>381</v>
      </c>
      <c r="EQ7" s="189" t="s">
        <v>381</v>
      </c>
      <c r="ER7" s="148" t="s">
        <v>381</v>
      </c>
      <c r="ES7" s="82"/>
      <c r="ET7" s="82"/>
      <c r="EU7" s="49" t="s">
        <v>1149</v>
      </c>
      <c r="EW7" s="49" t="s">
        <v>762</v>
      </c>
      <c r="EX7" s="49" t="s">
        <v>722</v>
      </c>
      <c r="FB7" s="49" t="s">
        <v>645</v>
      </c>
      <c r="FC7" s="49" t="s">
        <v>771</v>
      </c>
      <c r="FD7" s="49" t="s">
        <v>1160</v>
      </c>
      <c r="FE7" s="49" t="str">
        <f t="shared" si="0"/>
        <v>6vvOpname</v>
      </c>
      <c r="FF7" s="70">
        <f t="shared" si="1"/>
        <v>313.70999999999998</v>
      </c>
      <c r="FG7" s="70">
        <f t="shared" si="3"/>
        <v>2195.9699999999998</v>
      </c>
      <c r="FH7" s="49" t="str">
        <f>IF(F5="Deeltijd verblijf icm zorg thuis",CONCATENATE(G10,FH1),CONCATENATE(G10,F5))</f>
        <v/>
      </c>
      <c r="FI7" s="49">
        <f>IFERROR(VLOOKUP(FH7,FE2:FG136,3,FALSE),0)</f>
        <v>0</v>
      </c>
      <c r="FL7" s="95" t="s">
        <v>355</v>
      </c>
      <c r="FM7" s="49">
        <v>2</v>
      </c>
      <c r="FQ7" s="49">
        <v>4.5</v>
      </c>
      <c r="FX7" s="49">
        <f t="shared" si="2"/>
        <v>0</v>
      </c>
      <c r="FY7" s="49">
        <f t="shared" si="9"/>
        <v>0</v>
      </c>
      <c r="FZ7" s="49">
        <f t="shared" si="10"/>
        <v>0</v>
      </c>
      <c r="GA7" s="49">
        <f t="shared" si="4"/>
        <v>0</v>
      </c>
      <c r="GB7" s="49" t="str">
        <f t="shared" si="5"/>
        <v/>
      </c>
      <c r="GC7" s="49">
        <f t="shared" si="6"/>
        <v>0</v>
      </c>
      <c r="GD7" s="49">
        <f t="shared" si="7"/>
        <v>0</v>
      </c>
      <c r="GE7" s="49" t="str">
        <f t="shared" si="8"/>
        <v>Nee</v>
      </c>
    </row>
    <row r="8" spans="1:187" ht="19.5" customHeight="1" thickBot="1">
      <c r="A8" s="206"/>
      <c r="B8" s="237" t="s">
        <v>502</v>
      </c>
      <c r="C8" s="243"/>
      <c r="D8" s="243"/>
      <c r="E8" s="214"/>
      <c r="F8" s="214"/>
      <c r="G8" s="530"/>
      <c r="H8" s="530"/>
      <c r="I8" s="536" t="s">
        <v>1152</v>
      </c>
      <c r="J8" s="537"/>
      <c r="K8" s="537"/>
      <c r="L8" s="537"/>
      <c r="M8" s="262"/>
      <c r="N8" s="270" t="str">
        <f>IFERROR(IF(F5="MPT",M8/M6,M8/U1)," ")</f>
        <v xml:space="preserve"> </v>
      </c>
      <c r="O8" s="246" t="s">
        <v>1209</v>
      </c>
      <c r="P8" s="193"/>
      <c r="Q8" s="206"/>
      <c r="R8" s="206"/>
      <c r="S8" s="206"/>
      <c r="T8" s="134" t="s">
        <v>342</v>
      </c>
      <c r="U8" s="135" t="s">
        <v>401</v>
      </c>
      <c r="V8" s="136" t="s">
        <v>317</v>
      </c>
      <c r="W8" s="137" t="s">
        <v>320</v>
      </c>
      <c r="X8" s="138" t="s">
        <v>1467</v>
      </c>
      <c r="Y8" s="138" t="s">
        <v>335</v>
      </c>
      <c r="Z8" s="138" t="s">
        <v>301</v>
      </c>
      <c r="AA8" s="139" t="s">
        <v>312</v>
      </c>
      <c r="AB8" s="54">
        <v>0.92</v>
      </c>
      <c r="AC8" s="55" t="s">
        <v>493</v>
      </c>
      <c r="AD8" s="49" t="s">
        <v>471</v>
      </c>
      <c r="AE8" s="56" t="s">
        <v>490</v>
      </c>
      <c r="AF8" s="56" t="s">
        <v>1353</v>
      </c>
      <c r="AG8" s="57" t="s">
        <v>1164</v>
      </c>
      <c r="AH8" s="58" t="s">
        <v>1600</v>
      </c>
      <c r="AI8" s="49" t="s">
        <v>474</v>
      </c>
      <c r="AJ8" s="49" t="s">
        <v>476</v>
      </c>
      <c r="AK8" s="49" t="s">
        <v>758</v>
      </c>
      <c r="AL8" s="49" t="s">
        <v>718</v>
      </c>
      <c r="AM8" s="49" t="s">
        <v>549</v>
      </c>
      <c r="AN8" s="59" t="s">
        <v>542</v>
      </c>
      <c r="AO8" s="84">
        <v>0</v>
      </c>
      <c r="AP8" s="84" t="s">
        <v>390</v>
      </c>
      <c r="AQ8" s="99" t="s">
        <v>378</v>
      </c>
      <c r="AR8" s="84">
        <f>SUMIF($B$18:$B$31,"bgind",$F$18:$F$31)</f>
        <v>0</v>
      </c>
      <c r="AS8" s="84">
        <f>AR8/60</f>
        <v>0</v>
      </c>
      <c r="AT8" s="84">
        <f>FLOOR(AS8,1)</f>
        <v>0</v>
      </c>
      <c r="AU8" s="84">
        <f>IF(AR8&gt;0,1,0)</f>
        <v>0</v>
      </c>
      <c r="AV8" s="84">
        <f>IF(AT8+AU8&lt;=1,AU8,AT8)</f>
        <v>0</v>
      </c>
      <c r="AW8" s="84" t="str">
        <f>IFERROR(VLOOKUP(AV8,$AO$8:$AP$33,2,FALSE),"K8")</f>
        <v>Nvt</v>
      </c>
      <c r="AX8" s="84"/>
      <c r="AY8" s="79" t="s">
        <v>474</v>
      </c>
      <c r="AZ8" s="49" t="s">
        <v>9</v>
      </c>
      <c r="BA8" s="120">
        <f t="shared" si="13"/>
        <v>82.5</v>
      </c>
      <c r="BB8" s="121"/>
      <c r="BC8" s="87" t="s">
        <v>424</v>
      </c>
      <c r="BD8" s="122">
        <f ca="1">SUMIF($B$18:$G$31,"Bhgrp",$I$18:$I$31)</f>
        <v>0</v>
      </c>
      <c r="BE8" s="95" t="s">
        <v>351</v>
      </c>
      <c r="BF8" s="123">
        <v>862</v>
      </c>
      <c r="BG8" s="96" t="s">
        <v>357</v>
      </c>
      <c r="BH8" s="124">
        <v>1</v>
      </c>
      <c r="BI8" s="125">
        <f t="shared" ref="BI8:BI41" si="16">BH8/365*7</f>
        <v>1.9178082191780823E-2</v>
      </c>
      <c r="BJ8" s="107"/>
      <c r="BK8" s="107"/>
      <c r="BL8" s="126" t="s">
        <v>318</v>
      </c>
      <c r="BM8" s="89">
        <f>VLOOKUP(BL8,'Ruimte behandeling basis MPT'!$A$2:$H$46,8,FALSE)</f>
        <v>0</v>
      </c>
      <c r="BN8" s="140" t="s">
        <v>504</v>
      </c>
      <c r="BO8" s="109">
        <f>$M$6*25%</f>
        <v>0</v>
      </c>
      <c r="BP8" s="92"/>
      <c r="BQ8" s="92"/>
      <c r="BR8" s="141">
        <f>IFERROR(VLOOKUP(G10,BN16:BR31,5,FALSE),0)</f>
        <v>0</v>
      </c>
      <c r="BS8" s="93"/>
      <c r="BT8" s="93"/>
      <c r="BU8" s="110">
        <f ca="1">(2+BU6)-BU7</f>
        <v>2</v>
      </c>
      <c r="BV8" s="93"/>
      <c r="BW8" s="93"/>
      <c r="BX8" s="93"/>
      <c r="BY8" s="93"/>
      <c r="BZ8" s="128" t="s">
        <v>448</v>
      </c>
      <c r="CA8" s="128">
        <v>0.5</v>
      </c>
      <c r="CB8" s="142" t="s">
        <v>378</v>
      </c>
      <c r="CC8" s="361">
        <v>0</v>
      </c>
      <c r="CD8" s="143" t="s">
        <v>258</v>
      </c>
      <c r="CE8" s="128"/>
      <c r="CF8" s="128"/>
      <c r="CG8" s="128"/>
      <c r="CH8" s="128"/>
      <c r="CI8" s="128"/>
      <c r="CJ8" s="95" t="s">
        <v>351</v>
      </c>
      <c r="CK8" s="123" t="s">
        <v>466</v>
      </c>
      <c r="CL8" s="129" t="s">
        <v>341</v>
      </c>
      <c r="CM8" s="144" t="s">
        <v>1528</v>
      </c>
      <c r="CN8" s="145">
        <v>860</v>
      </c>
      <c r="CO8" s="380">
        <v>0</v>
      </c>
      <c r="CP8" s="146">
        <f>CO8/52</f>
        <v>0</v>
      </c>
      <c r="CQ8" s="380">
        <v>0</v>
      </c>
      <c r="CR8" s="146">
        <f>CQ8/52</f>
        <v>0</v>
      </c>
      <c r="CS8" s="380">
        <v>0</v>
      </c>
      <c r="CT8" s="146">
        <f>CS8/52</f>
        <v>0</v>
      </c>
      <c r="CU8" s="380">
        <v>0</v>
      </c>
      <c r="CV8" s="146">
        <f>CU8/52</f>
        <v>0</v>
      </c>
      <c r="CW8" s="380">
        <v>0</v>
      </c>
      <c r="CX8" s="380">
        <v>0</v>
      </c>
      <c r="CY8" s="380">
        <v>0</v>
      </c>
      <c r="CZ8" s="99" t="s">
        <v>378</v>
      </c>
      <c r="DA8" s="84">
        <f>SUMIF($B$18:$B$31,"bgind",$F$18:$F$31)</f>
        <v>0</v>
      </c>
      <c r="DB8" s="84">
        <f>DA8/60</f>
        <v>0</v>
      </c>
      <c r="DC8" s="49">
        <v>25</v>
      </c>
      <c r="DD8" s="49">
        <f>DB8-DC8</f>
        <v>-25</v>
      </c>
      <c r="DE8" s="49">
        <f t="shared" ref="DE8:DE14" si="17">IF(DD8&gt;0,DD8,0)</f>
        <v>0</v>
      </c>
      <c r="DL8" s="49">
        <f t="shared" si="11"/>
        <v>0</v>
      </c>
      <c r="DM8" s="49">
        <f t="shared" si="12"/>
        <v>0</v>
      </c>
      <c r="DN8" s="49">
        <f t="shared" si="14"/>
        <v>0</v>
      </c>
      <c r="DO8" s="49">
        <f t="shared" si="15"/>
        <v>0</v>
      </c>
      <c r="DP8" s="56" t="s">
        <v>490</v>
      </c>
      <c r="DQ8" s="56" t="s">
        <v>490</v>
      </c>
      <c r="DR8" s="56" t="s">
        <v>490</v>
      </c>
      <c r="DS8" s="56" t="s">
        <v>635</v>
      </c>
      <c r="DT8" s="49" t="s">
        <v>672</v>
      </c>
      <c r="DV8" s="95" t="s">
        <v>1470</v>
      </c>
      <c r="DW8" s="96" t="s">
        <v>357</v>
      </c>
      <c r="DX8" s="49" t="s">
        <v>357</v>
      </c>
      <c r="DY8" s="49">
        <v>0</v>
      </c>
      <c r="DZ8" s="114">
        <v>18.5</v>
      </c>
      <c r="EL8" s="49" t="s">
        <v>1151</v>
      </c>
      <c r="EO8" s="189" t="s">
        <v>381</v>
      </c>
      <c r="EP8" s="133" t="s">
        <v>595</v>
      </c>
      <c r="EQ8" s="133" t="s">
        <v>595</v>
      </c>
      <c r="ER8" s="133" t="s">
        <v>595</v>
      </c>
      <c r="ES8" s="82"/>
      <c r="ET8" s="82"/>
      <c r="EW8" s="49" t="s">
        <v>770</v>
      </c>
      <c r="EX8" s="49" t="s">
        <v>882</v>
      </c>
      <c r="FB8" s="49" t="s">
        <v>646</v>
      </c>
      <c r="FC8" s="49" t="s">
        <v>772</v>
      </c>
      <c r="FD8" s="49" t="s">
        <v>1160</v>
      </c>
      <c r="FE8" s="49" t="str">
        <f t="shared" si="0"/>
        <v>7vvOpname</v>
      </c>
      <c r="FF8" s="70">
        <f t="shared" si="1"/>
        <v>407.78</v>
      </c>
      <c r="FG8" s="70">
        <f t="shared" si="3"/>
        <v>2854.46</v>
      </c>
      <c r="FL8" s="95" t="s">
        <v>356</v>
      </c>
      <c r="FM8" s="49">
        <v>2</v>
      </c>
      <c r="FR8" s="49" t="s">
        <v>1299</v>
      </c>
      <c r="FS8" s="232">
        <f>IF(OR($Q$22="",$Q$22="Nee",$BN$12&lt;0),0,FS3/100*25)</f>
        <v>0</v>
      </c>
      <c r="FX8" s="49">
        <f t="shared" si="2"/>
        <v>0</v>
      </c>
      <c r="FY8" s="49">
        <f t="shared" si="9"/>
        <v>0</v>
      </c>
      <c r="FZ8" s="49">
        <f t="shared" si="10"/>
        <v>0</v>
      </c>
      <c r="GA8" s="49">
        <f t="shared" si="4"/>
        <v>0</v>
      </c>
      <c r="GB8" s="49" t="str">
        <f t="shared" si="5"/>
        <v/>
      </c>
      <c r="GC8" s="49">
        <f t="shared" si="6"/>
        <v>0</v>
      </c>
      <c r="GD8" s="49">
        <f t="shared" si="7"/>
        <v>0</v>
      </c>
      <c r="GE8" s="49" t="str">
        <f t="shared" si="8"/>
        <v>Nee</v>
      </c>
    </row>
    <row r="9" spans="1:187" ht="19.5" customHeight="1" thickBot="1">
      <c r="A9" s="206"/>
      <c r="B9" s="243"/>
      <c r="C9" s="243"/>
      <c r="D9" s="243"/>
      <c r="E9" s="214"/>
      <c r="F9" s="214"/>
      <c r="G9" s="208"/>
      <c r="H9" s="208"/>
      <c r="I9" s="533"/>
      <c r="J9" s="533"/>
      <c r="K9" s="533"/>
      <c r="L9" s="533"/>
      <c r="M9" s="230" t="s">
        <v>1436</v>
      </c>
      <c r="N9" s="206"/>
      <c r="O9" s="206"/>
      <c r="P9" s="221"/>
      <c r="Q9" s="221"/>
      <c r="R9" s="221"/>
      <c r="S9" s="206"/>
      <c r="T9" s="134" t="s">
        <v>343</v>
      </c>
      <c r="U9" s="135" t="s">
        <v>401</v>
      </c>
      <c r="V9" s="271" t="s">
        <v>318</v>
      </c>
      <c r="W9" s="137" t="s">
        <v>321</v>
      </c>
      <c r="X9" s="138" t="s">
        <v>1468</v>
      </c>
      <c r="Y9" s="138" t="s">
        <v>336</v>
      </c>
      <c r="Z9" s="138" t="s">
        <v>302</v>
      </c>
      <c r="AA9" s="139" t="s">
        <v>313</v>
      </c>
      <c r="AB9" s="54">
        <v>0.92500000000000004</v>
      </c>
      <c r="AC9" s="55" t="s">
        <v>484</v>
      </c>
      <c r="AD9" s="49" t="s">
        <v>1607</v>
      </c>
      <c r="AE9" s="56" t="s">
        <v>488</v>
      </c>
      <c r="AF9" s="56" t="s">
        <v>1354</v>
      </c>
      <c r="AG9" s="57"/>
      <c r="AH9" s="58" t="s">
        <v>1741</v>
      </c>
      <c r="AI9" s="49" t="s">
        <v>1163</v>
      </c>
      <c r="AJ9" s="49" t="s">
        <v>477</v>
      </c>
      <c r="AK9" s="49" t="s">
        <v>759</v>
      </c>
      <c r="AL9" s="49" t="s">
        <v>719</v>
      </c>
      <c r="AM9" s="49" t="s">
        <v>1249</v>
      </c>
      <c r="AN9" s="59" t="s">
        <v>479</v>
      </c>
      <c r="AO9" s="84">
        <v>1</v>
      </c>
      <c r="AP9" s="84" t="s">
        <v>382</v>
      </c>
      <c r="AQ9" s="99" t="s">
        <v>342</v>
      </c>
      <c r="AR9" s="84">
        <f>SUMIF($B$18:$B$31,"PV",$F$18:$F$31)</f>
        <v>0</v>
      </c>
      <c r="AS9" s="84">
        <f>AR9/60</f>
        <v>0</v>
      </c>
      <c r="AT9" s="84">
        <f>FLOOR(AS9,1)</f>
        <v>0</v>
      </c>
      <c r="AU9" s="84">
        <f>IF(AR9&gt;0,1,0)</f>
        <v>0</v>
      </c>
      <c r="AV9" s="84">
        <f>IF(AT9+AU9&lt;=1,AU9,AT9)</f>
        <v>0</v>
      </c>
      <c r="AW9" s="84" t="str">
        <f>IFERROR(VLOOKUP(AV9,AO8:AP33,2,FALSE),"k8")</f>
        <v>Nvt</v>
      </c>
      <c r="AX9" s="84"/>
      <c r="AY9" s="79" t="s">
        <v>1163</v>
      </c>
      <c r="AZ9" s="49" t="s">
        <v>15</v>
      </c>
      <c r="BA9" s="120">
        <f t="shared" si="13"/>
        <v>103.47</v>
      </c>
      <c r="BB9" s="121"/>
      <c r="BC9" s="87" t="s">
        <v>425</v>
      </c>
      <c r="BD9" s="122">
        <f ca="1">SUMIF($B$18:$G$31,"logeren",$I$18:$I$31)</f>
        <v>0</v>
      </c>
      <c r="BE9" s="95" t="s">
        <v>1467</v>
      </c>
      <c r="BF9" s="123">
        <v>864</v>
      </c>
      <c r="BG9" s="96" t="s">
        <v>357</v>
      </c>
      <c r="BH9" s="124">
        <f t="shared" ref="BH9:BH38" si="18">VLOOKUP(BE9,Tarieven_PGB0,13,FALSE)</f>
        <v>50059</v>
      </c>
      <c r="BI9" s="125">
        <f t="shared" si="16"/>
        <v>960.03561643835621</v>
      </c>
      <c r="BJ9" s="107"/>
      <c r="BK9" s="107"/>
      <c r="BL9" s="126" t="s">
        <v>319</v>
      </c>
      <c r="BM9" s="89">
        <f>VLOOKUP(BL9,'Ruimte behandeling basis MPT'!$A$2:$H$46,8,FALSE)</f>
        <v>178.5</v>
      </c>
      <c r="BN9" s="140" t="s">
        <v>604</v>
      </c>
      <c r="BO9" s="109">
        <f>$M$6*25%</f>
        <v>0</v>
      </c>
      <c r="BP9" s="141" t="e">
        <f>BR7-BR8</f>
        <v>#N/A</v>
      </c>
      <c r="BQ9" s="92"/>
      <c r="BR9" s="141"/>
      <c r="BS9" s="93">
        <f ca="1">IF(BU8&gt;=0,1,0)</f>
        <v>1</v>
      </c>
      <c r="BT9" s="93"/>
      <c r="BU9" s="93"/>
      <c r="BV9" s="93"/>
      <c r="BW9" s="93"/>
      <c r="BX9" s="93"/>
      <c r="BY9" s="93"/>
      <c r="BZ9" s="128" t="s">
        <v>382</v>
      </c>
      <c r="CA9" s="128">
        <v>1</v>
      </c>
      <c r="CB9" s="142" t="s">
        <v>342</v>
      </c>
      <c r="CC9" s="361">
        <v>0</v>
      </c>
      <c r="CD9" s="143" t="s">
        <v>6</v>
      </c>
      <c r="CE9" s="128"/>
      <c r="CF9" s="128"/>
      <c r="CG9" s="128"/>
      <c r="CH9" s="128"/>
      <c r="CI9" s="128"/>
      <c r="CJ9" s="95" t="s">
        <v>352</v>
      </c>
      <c r="CK9" s="123" t="s">
        <v>466</v>
      </c>
      <c r="CL9" s="129" t="s">
        <v>341</v>
      </c>
      <c r="CM9" s="149" t="s">
        <v>1528</v>
      </c>
      <c r="CN9" s="150">
        <v>862</v>
      </c>
      <c r="CO9" s="380">
        <v>0</v>
      </c>
      <c r="CP9" s="146">
        <f t="shared" ref="CP9:CP55" si="19">CO9/52</f>
        <v>0</v>
      </c>
      <c r="CQ9" s="380">
        <v>0</v>
      </c>
      <c r="CR9" s="146">
        <f t="shared" ref="CR9:CR55" si="20">CQ9/52</f>
        <v>0</v>
      </c>
      <c r="CS9" s="380">
        <v>0</v>
      </c>
      <c r="CT9" s="146">
        <f t="shared" ref="CT9:CT55" si="21">CS9/52</f>
        <v>0</v>
      </c>
      <c r="CU9" s="380">
        <v>0</v>
      </c>
      <c r="CV9" s="146">
        <f t="shared" ref="CV9:CV55" si="22">CU9/52</f>
        <v>0</v>
      </c>
      <c r="CW9" s="380">
        <v>0</v>
      </c>
      <c r="CX9" s="380">
        <v>0</v>
      </c>
      <c r="CY9" s="380">
        <v>0</v>
      </c>
      <c r="CZ9" s="99" t="s">
        <v>342</v>
      </c>
      <c r="DA9" s="84">
        <f>SUMIF($B$18:$B$31,"PV",$F$18:$F$31)</f>
        <v>0</v>
      </c>
      <c r="DB9" s="84">
        <f>DA9/60</f>
        <v>0</v>
      </c>
      <c r="DC9" s="49">
        <v>25</v>
      </c>
      <c r="DD9" s="49">
        <f>DB9-DC9</f>
        <v>-25</v>
      </c>
      <c r="DE9" s="49">
        <f t="shared" si="17"/>
        <v>0</v>
      </c>
      <c r="DF9" s="49">
        <v>1</v>
      </c>
      <c r="DG9" s="49">
        <v>2</v>
      </c>
      <c r="DH9" s="49" t="s">
        <v>1296</v>
      </c>
      <c r="DI9" s="49" t="s">
        <v>1295</v>
      </c>
      <c r="DJ9" s="49" t="s">
        <v>606</v>
      </c>
      <c r="DL9" s="49">
        <f t="shared" si="11"/>
        <v>0</v>
      </c>
      <c r="DM9" s="49">
        <f t="shared" si="12"/>
        <v>0</v>
      </c>
      <c r="DN9" s="49">
        <f t="shared" si="14"/>
        <v>0</v>
      </c>
      <c r="DO9" s="49">
        <f t="shared" si="15"/>
        <v>0</v>
      </c>
      <c r="DP9" s="56" t="s">
        <v>488</v>
      </c>
      <c r="DQ9" s="56" t="s">
        <v>488</v>
      </c>
      <c r="DR9" s="56" t="s">
        <v>488</v>
      </c>
      <c r="DS9" s="56" t="s">
        <v>636</v>
      </c>
      <c r="DT9" s="56" t="s">
        <v>673</v>
      </c>
      <c r="DV9" s="95" t="s">
        <v>1471</v>
      </c>
      <c r="DW9" s="96" t="s">
        <v>357</v>
      </c>
      <c r="DX9" s="49" t="s">
        <v>357</v>
      </c>
      <c r="DY9" s="49">
        <v>0</v>
      </c>
      <c r="DZ9" s="49">
        <v>20</v>
      </c>
      <c r="EO9" s="133" t="s">
        <v>595</v>
      </c>
      <c r="EP9" s="189" t="s">
        <v>1395</v>
      </c>
      <c r="EQ9" s="148" t="s">
        <v>1769</v>
      </c>
      <c r="EW9" s="49" t="s">
        <v>763</v>
      </c>
      <c r="EX9" s="49" t="s">
        <v>723</v>
      </c>
      <c r="FB9" s="49" t="s">
        <v>647</v>
      </c>
      <c r="FC9" s="49" t="s">
        <v>773</v>
      </c>
      <c r="FD9" s="49" t="s">
        <v>1160</v>
      </c>
      <c r="FE9" s="49" t="str">
        <f t="shared" si="0"/>
        <v>8vvOpname</v>
      </c>
      <c r="FF9" s="70">
        <f t="shared" si="1"/>
        <v>506.11</v>
      </c>
      <c r="FG9" s="70">
        <f t="shared" si="3"/>
        <v>3542.77</v>
      </c>
      <c r="FL9" s="95" t="s">
        <v>327</v>
      </c>
      <c r="FM9" s="49">
        <v>1</v>
      </c>
      <c r="FR9" s="49" t="s">
        <v>1322</v>
      </c>
      <c r="FS9" s="70">
        <f>IF(OR($Q$22="",$Q$22="Nee",$BN$12&lt;0),0,IF(F5="Deeltijd verblijf icm zorg thuis",FS8/7*'Deeltijd verblijf'!L7,0)+'Deeltijd verblijf'!M6*25%)</f>
        <v>0</v>
      </c>
      <c r="FX9" s="49">
        <f t="shared" si="2"/>
        <v>0</v>
      </c>
      <c r="FY9" s="49">
        <f t="shared" si="9"/>
        <v>0</v>
      </c>
      <c r="FZ9" s="49">
        <f t="shared" si="10"/>
        <v>0</v>
      </c>
      <c r="GA9" s="49">
        <f t="shared" si="4"/>
        <v>0</v>
      </c>
      <c r="GB9" s="49" t="str">
        <f t="shared" si="5"/>
        <v/>
      </c>
      <c r="GC9" s="49">
        <f t="shared" si="6"/>
        <v>0</v>
      </c>
      <c r="GD9" s="49">
        <f t="shared" si="7"/>
        <v>0</v>
      </c>
      <c r="GE9" s="49" t="str">
        <f t="shared" si="8"/>
        <v>Nee</v>
      </c>
    </row>
    <row r="10" spans="1:187" ht="19.5" customHeight="1" thickBot="1">
      <c r="A10" s="206"/>
      <c r="B10" s="237" t="s">
        <v>528</v>
      </c>
      <c r="C10" s="243"/>
      <c r="D10" s="243"/>
      <c r="E10" s="214"/>
      <c r="F10" s="214"/>
      <c r="G10" s="530"/>
      <c r="H10" s="530"/>
      <c r="I10" s="215"/>
      <c r="J10" s="206"/>
      <c r="K10" s="206"/>
      <c r="L10" s="206"/>
      <c r="M10" s="231">
        <f>IF(M8&gt;=0,M6-M8,"fout, PGB bedrag")</f>
        <v>0</v>
      </c>
      <c r="N10" s="251"/>
      <c r="O10" s="492"/>
      <c r="P10" s="493"/>
      <c r="Q10" s="493"/>
      <c r="R10" s="493"/>
      <c r="S10" s="206"/>
      <c r="T10" s="134" t="s">
        <v>379</v>
      </c>
      <c r="U10" s="135" t="s">
        <v>402</v>
      </c>
      <c r="V10" s="271" t="s">
        <v>319</v>
      </c>
      <c r="W10" s="137" t="s">
        <v>323</v>
      </c>
      <c r="X10" s="138" t="s">
        <v>1469</v>
      </c>
      <c r="Y10" s="138" t="s">
        <v>337</v>
      </c>
      <c r="Z10" s="138" t="s">
        <v>303</v>
      </c>
      <c r="AA10" s="139" t="s">
        <v>314</v>
      </c>
      <c r="AB10" s="54">
        <v>0.93</v>
      </c>
      <c r="AC10" s="55" t="s">
        <v>485</v>
      </c>
      <c r="AD10" s="49" t="s">
        <v>472</v>
      </c>
      <c r="AE10" s="56" t="s">
        <v>489</v>
      </c>
      <c r="AF10" s="56" t="s">
        <v>1355</v>
      </c>
      <c r="AG10" s="57"/>
      <c r="AH10" s="58" t="s">
        <v>1601</v>
      </c>
      <c r="AI10" s="49" t="s">
        <v>1417</v>
      </c>
      <c r="AJ10" s="49" t="s">
        <v>541</v>
      </c>
      <c r="AK10" s="49" t="s">
        <v>760</v>
      </c>
      <c r="AL10" s="49" t="s">
        <v>720</v>
      </c>
      <c r="AM10" s="49" t="s">
        <v>1250</v>
      </c>
      <c r="AN10" s="59" t="s">
        <v>543</v>
      </c>
      <c r="AO10" s="84">
        <v>2</v>
      </c>
      <c r="AP10" s="84" t="s">
        <v>383</v>
      </c>
      <c r="AQ10" s="99" t="s">
        <v>343</v>
      </c>
      <c r="AR10" s="84">
        <f>SUMIF($B$18:$B$31,"VP",$F$18:$F$31)</f>
        <v>0</v>
      </c>
      <c r="AS10" s="84">
        <f>AR10/60</f>
        <v>0</v>
      </c>
      <c r="AT10" s="84">
        <f>FLOOR(AS10,1)</f>
        <v>0</v>
      </c>
      <c r="AU10" s="84">
        <f>IF(AR10&gt;0,1,0)</f>
        <v>0</v>
      </c>
      <c r="AV10" s="84">
        <f>IF(AT10+AU10&lt;=1,AU10,AT10)</f>
        <v>0</v>
      </c>
      <c r="AW10" s="84" t="str">
        <f>IF(IFERROR(VLOOKUP(AV10,AO8:AP33,2,FALSE),"K8")="k8","K7",VLOOKUP(AV10,AO8:AP33,2,FALSE))</f>
        <v>Nvt</v>
      </c>
      <c r="AX10" s="84" t="str">
        <f>IF(AND(AS10&lt;1,AU10=1),"K0",AW10)</f>
        <v>Nvt</v>
      </c>
      <c r="AY10" s="32" t="s">
        <v>1417</v>
      </c>
      <c r="AZ10" s="49" t="s">
        <v>1411</v>
      </c>
      <c r="BA10" s="120">
        <f t="shared" si="13"/>
        <v>134.16</v>
      </c>
      <c r="BB10" s="121"/>
      <c r="BC10" s="87"/>
      <c r="BD10" s="122"/>
      <c r="BE10" s="95" t="s">
        <v>1468</v>
      </c>
      <c r="BF10" s="123">
        <v>766</v>
      </c>
      <c r="BG10" s="96" t="s">
        <v>357</v>
      </c>
      <c r="BH10" s="124">
        <f t="shared" si="18"/>
        <v>54282</v>
      </c>
      <c r="BI10" s="125">
        <f t="shared" si="16"/>
        <v>1041.0246575342467</v>
      </c>
      <c r="BJ10" s="107"/>
      <c r="BK10" s="107"/>
      <c r="BL10" s="126" t="s">
        <v>320</v>
      </c>
      <c r="BM10" s="89">
        <f>VLOOKUP(BL10,'Ruimte behandeling basis MPT'!$A$2:$H$46,8,FALSE)</f>
        <v>87.079999999999984</v>
      </c>
      <c r="BN10" s="90" t="s">
        <v>432</v>
      </c>
      <c r="BO10" s="109">
        <v>0</v>
      </c>
      <c r="BP10" s="92"/>
      <c r="BQ10" s="92"/>
      <c r="BR10" s="141" t="e">
        <f>IF(BR7=BR8,BR7,SUM(BR6:BR9))</f>
        <v>#N/A</v>
      </c>
      <c r="BS10" s="93"/>
      <c r="BT10" s="93"/>
      <c r="BU10" s="93"/>
      <c r="BV10" s="93"/>
      <c r="BW10" s="93"/>
      <c r="BX10" s="93"/>
      <c r="BY10" s="93"/>
      <c r="BZ10" s="128" t="s">
        <v>383</v>
      </c>
      <c r="CA10" s="128">
        <v>3</v>
      </c>
      <c r="CB10" s="142" t="s">
        <v>343</v>
      </c>
      <c r="CC10" s="361">
        <v>0</v>
      </c>
      <c r="CD10" s="143" t="s">
        <v>15</v>
      </c>
      <c r="CE10" s="128"/>
      <c r="CF10" s="128"/>
      <c r="CG10" s="128"/>
      <c r="CH10" s="128"/>
      <c r="CI10" s="128"/>
      <c r="CJ10" s="95" t="s">
        <v>353</v>
      </c>
      <c r="CK10" s="123" t="s">
        <v>466</v>
      </c>
      <c r="CL10" s="129" t="s">
        <v>341</v>
      </c>
      <c r="CM10" s="144" t="s">
        <v>1467</v>
      </c>
      <c r="CN10" s="145">
        <v>864</v>
      </c>
      <c r="CO10" s="380">
        <v>0</v>
      </c>
      <c r="CP10" s="146">
        <f t="shared" si="19"/>
        <v>0</v>
      </c>
      <c r="CQ10" s="380">
        <v>0</v>
      </c>
      <c r="CR10" s="146">
        <f t="shared" si="20"/>
        <v>0</v>
      </c>
      <c r="CS10" s="380">
        <v>0</v>
      </c>
      <c r="CT10" s="146">
        <f t="shared" si="21"/>
        <v>0</v>
      </c>
      <c r="CU10" s="380">
        <v>0</v>
      </c>
      <c r="CV10" s="146">
        <f t="shared" si="22"/>
        <v>0</v>
      </c>
      <c r="CW10" s="380">
        <v>0</v>
      </c>
      <c r="CX10" s="380">
        <v>0</v>
      </c>
      <c r="CY10" s="380">
        <v>0</v>
      </c>
      <c r="CZ10" s="99" t="s">
        <v>343</v>
      </c>
      <c r="DA10" s="84">
        <f>SUMIF($B$18:$B$31,"VP",$F$18:$F$31)</f>
        <v>0</v>
      </c>
      <c r="DB10" s="84">
        <f>DA10/60</f>
        <v>0</v>
      </c>
      <c r="DC10" s="49">
        <v>20</v>
      </c>
      <c r="DD10" s="49">
        <f>DB10-DC10</f>
        <v>-20</v>
      </c>
      <c r="DE10" s="49">
        <f t="shared" si="17"/>
        <v>0</v>
      </c>
      <c r="DF10" s="49" t="s">
        <v>465</v>
      </c>
      <c r="DG10" s="49" t="s">
        <v>390</v>
      </c>
      <c r="DL10" s="49">
        <f t="shared" si="11"/>
        <v>0</v>
      </c>
      <c r="DM10" s="49">
        <f t="shared" si="12"/>
        <v>0</v>
      </c>
      <c r="DN10" s="49">
        <f t="shared" si="14"/>
        <v>0</v>
      </c>
      <c r="DO10" s="49">
        <f t="shared" si="15"/>
        <v>0</v>
      </c>
      <c r="DP10" s="56" t="s">
        <v>489</v>
      </c>
      <c r="DQ10" s="56" t="s">
        <v>489</v>
      </c>
      <c r="DR10" s="56" t="s">
        <v>489</v>
      </c>
      <c r="DS10" s="56" t="s">
        <v>637</v>
      </c>
      <c r="DT10" s="56" t="s">
        <v>673</v>
      </c>
      <c r="DV10" s="95" t="s">
        <v>355</v>
      </c>
      <c r="DW10" s="96" t="s">
        <v>357</v>
      </c>
      <c r="DX10" s="49" t="s">
        <v>432</v>
      </c>
      <c r="DY10" s="49">
        <v>0</v>
      </c>
      <c r="DZ10" s="114">
        <v>27</v>
      </c>
      <c r="EL10" s="49">
        <f>IFERROR(VLOOKUP(G10,FL2:FM49,2,FALSE),0)</f>
        <v>0</v>
      </c>
      <c r="EO10" s="148"/>
      <c r="EP10" s="148" t="s">
        <v>358</v>
      </c>
      <c r="ES10" s="49" t="s">
        <v>718</v>
      </c>
      <c r="EW10" s="49" t="s">
        <v>771</v>
      </c>
      <c r="EX10" s="49" t="s">
        <v>883</v>
      </c>
      <c r="FB10" s="49" t="s">
        <v>430</v>
      </c>
      <c r="FC10" s="49" t="s">
        <v>774</v>
      </c>
      <c r="FD10" s="49" t="s">
        <v>1160</v>
      </c>
      <c r="FE10" s="49" t="str">
        <f t="shared" si="0"/>
        <v>9vvbOpname</v>
      </c>
      <c r="FF10" s="70">
        <f t="shared" si="1"/>
        <v>361.59</v>
      </c>
      <c r="FG10" s="70">
        <f t="shared" si="3"/>
        <v>2531.1299999999997</v>
      </c>
      <c r="FL10" s="95" t="s">
        <v>328</v>
      </c>
      <c r="FM10" s="49">
        <v>1</v>
      </c>
      <c r="FR10" s="49" t="s">
        <v>1323</v>
      </c>
      <c r="FS10" s="70">
        <v>0</v>
      </c>
      <c r="FX10" s="49">
        <f t="shared" si="2"/>
        <v>0</v>
      </c>
      <c r="FY10" s="49">
        <f t="shared" si="9"/>
        <v>0</v>
      </c>
      <c r="FZ10" s="49">
        <f t="shared" si="10"/>
        <v>0</v>
      </c>
      <c r="GA10" s="49">
        <f t="shared" si="4"/>
        <v>0</v>
      </c>
      <c r="GB10" s="49" t="str">
        <f t="shared" si="5"/>
        <v/>
      </c>
      <c r="GC10" s="49">
        <f t="shared" si="6"/>
        <v>0</v>
      </c>
      <c r="GD10" s="49">
        <f t="shared" si="7"/>
        <v>0</v>
      </c>
      <c r="GE10" s="49" t="str">
        <f t="shared" si="8"/>
        <v>Nee</v>
      </c>
    </row>
    <row r="11" spans="1:187" ht="19.5" customHeight="1" thickBot="1">
      <c r="A11" s="206"/>
      <c r="B11" s="238"/>
      <c r="C11" s="238"/>
      <c r="D11" s="238"/>
      <c r="E11" s="206"/>
      <c r="F11" s="206"/>
      <c r="G11" s="207"/>
      <c r="H11" s="207"/>
      <c r="I11" s="206"/>
      <c r="J11" s="206"/>
      <c r="K11" s="206"/>
      <c r="L11" s="206"/>
      <c r="M11" s="220" t="s">
        <v>456</v>
      </c>
      <c r="N11" s="210"/>
      <c r="O11" s="493"/>
      <c r="P11" s="493"/>
      <c r="Q11" s="493"/>
      <c r="R11" s="493"/>
      <c r="S11" s="206"/>
      <c r="T11" s="134" t="s">
        <v>1153</v>
      </c>
      <c r="U11" s="135" t="s">
        <v>1154</v>
      </c>
      <c r="V11" s="271" t="s">
        <v>320</v>
      </c>
      <c r="W11" s="137" t="s">
        <v>325</v>
      </c>
      <c r="X11" s="138" t="s">
        <v>1470</v>
      </c>
      <c r="Y11" s="138" t="s">
        <v>338</v>
      </c>
      <c r="Z11" s="138" t="s">
        <v>304</v>
      </c>
      <c r="AA11" s="139" t="s">
        <v>315</v>
      </c>
      <c r="AB11" s="54">
        <v>0.93500000000000005</v>
      </c>
      <c r="AC11" s="55" t="s">
        <v>486</v>
      </c>
      <c r="AD11" s="49" t="s">
        <v>556</v>
      </c>
      <c r="AE11" s="56" t="s">
        <v>546</v>
      </c>
      <c r="AF11" s="56" t="s">
        <v>1356</v>
      </c>
      <c r="AG11" s="57"/>
      <c r="AH11" s="58" t="s">
        <v>1602</v>
      </c>
      <c r="AI11" s="49" t="s">
        <v>1529</v>
      </c>
      <c r="AJ11" s="49" t="s">
        <v>1415</v>
      </c>
      <c r="AK11" s="49" t="s">
        <v>761</v>
      </c>
      <c r="AL11" s="49" t="s">
        <v>721</v>
      </c>
      <c r="AM11" s="49" t="s">
        <v>1251</v>
      </c>
      <c r="AN11" s="59" t="s">
        <v>478</v>
      </c>
      <c r="AO11" s="84">
        <v>3</v>
      </c>
      <c r="AP11" s="84" t="s">
        <v>383</v>
      </c>
      <c r="AQ11" s="99" t="s">
        <v>381</v>
      </c>
      <c r="AR11" s="84">
        <f>SUMIF($B$18:$B$31,"bhind",$F$18:$F$31)</f>
        <v>0</v>
      </c>
      <c r="AS11" s="84">
        <f>AR11/60</f>
        <v>0</v>
      </c>
      <c r="AT11" s="84">
        <f>FLOOR(AS11,1)</f>
        <v>0</v>
      </c>
      <c r="AU11" s="84">
        <f>IF(AR11&gt;0,1,0)</f>
        <v>0</v>
      </c>
      <c r="AV11" s="84">
        <f>IF(AT11+AU11&lt;=1,AU11,AT11)</f>
        <v>0</v>
      </c>
      <c r="AW11" s="152" t="str">
        <f>IF(AV11&gt;0,99,"Nvt")</f>
        <v>Nvt</v>
      </c>
      <c r="AX11" s="84"/>
      <c r="AY11" s="385" t="s">
        <v>596</v>
      </c>
      <c r="AZ11" s="384" t="s">
        <v>597</v>
      </c>
      <c r="BA11" s="120">
        <f t="shared" si="13"/>
        <v>37.369999999999997</v>
      </c>
      <c r="BB11" s="121"/>
      <c r="BC11" s="87" t="s">
        <v>427</v>
      </c>
      <c r="BD11" s="122">
        <f ca="1">SUM(BD7:BD8)</f>
        <v>0</v>
      </c>
      <c r="BE11" s="95" t="s">
        <v>1469</v>
      </c>
      <c r="BF11" s="123">
        <v>768</v>
      </c>
      <c r="BG11" s="96" t="s">
        <v>357</v>
      </c>
      <c r="BH11" s="124">
        <f t="shared" si="18"/>
        <v>60481</v>
      </c>
      <c r="BI11" s="125">
        <f t="shared" si="16"/>
        <v>1159.9095890410958</v>
      </c>
      <c r="BJ11" s="107"/>
      <c r="BK11" s="107"/>
      <c r="BL11" s="126" t="s">
        <v>321</v>
      </c>
      <c r="BM11" s="89">
        <f>VLOOKUP(BL11,'Ruimte behandeling basis MPT'!$A$2:$H$46,8,FALSE)</f>
        <v>109.54999999999984</v>
      </c>
      <c r="BN11" s="49">
        <f>IF(R21="ja",BO6,BO10)</f>
        <v>0</v>
      </c>
      <c r="BO11" s="49">
        <f>IFERROR(VLOOKUP(Q22,BN5:BO10,2,0),0)</f>
        <v>0</v>
      </c>
      <c r="BR11" s="70" t="e">
        <f>SUM(BR7:BR9)</f>
        <v>#N/A</v>
      </c>
      <c r="BS11" s="93" t="s">
        <v>443</v>
      </c>
      <c r="BT11" s="93"/>
      <c r="BU11" s="110">
        <f>T20</f>
        <v>0</v>
      </c>
      <c r="BV11" s="93"/>
      <c r="BW11" s="93" t="s">
        <v>536</v>
      </c>
      <c r="BX11" s="154">
        <v>0</v>
      </c>
      <c r="BY11" s="93"/>
      <c r="BZ11" s="128" t="s">
        <v>384</v>
      </c>
      <c r="CA11" s="128">
        <v>5.5</v>
      </c>
      <c r="CB11" s="142" t="s">
        <v>381</v>
      </c>
      <c r="CC11" s="361">
        <v>0</v>
      </c>
      <c r="CD11" s="143" t="s">
        <v>247</v>
      </c>
      <c r="CE11" s="128"/>
      <c r="CF11" s="128"/>
      <c r="CG11" s="128"/>
      <c r="CH11" s="155"/>
      <c r="CI11" s="128"/>
      <c r="CJ11" s="95" t="s">
        <v>354</v>
      </c>
      <c r="CK11" s="123" t="s">
        <v>466</v>
      </c>
      <c r="CL11" s="129" t="s">
        <v>341</v>
      </c>
      <c r="CM11" s="149" t="s">
        <v>1468</v>
      </c>
      <c r="CN11" s="150">
        <v>766</v>
      </c>
      <c r="CO11" s="380">
        <v>0</v>
      </c>
      <c r="CP11" s="146">
        <f t="shared" si="19"/>
        <v>0</v>
      </c>
      <c r="CQ11" s="380">
        <v>0</v>
      </c>
      <c r="CR11" s="146">
        <f t="shared" si="20"/>
        <v>0</v>
      </c>
      <c r="CS11" s="380">
        <v>0</v>
      </c>
      <c r="CT11" s="146">
        <f t="shared" si="21"/>
        <v>0</v>
      </c>
      <c r="CU11" s="380">
        <v>0</v>
      </c>
      <c r="CV11" s="146">
        <f t="shared" si="22"/>
        <v>0</v>
      </c>
      <c r="CW11" s="380">
        <v>0</v>
      </c>
      <c r="CX11" s="380">
        <v>0</v>
      </c>
      <c r="CY11" s="380">
        <v>0</v>
      </c>
      <c r="CZ11" s="99" t="s">
        <v>381</v>
      </c>
      <c r="DA11" s="84">
        <f>SUMIF($B$18:$B$31,"bhind",$F$18:$F$31)</f>
        <v>0</v>
      </c>
      <c r="DB11" s="84">
        <f>DA11/60</f>
        <v>0</v>
      </c>
      <c r="DC11" s="156" t="s">
        <v>341</v>
      </c>
      <c r="DD11" s="49">
        <f>IFERROR(DB11-DC11,0)</f>
        <v>0</v>
      </c>
      <c r="DE11" s="49">
        <f t="shared" si="17"/>
        <v>0</v>
      </c>
      <c r="DF11" s="49" t="s">
        <v>432</v>
      </c>
      <c r="DH11" s="49" t="s">
        <v>529</v>
      </c>
      <c r="DI11" s="49" t="s">
        <v>529</v>
      </c>
      <c r="DJ11" s="49" t="s">
        <v>1743</v>
      </c>
      <c r="DL11" s="49">
        <f t="shared" si="11"/>
        <v>0</v>
      </c>
      <c r="DM11" s="49">
        <f t="shared" si="12"/>
        <v>0</v>
      </c>
      <c r="DN11" s="49">
        <f t="shared" si="14"/>
        <v>0</v>
      </c>
      <c r="DO11" s="49">
        <f t="shared" si="15"/>
        <v>0</v>
      </c>
      <c r="DP11" s="56" t="s">
        <v>546</v>
      </c>
      <c r="DQ11" s="56" t="s">
        <v>546</v>
      </c>
      <c r="DR11" s="56" t="s">
        <v>546</v>
      </c>
      <c r="DS11" s="56" t="s">
        <v>638</v>
      </c>
      <c r="DT11" s="56" t="s">
        <v>674</v>
      </c>
      <c r="DV11" s="95" t="s">
        <v>356</v>
      </c>
      <c r="DW11" s="96" t="s">
        <v>357</v>
      </c>
      <c r="DX11" s="49" t="s">
        <v>432</v>
      </c>
      <c r="DY11" s="50">
        <v>0</v>
      </c>
      <c r="DZ11" s="50">
        <v>33</v>
      </c>
      <c r="EL11" s="49">
        <f>IF(F5="opname",6,IF(F5="VPT",10,IF(F5="deeltijd verblijf icm MPT",20,IF(F5="logeren icm MPT",30,0))))</f>
        <v>0</v>
      </c>
      <c r="ES11" s="49" t="s">
        <v>719</v>
      </c>
      <c r="EW11" s="49" t="s">
        <v>764</v>
      </c>
      <c r="EX11" s="49" t="s">
        <v>724</v>
      </c>
      <c r="FB11" s="49" t="s">
        <v>649</v>
      </c>
      <c r="FC11" s="49" t="s">
        <v>775</v>
      </c>
      <c r="FD11" s="49" t="s">
        <v>1160</v>
      </c>
      <c r="FE11" s="49" t="str">
        <f t="shared" si="0"/>
        <v>10vvOpname</v>
      </c>
      <c r="FF11" s="70">
        <f t="shared" si="1"/>
        <v>563.69000000000005</v>
      </c>
      <c r="FG11" s="70">
        <f t="shared" si="3"/>
        <v>3945.8300000000004</v>
      </c>
      <c r="FL11" s="95" t="s">
        <v>329</v>
      </c>
      <c r="FM11" s="49">
        <v>1</v>
      </c>
      <c r="FX11" s="49">
        <f t="shared" si="2"/>
        <v>0</v>
      </c>
      <c r="FY11" s="49">
        <f t="shared" si="9"/>
        <v>0</v>
      </c>
      <c r="FZ11" s="49">
        <f t="shared" si="10"/>
        <v>0</v>
      </c>
      <c r="GA11" s="49">
        <f t="shared" si="4"/>
        <v>0</v>
      </c>
      <c r="GB11" s="49" t="str">
        <f t="shared" si="5"/>
        <v/>
      </c>
      <c r="GC11" s="49">
        <f t="shared" si="6"/>
        <v>0</v>
      </c>
      <c r="GD11" s="49">
        <f t="shared" si="7"/>
        <v>0</v>
      </c>
      <c r="GE11" s="49" t="str">
        <f t="shared" si="8"/>
        <v>Nee</v>
      </c>
    </row>
    <row r="12" spans="1:187" ht="19.5" customHeight="1" thickBot="1">
      <c r="A12" s="206"/>
      <c r="B12" s="244" t="s">
        <v>500</v>
      </c>
      <c r="C12" s="238"/>
      <c r="D12" s="238"/>
      <c r="E12" s="206"/>
      <c r="F12" s="206"/>
      <c r="G12" s="532"/>
      <c r="H12" s="532"/>
      <c r="I12" s="206"/>
      <c r="J12" s="206"/>
      <c r="K12" s="206"/>
      <c r="L12" s="206"/>
      <c r="M12" s="232">
        <f>IF(F5="MPT",FS8,IF(F5="deeltijd verblijf icm zorg thuis",FS9,FS10))</f>
        <v>0</v>
      </c>
      <c r="N12" s="220"/>
      <c r="O12" s="491" t="s">
        <v>699</v>
      </c>
      <c r="P12" s="491"/>
      <c r="Q12" s="491"/>
      <c r="R12" s="491"/>
      <c r="S12" s="491"/>
      <c r="T12" s="134" t="s">
        <v>400</v>
      </c>
      <c r="U12" s="135" t="s">
        <v>402</v>
      </c>
      <c r="V12" s="136" t="s">
        <v>322</v>
      </c>
      <c r="W12" s="137" t="s">
        <v>326</v>
      </c>
      <c r="X12" s="138" t="s">
        <v>1471</v>
      </c>
      <c r="Y12" s="138" t="s">
        <v>339</v>
      </c>
      <c r="Z12" s="138" t="s">
        <v>305</v>
      </c>
      <c r="AA12" s="139" t="s">
        <v>316</v>
      </c>
      <c r="AB12" s="54">
        <v>0.94</v>
      </c>
      <c r="AC12" s="55" t="s">
        <v>494</v>
      </c>
      <c r="AD12" s="49" t="s">
        <v>468</v>
      </c>
      <c r="AE12" s="56" t="s">
        <v>547</v>
      </c>
      <c r="AF12" s="56" t="s">
        <v>1357</v>
      </c>
      <c r="AG12" s="57"/>
      <c r="AH12" s="58" t="s">
        <v>1603</v>
      </c>
      <c r="AI12" s="49" t="s">
        <v>1416</v>
      </c>
      <c r="AK12" s="49" t="s">
        <v>762</v>
      </c>
      <c r="AL12" s="49" t="s">
        <v>722</v>
      </c>
      <c r="AM12" s="49" t="s">
        <v>1252</v>
      </c>
      <c r="AN12" s="59" t="s">
        <v>480</v>
      </c>
      <c r="AO12" s="84">
        <v>4</v>
      </c>
      <c r="AP12" s="84" t="s">
        <v>384</v>
      </c>
      <c r="AQ12" s="99" t="s">
        <v>379</v>
      </c>
      <c r="AR12" s="84">
        <f>AW16+AW19</f>
        <v>0</v>
      </c>
      <c r="AS12" s="99" t="s">
        <v>341</v>
      </c>
      <c r="AT12" s="84">
        <f>AR12</f>
        <v>0</v>
      </c>
      <c r="AU12" s="84" t="s">
        <v>341</v>
      </c>
      <c r="AV12" s="84">
        <f>IF(AT12&lt;=9,AT12,9)</f>
        <v>0</v>
      </c>
      <c r="AW12" s="84" t="str">
        <f>VLOOKUP(AV12,AQ16:AR25,2,FALSE)</f>
        <v>Nvt</v>
      </c>
      <c r="AX12" s="84"/>
      <c r="AY12" s="79" t="s">
        <v>477</v>
      </c>
      <c r="AZ12" s="49" t="s">
        <v>11</v>
      </c>
      <c r="BA12" s="120">
        <f t="shared" si="13"/>
        <v>82.5</v>
      </c>
      <c r="BB12" s="121"/>
      <c r="BC12" s="87"/>
      <c r="BD12" s="87"/>
      <c r="BE12" s="95" t="s">
        <v>1470</v>
      </c>
      <c r="BF12" s="123">
        <v>770</v>
      </c>
      <c r="BG12" s="96" t="s">
        <v>357</v>
      </c>
      <c r="BH12" s="124">
        <f t="shared" si="18"/>
        <v>72171</v>
      </c>
      <c r="BI12" s="125">
        <f t="shared" si="16"/>
        <v>1384.1013698630136</v>
      </c>
      <c r="BJ12" s="107"/>
      <c r="BK12" s="107"/>
      <c r="BL12" s="126" t="s">
        <v>322</v>
      </c>
      <c r="BM12" s="89">
        <f>VLOOKUP(BL12,'Ruimte behandeling basis MPT'!$A$2:$H$46,8,FALSE)</f>
        <v>118.08999999999983</v>
      </c>
      <c r="BN12" s="70">
        <f>BO11-BN15</f>
        <v>0</v>
      </c>
      <c r="BO12" s="49" t="s">
        <v>496</v>
      </c>
      <c r="BP12" s="383">
        <v>0</v>
      </c>
      <c r="BQ12" s="49">
        <f>BP12*7</f>
        <v>0</v>
      </c>
      <c r="BS12" s="93" t="s">
        <v>444</v>
      </c>
      <c r="BT12" s="93"/>
      <c r="BU12" s="110">
        <f>I33</f>
        <v>0</v>
      </c>
      <c r="BV12" s="93"/>
      <c r="BW12" s="93" t="s">
        <v>537</v>
      </c>
      <c r="BX12" s="110">
        <f>BX11/365*7</f>
        <v>0</v>
      </c>
      <c r="BY12" s="93"/>
      <c r="BZ12" s="128" t="s">
        <v>385</v>
      </c>
      <c r="CA12" s="128">
        <v>8.5</v>
      </c>
      <c r="CB12" s="142" t="s">
        <v>379</v>
      </c>
      <c r="CC12" s="361">
        <v>0</v>
      </c>
      <c r="CD12" s="142" t="s">
        <v>243</v>
      </c>
      <c r="CE12" s="128"/>
      <c r="CF12" s="128"/>
      <c r="CG12" s="128"/>
      <c r="CH12" s="128"/>
      <c r="CI12" s="128"/>
      <c r="CJ12" s="95" t="s">
        <v>355</v>
      </c>
      <c r="CK12" s="123" t="s">
        <v>466</v>
      </c>
      <c r="CL12" s="129" t="s">
        <v>341</v>
      </c>
      <c r="CM12" s="144" t="s">
        <v>1469</v>
      </c>
      <c r="CN12" s="145">
        <v>768</v>
      </c>
      <c r="CO12" s="380">
        <v>0</v>
      </c>
      <c r="CP12" s="146">
        <f t="shared" si="19"/>
        <v>0</v>
      </c>
      <c r="CQ12" s="380">
        <v>0</v>
      </c>
      <c r="CR12" s="146">
        <f t="shared" si="20"/>
        <v>0</v>
      </c>
      <c r="CS12" s="380">
        <v>0</v>
      </c>
      <c r="CT12" s="146">
        <f t="shared" si="21"/>
        <v>0</v>
      </c>
      <c r="CU12" s="380">
        <v>0</v>
      </c>
      <c r="CV12" s="146">
        <f t="shared" si="22"/>
        <v>0</v>
      </c>
      <c r="CW12" s="380">
        <v>0</v>
      </c>
      <c r="CX12" s="380">
        <v>0</v>
      </c>
      <c r="CY12" s="380">
        <v>0</v>
      </c>
      <c r="CZ12" s="99" t="s">
        <v>379</v>
      </c>
      <c r="DA12" s="84">
        <f>DB19+DA20</f>
        <v>0</v>
      </c>
      <c r="DB12" s="159">
        <f>CEILING(DA12,1)</f>
        <v>0</v>
      </c>
      <c r="DC12" s="49">
        <v>9</v>
      </c>
      <c r="DD12" s="49">
        <f>DB12-DC12</f>
        <v>-9</v>
      </c>
      <c r="DE12" s="49">
        <f t="shared" si="17"/>
        <v>0</v>
      </c>
      <c r="DH12" s="49" t="s">
        <v>530</v>
      </c>
      <c r="DI12" s="49" t="s">
        <v>530</v>
      </c>
      <c r="DJ12" s="50" t="s">
        <v>607</v>
      </c>
      <c r="DK12" s="50"/>
      <c r="DL12" s="49">
        <f t="shared" si="11"/>
        <v>0</v>
      </c>
      <c r="DM12" s="49">
        <f t="shared" si="12"/>
        <v>0</v>
      </c>
      <c r="DN12" s="49">
        <f t="shared" si="14"/>
        <v>0</v>
      </c>
      <c r="DO12" s="49">
        <f t="shared" si="15"/>
        <v>0</v>
      </c>
      <c r="DP12" s="56" t="s">
        <v>547</v>
      </c>
      <c r="DQ12" s="56" t="s">
        <v>547</v>
      </c>
      <c r="DR12" s="56" t="s">
        <v>547</v>
      </c>
      <c r="DS12" s="56" t="s">
        <v>639</v>
      </c>
      <c r="DT12" s="56" t="s">
        <v>673</v>
      </c>
      <c r="DV12" s="95" t="s">
        <v>327</v>
      </c>
      <c r="DW12" s="96" t="s">
        <v>357</v>
      </c>
      <c r="DX12" s="49" t="s">
        <v>432</v>
      </c>
      <c r="DY12" s="50">
        <v>0</v>
      </c>
      <c r="DZ12" s="114">
        <v>11.5</v>
      </c>
      <c r="EL12" s="49">
        <f>SUM(EL10:EL11)</f>
        <v>0</v>
      </c>
      <c r="ER12" s="49" t="s">
        <v>758</v>
      </c>
      <c r="ES12" s="49" t="s">
        <v>720</v>
      </c>
      <c r="EW12" s="49" t="s">
        <v>772</v>
      </c>
      <c r="EX12" s="49" t="s">
        <v>884</v>
      </c>
      <c r="FB12" s="49" t="s">
        <v>632</v>
      </c>
      <c r="FC12" s="49" t="s">
        <v>792</v>
      </c>
      <c r="FD12" s="49" t="s">
        <v>1160</v>
      </c>
      <c r="FE12" s="49" t="str">
        <f t="shared" si="0"/>
        <v>1vgOpname</v>
      </c>
      <c r="FF12" s="70">
        <f t="shared" si="1"/>
        <v>149.15</v>
      </c>
      <c r="FG12" s="70">
        <f t="shared" si="3"/>
        <v>1044.05</v>
      </c>
      <c r="FL12" s="95" t="s">
        <v>330</v>
      </c>
      <c r="FM12" s="49">
        <v>1</v>
      </c>
      <c r="FR12" s="49" t="s">
        <v>1324</v>
      </c>
      <c r="FS12" s="234">
        <f>IF(AND($I$33&gt;0,$F$5="MPT"),$T$20,0)</f>
        <v>0</v>
      </c>
      <c r="FX12" s="49">
        <f t="shared" si="2"/>
        <v>0</v>
      </c>
      <c r="FY12" s="49">
        <f t="shared" si="9"/>
        <v>0</v>
      </c>
      <c r="FZ12" s="49">
        <f t="shared" si="10"/>
        <v>0</v>
      </c>
      <c r="GA12" s="49">
        <f t="shared" si="4"/>
        <v>0</v>
      </c>
      <c r="GB12" s="49" t="str">
        <f t="shared" si="5"/>
        <v/>
      </c>
      <c r="GC12" s="49">
        <f t="shared" si="6"/>
        <v>0</v>
      </c>
      <c r="GD12" s="49">
        <f t="shared" si="7"/>
        <v>0</v>
      </c>
      <c r="GE12" s="49" t="str">
        <f t="shared" si="8"/>
        <v>Nee</v>
      </c>
    </row>
    <row r="13" spans="1:187" ht="19.5" customHeight="1" thickBot="1">
      <c r="A13" s="206"/>
      <c r="B13" s="223">
        <f>IFERROR(VLOOKUP("verblijfsprestatie",B18:G31,5,0),0)</f>
        <v>0</v>
      </c>
      <c r="C13" s="223">
        <f>IF(B13=7,0,1)</f>
        <v>1</v>
      </c>
      <c r="D13" s="223">
        <f>IF(AND(F5="opname",C13=1),1,2)</f>
        <v>2</v>
      </c>
      <c r="E13" s="206"/>
      <c r="F13" s="206"/>
      <c r="G13" s="207"/>
      <c r="H13" s="207"/>
      <c r="I13" s="207"/>
      <c r="J13" s="207"/>
      <c r="K13" s="207"/>
      <c r="L13" s="206"/>
      <c r="M13" s="223"/>
      <c r="N13" s="210"/>
      <c r="O13" s="226" t="s">
        <v>706</v>
      </c>
      <c r="P13" s="227"/>
      <c r="Q13" s="226"/>
      <c r="R13" s="226"/>
      <c r="S13" s="223"/>
      <c r="T13" s="157" t="s">
        <v>595</v>
      </c>
      <c r="U13" s="158" t="s">
        <v>401</v>
      </c>
      <c r="V13" s="151" t="s">
        <v>323</v>
      </c>
      <c r="W13" s="137"/>
      <c r="X13" s="138"/>
      <c r="Y13" s="138" t="s">
        <v>340</v>
      </c>
      <c r="Z13" s="138" t="s">
        <v>306</v>
      </c>
      <c r="AA13" s="139" t="s">
        <v>308</v>
      </c>
      <c r="AB13" s="54">
        <v>0.94499999999999995</v>
      </c>
      <c r="AC13" s="55" t="s">
        <v>495</v>
      </c>
      <c r="AD13" s="49" t="s">
        <v>469</v>
      </c>
      <c r="AE13" s="56" t="s">
        <v>548</v>
      </c>
      <c r="AF13" s="56" t="s">
        <v>1358</v>
      </c>
      <c r="AG13" s="57"/>
      <c r="AH13" s="58" t="s">
        <v>1494</v>
      </c>
      <c r="AI13" s="49" t="s">
        <v>475</v>
      </c>
      <c r="AJ13" s="62"/>
      <c r="AK13" s="49" t="s">
        <v>763</v>
      </c>
      <c r="AL13" s="49" t="s">
        <v>723</v>
      </c>
      <c r="AM13" s="49" t="s">
        <v>1253</v>
      </c>
      <c r="AN13" s="59" t="s">
        <v>481</v>
      </c>
      <c r="AO13" s="84">
        <v>5</v>
      </c>
      <c r="AP13" s="84" t="s">
        <v>384</v>
      </c>
      <c r="AQ13" s="99" t="s">
        <v>380</v>
      </c>
      <c r="AR13" s="84">
        <f>SUMIF($B$18:$B$31,"BHgrp",$F$18:$F$31)</f>
        <v>0</v>
      </c>
      <c r="AS13" s="99" t="s">
        <v>341</v>
      </c>
      <c r="AT13" s="84">
        <f>AR13</f>
        <v>0</v>
      </c>
      <c r="AU13" s="84" t="s">
        <v>341</v>
      </c>
      <c r="AV13" s="84">
        <f>IF(AT13&lt;=9,AT13,9)</f>
        <v>0</v>
      </c>
      <c r="AW13" s="84" t="str">
        <f>VLOOKUP(AV13,AQ16:AR25,2,FALSE)</f>
        <v>Nvt</v>
      </c>
      <c r="AX13" s="84"/>
      <c r="AY13" s="79" t="s">
        <v>476</v>
      </c>
      <c r="AZ13" s="49" t="s">
        <v>13</v>
      </c>
      <c r="BA13" s="120">
        <f t="shared" si="13"/>
        <v>63.43</v>
      </c>
      <c r="BB13" s="121"/>
      <c r="BC13" s="87" t="s">
        <v>428</v>
      </c>
      <c r="BD13" s="122">
        <f>SUM(I18:I31)-I33</f>
        <v>0</v>
      </c>
      <c r="BE13" s="95" t="s">
        <v>1471</v>
      </c>
      <c r="BF13" s="123">
        <v>772</v>
      </c>
      <c r="BG13" s="96" t="s">
        <v>357</v>
      </c>
      <c r="BH13" s="124">
        <f t="shared" si="18"/>
        <v>86161</v>
      </c>
      <c r="BI13" s="125">
        <f t="shared" si="16"/>
        <v>1652.4027397260272</v>
      </c>
      <c r="BJ13" s="107"/>
      <c r="BK13" s="107"/>
      <c r="BL13" s="126" t="s">
        <v>323</v>
      </c>
      <c r="BM13" s="89">
        <f>VLOOKUP(BL13,'Ruimte behandeling basis MPT'!$A$2:$H$46,8,FALSE)</f>
        <v>146.71999999999986</v>
      </c>
      <c r="BN13" s="49">
        <f>IF(R21="ja",0,BR2)</f>
        <v>0</v>
      </c>
      <c r="BO13" s="49" t="s">
        <v>497</v>
      </c>
      <c r="BP13" s="383">
        <v>0</v>
      </c>
      <c r="BQ13" s="49">
        <f>BP13*7</f>
        <v>0</v>
      </c>
      <c r="BS13" s="93"/>
      <c r="BT13" s="93"/>
      <c r="BU13" s="110">
        <f>BU11-BU12</f>
        <v>0</v>
      </c>
      <c r="BV13" s="93"/>
      <c r="BW13" s="93"/>
      <c r="BX13" s="93"/>
      <c r="BY13" s="93"/>
      <c r="BZ13" s="128" t="s">
        <v>386</v>
      </c>
      <c r="CA13" s="128">
        <v>11.5</v>
      </c>
      <c r="CB13" s="142" t="s">
        <v>380</v>
      </c>
      <c r="CC13" s="361">
        <v>0</v>
      </c>
      <c r="CD13" s="142" t="s">
        <v>243</v>
      </c>
      <c r="CE13" s="128"/>
      <c r="CF13" s="128"/>
      <c r="CG13" s="128"/>
      <c r="CH13" s="128"/>
      <c r="CI13" s="128"/>
      <c r="CJ13" s="95" t="s">
        <v>356</v>
      </c>
      <c r="CK13" s="123" t="s">
        <v>466</v>
      </c>
      <c r="CL13" s="129" t="s">
        <v>341</v>
      </c>
      <c r="CM13" s="149" t="s">
        <v>1470</v>
      </c>
      <c r="CN13" s="150">
        <v>770</v>
      </c>
      <c r="CO13" s="380">
        <v>0</v>
      </c>
      <c r="CP13" s="146">
        <f t="shared" si="19"/>
        <v>0</v>
      </c>
      <c r="CQ13" s="380">
        <v>0</v>
      </c>
      <c r="CR13" s="146">
        <f t="shared" si="20"/>
        <v>0</v>
      </c>
      <c r="CS13" s="380">
        <v>0</v>
      </c>
      <c r="CT13" s="146">
        <f t="shared" si="21"/>
        <v>0</v>
      </c>
      <c r="CU13" s="380">
        <v>0</v>
      </c>
      <c r="CV13" s="146">
        <f t="shared" si="22"/>
        <v>0</v>
      </c>
      <c r="CW13" s="380">
        <v>0</v>
      </c>
      <c r="CX13" s="380">
        <v>0</v>
      </c>
      <c r="CY13" s="380">
        <v>0</v>
      </c>
      <c r="CZ13" s="99" t="s">
        <v>380</v>
      </c>
      <c r="DA13" s="84">
        <f>SUMIF($B$18:$B$31,"BHgrp",$F$18:$F$31)</f>
        <v>0</v>
      </c>
      <c r="DB13" s="159">
        <f>DA13</f>
        <v>0</v>
      </c>
      <c r="DC13" s="49">
        <v>9</v>
      </c>
      <c r="DD13" s="49">
        <f>DB13-DC13</f>
        <v>-9</v>
      </c>
      <c r="DE13" s="49">
        <f t="shared" si="17"/>
        <v>0</v>
      </c>
      <c r="DH13" s="50" t="s">
        <v>504</v>
      </c>
      <c r="DI13" s="50" t="s">
        <v>504</v>
      </c>
      <c r="DJ13" s="50" t="s">
        <v>608</v>
      </c>
      <c r="DL13" s="49">
        <f t="shared" si="11"/>
        <v>0</v>
      </c>
      <c r="DM13" s="49">
        <f t="shared" si="12"/>
        <v>0</v>
      </c>
      <c r="DN13" s="49">
        <f t="shared" si="14"/>
        <v>0</v>
      </c>
      <c r="DO13" s="49">
        <f t="shared" si="15"/>
        <v>0</v>
      </c>
      <c r="DP13" s="56" t="s">
        <v>548</v>
      </c>
      <c r="DQ13" s="56" t="s">
        <v>548</v>
      </c>
      <c r="DR13" s="56" t="s">
        <v>548</v>
      </c>
      <c r="DS13" s="56" t="s">
        <v>640</v>
      </c>
      <c r="DT13" s="56" t="s">
        <v>379</v>
      </c>
      <c r="DV13" s="95" t="s">
        <v>328</v>
      </c>
      <c r="DW13" s="96" t="s">
        <v>357</v>
      </c>
      <c r="DX13" s="49" t="s">
        <v>432</v>
      </c>
      <c r="DY13" s="50">
        <v>0</v>
      </c>
      <c r="DZ13" s="50">
        <v>14.5</v>
      </c>
      <c r="ER13" s="49" t="s">
        <v>759</v>
      </c>
      <c r="ES13" s="49" t="s">
        <v>880</v>
      </c>
      <c r="EW13" s="49" t="s">
        <v>765</v>
      </c>
      <c r="EX13" s="49" t="s">
        <v>725</v>
      </c>
      <c r="FB13" s="49" t="s">
        <v>633</v>
      </c>
      <c r="FC13" s="49" t="s">
        <v>793</v>
      </c>
      <c r="FD13" s="49" t="s">
        <v>1160</v>
      </c>
      <c r="FE13" s="49" t="str">
        <f t="shared" si="0"/>
        <v>2vgOpname</v>
      </c>
      <c r="FF13" s="70">
        <f t="shared" si="1"/>
        <v>165.69</v>
      </c>
      <c r="FG13" s="70">
        <f t="shared" si="3"/>
        <v>1159.83</v>
      </c>
      <c r="FL13" s="95" t="s">
        <v>331</v>
      </c>
      <c r="FM13" s="49">
        <v>1</v>
      </c>
      <c r="FR13" s="49" t="s">
        <v>1325</v>
      </c>
      <c r="FS13" s="234">
        <f>IF(AND($I$33&gt;0,$F$5="Deeltijd verblijf icm zorg thuis"),$T$20,0)</f>
        <v>0</v>
      </c>
      <c r="FX13" s="49">
        <f t="shared" si="2"/>
        <v>0</v>
      </c>
      <c r="FY13" s="49">
        <f t="shared" si="9"/>
        <v>0</v>
      </c>
      <c r="FZ13" s="49">
        <f t="shared" si="10"/>
        <v>0</v>
      </c>
      <c r="GA13" s="49">
        <f t="shared" si="4"/>
        <v>0</v>
      </c>
      <c r="GB13" s="49" t="str">
        <f t="shared" si="5"/>
        <v/>
      </c>
      <c r="GC13" s="49">
        <f t="shared" si="6"/>
        <v>0</v>
      </c>
      <c r="GD13" s="49">
        <f t="shared" si="7"/>
        <v>0</v>
      </c>
      <c r="GE13" s="49" t="str">
        <f t="shared" si="8"/>
        <v>Nee</v>
      </c>
    </row>
    <row r="14" spans="1:187" ht="19.5" customHeight="1" thickBot="1">
      <c r="A14" s="206"/>
      <c r="B14" s="238"/>
      <c r="C14" s="238"/>
      <c r="D14" s="223" t="s">
        <v>1408</v>
      </c>
      <c r="E14" s="206"/>
      <c r="F14" s="247" t="s">
        <v>1210</v>
      </c>
      <c r="G14" s="223"/>
      <c r="H14" s="223"/>
      <c r="I14" s="223"/>
      <c r="J14" s="207"/>
      <c r="K14" s="235"/>
      <c r="L14" s="206"/>
      <c r="M14" s="257" t="s">
        <v>1145</v>
      </c>
      <c r="N14" s="210"/>
      <c r="O14" s="226"/>
      <c r="P14" s="524" t="s">
        <v>1208</v>
      </c>
      <c r="Q14" s="524"/>
      <c r="R14" s="524"/>
      <c r="S14" s="524"/>
      <c r="T14" s="157" t="s">
        <v>1395</v>
      </c>
      <c r="U14" s="158" t="s">
        <v>492</v>
      </c>
      <c r="V14" s="151" t="s">
        <v>324</v>
      </c>
      <c r="W14" s="137"/>
      <c r="X14" s="138"/>
      <c r="Y14" s="138" t="s">
        <v>327</v>
      </c>
      <c r="Z14" s="138" t="s">
        <v>307</v>
      </c>
      <c r="AA14" s="139" t="s">
        <v>309</v>
      </c>
      <c r="AB14" s="54">
        <v>0.95</v>
      </c>
      <c r="AC14" s="55" t="s">
        <v>487</v>
      </c>
      <c r="AD14" s="49" t="s">
        <v>470</v>
      </c>
      <c r="AE14" s="56" t="s">
        <v>550</v>
      </c>
      <c r="AF14" s="56" t="s">
        <v>1365</v>
      </c>
      <c r="AG14" s="57"/>
      <c r="AH14" s="58" t="s">
        <v>1742</v>
      </c>
      <c r="AJ14" s="62"/>
      <c r="AK14" s="49" t="s">
        <v>764</v>
      </c>
      <c r="AL14" s="49" t="s">
        <v>724</v>
      </c>
      <c r="AM14" s="49" t="s">
        <v>1170</v>
      </c>
      <c r="AN14" s="59" t="s">
        <v>482</v>
      </c>
      <c r="AO14" s="84">
        <v>6</v>
      </c>
      <c r="AP14" s="84" t="s">
        <v>384</v>
      </c>
      <c r="AQ14" s="84" t="s">
        <v>358</v>
      </c>
      <c r="AR14" s="84">
        <f>SUMIF($B$18:$B$31,"logeren",$F$18:$F$31)</f>
        <v>0</v>
      </c>
      <c r="AS14" s="84" t="s">
        <v>341</v>
      </c>
      <c r="AT14" s="84">
        <f>AR14</f>
        <v>0</v>
      </c>
      <c r="AU14" s="84" t="s">
        <v>341</v>
      </c>
      <c r="AV14" s="84">
        <f>IF(AT14&lt;=7,AT14,7)</f>
        <v>0</v>
      </c>
      <c r="AW14" s="84" t="str">
        <f>VLOOKUP(AV14,AS16:AT23,2,FALSE)</f>
        <v>Nvt</v>
      </c>
      <c r="AX14" s="84"/>
      <c r="AY14" s="79" t="s">
        <v>541</v>
      </c>
      <c r="AZ14" s="49" t="s">
        <v>14</v>
      </c>
      <c r="BA14" s="120">
        <f t="shared" si="13"/>
        <v>67.94</v>
      </c>
      <c r="BB14" s="121"/>
      <c r="BC14" s="87" t="s">
        <v>429</v>
      </c>
      <c r="BD14" s="122">
        <f ca="1">BD13-BD11</f>
        <v>0</v>
      </c>
      <c r="BE14" s="95" t="s">
        <v>327</v>
      </c>
      <c r="BF14" s="123">
        <v>800</v>
      </c>
      <c r="BG14" s="96" t="s">
        <v>357</v>
      </c>
      <c r="BH14" s="124">
        <f t="shared" si="18"/>
        <v>40748</v>
      </c>
      <c r="BI14" s="125">
        <f t="shared" si="16"/>
        <v>781.46849315068494</v>
      </c>
      <c r="BJ14" s="107"/>
      <c r="BK14" s="107"/>
      <c r="BL14" s="126" t="s">
        <v>324</v>
      </c>
      <c r="BM14" s="89">
        <f>VLOOKUP(BL14,'Ruimte behandeling basis MPT'!$A$2:$H$46,8,FALSE)</f>
        <v>112</v>
      </c>
      <c r="BO14" s="49" t="s">
        <v>432</v>
      </c>
      <c r="BP14" s="49">
        <v>0</v>
      </c>
      <c r="BQ14" s="49">
        <v>0</v>
      </c>
      <c r="BS14" s="49">
        <f>IF(BU13&lt;0,3,0)</f>
        <v>0</v>
      </c>
      <c r="BW14" s="49" t="s">
        <v>538</v>
      </c>
      <c r="BX14" s="164">
        <f ca="1">IF(BX12&gt;=BX6,BX6,BX12)</f>
        <v>0</v>
      </c>
      <c r="BZ14" s="128" t="s">
        <v>387</v>
      </c>
      <c r="CA14" s="128">
        <v>14.5</v>
      </c>
      <c r="CB14" s="128"/>
      <c r="CC14" s="128"/>
      <c r="CD14" s="128"/>
      <c r="CE14" s="128"/>
      <c r="CF14" s="128"/>
      <c r="CG14" s="128"/>
      <c r="CH14" s="128"/>
      <c r="CI14" s="128"/>
      <c r="CJ14" s="95" t="s">
        <v>327</v>
      </c>
      <c r="CK14" s="123" t="s">
        <v>466</v>
      </c>
      <c r="CL14" s="129" t="s">
        <v>341</v>
      </c>
      <c r="CM14" s="144" t="s">
        <v>1471</v>
      </c>
      <c r="CN14" s="145">
        <v>772</v>
      </c>
      <c r="CO14" s="380">
        <v>0</v>
      </c>
      <c r="CP14" s="146">
        <f t="shared" si="19"/>
        <v>0</v>
      </c>
      <c r="CQ14" s="380">
        <v>0</v>
      </c>
      <c r="CR14" s="146">
        <f t="shared" si="20"/>
        <v>0</v>
      </c>
      <c r="CS14" s="380">
        <v>0</v>
      </c>
      <c r="CT14" s="146">
        <f t="shared" si="21"/>
        <v>0</v>
      </c>
      <c r="CU14" s="380">
        <v>0</v>
      </c>
      <c r="CV14" s="146">
        <f t="shared" si="22"/>
        <v>0</v>
      </c>
      <c r="CW14" s="380">
        <v>0</v>
      </c>
      <c r="CX14" s="380">
        <v>0</v>
      </c>
      <c r="CY14" s="380">
        <v>0</v>
      </c>
      <c r="CZ14" s="84" t="s">
        <v>598</v>
      </c>
      <c r="DA14" s="84">
        <f>SUMIF($B$18:$B$31,"schoonmaak",$F$18:$F$31)</f>
        <v>0</v>
      </c>
      <c r="DB14" s="84">
        <f>DA14/60</f>
        <v>0</v>
      </c>
      <c r="DC14" s="49">
        <v>25</v>
      </c>
      <c r="DD14" s="49">
        <f>DB14-DC14</f>
        <v>-25</v>
      </c>
      <c r="DE14" s="49">
        <f t="shared" si="17"/>
        <v>0</v>
      </c>
      <c r="DH14" s="50" t="s">
        <v>1294</v>
      </c>
      <c r="DI14" s="50" t="s">
        <v>604</v>
      </c>
      <c r="DJ14" s="50" t="s">
        <v>609</v>
      </c>
      <c r="DL14" s="49">
        <f t="shared" si="11"/>
        <v>0</v>
      </c>
      <c r="DM14" s="49">
        <f t="shared" si="12"/>
        <v>0</v>
      </c>
      <c r="DN14" s="49">
        <f t="shared" si="14"/>
        <v>0</v>
      </c>
      <c r="DO14" s="49">
        <f t="shared" si="15"/>
        <v>0</v>
      </c>
      <c r="DP14" s="56" t="s">
        <v>550</v>
      </c>
      <c r="DQ14" s="56" t="s">
        <v>550</v>
      </c>
      <c r="DR14" s="56" t="s">
        <v>550</v>
      </c>
      <c r="DS14" s="56" t="s">
        <v>642</v>
      </c>
      <c r="DT14" s="56" t="s">
        <v>379</v>
      </c>
      <c r="DV14" s="95" t="s">
        <v>329</v>
      </c>
      <c r="DW14" s="96" t="s">
        <v>357</v>
      </c>
      <c r="DX14" s="49" t="s">
        <v>432</v>
      </c>
      <c r="DY14" s="50">
        <v>0</v>
      </c>
      <c r="DZ14" s="114">
        <v>17.5</v>
      </c>
      <c r="ER14" s="49" t="s">
        <v>760</v>
      </c>
      <c r="ES14" s="49" t="s">
        <v>721</v>
      </c>
      <c r="EW14" s="49" t="s">
        <v>773</v>
      </c>
      <c r="EX14" s="49" t="s">
        <v>885</v>
      </c>
      <c r="FB14" s="49" t="s">
        <v>634</v>
      </c>
      <c r="FC14" s="49" t="s">
        <v>812</v>
      </c>
      <c r="FD14" s="49" t="s">
        <v>1160</v>
      </c>
      <c r="FE14" s="49" t="str">
        <f t="shared" si="0"/>
        <v>3vgOpname</v>
      </c>
      <c r="FF14" s="70">
        <f t="shared" si="1"/>
        <v>215.36</v>
      </c>
      <c r="FG14" s="70">
        <f t="shared" si="3"/>
        <v>1507.52</v>
      </c>
      <c r="FL14" s="95" t="s">
        <v>332</v>
      </c>
      <c r="FM14" s="49">
        <v>1</v>
      </c>
      <c r="FR14" s="49" t="s">
        <v>1326</v>
      </c>
      <c r="FS14" s="234">
        <f>IF(AND($I$33&gt;0,$F$5="Logeren icm MPT"),$T$20,0)</f>
        <v>0</v>
      </c>
      <c r="FX14" s="49">
        <f t="shared" si="2"/>
        <v>0</v>
      </c>
      <c r="FY14" s="49">
        <f t="shared" si="9"/>
        <v>0</v>
      </c>
      <c r="FZ14" s="49">
        <f t="shared" si="10"/>
        <v>0</v>
      </c>
      <c r="GA14" s="49">
        <f t="shared" si="4"/>
        <v>0</v>
      </c>
      <c r="GB14" s="49" t="str">
        <f t="shared" si="5"/>
        <v/>
      </c>
      <c r="GC14" s="49">
        <f t="shared" si="6"/>
        <v>0</v>
      </c>
      <c r="GD14" s="49">
        <f t="shared" si="7"/>
        <v>0</v>
      </c>
      <c r="GE14" s="49" t="str">
        <f t="shared" si="8"/>
        <v>Nee</v>
      </c>
    </row>
    <row r="15" spans="1:187" ht="19.5" customHeight="1" thickBot="1">
      <c r="A15" s="206"/>
      <c r="B15" s="244"/>
      <c r="C15" s="238"/>
      <c r="D15" s="238"/>
      <c r="E15" s="206"/>
      <c r="F15" s="206"/>
      <c r="G15" s="534"/>
      <c r="H15" s="534"/>
      <c r="I15" s="207"/>
      <c r="J15" s="207"/>
      <c r="K15" s="526" t="s">
        <v>1407</v>
      </c>
      <c r="L15" s="527"/>
      <c r="M15" s="234">
        <f>IF(F5="MPT",FS12,IF(F5="deeltijd verblijf icm zorg thuis",FS13,FS14))</f>
        <v>0</v>
      </c>
      <c r="N15" s="225">
        <f>IFERROR(M15/M17,0)</f>
        <v>0</v>
      </c>
      <c r="O15" s="226"/>
      <c r="P15" s="524"/>
      <c r="Q15" s="524"/>
      <c r="R15" s="524"/>
      <c r="S15" s="524"/>
      <c r="T15" s="160" t="s">
        <v>381</v>
      </c>
      <c r="U15" s="161" t="s">
        <v>401</v>
      </c>
      <c r="V15" s="151" t="s">
        <v>325</v>
      </c>
      <c r="W15" s="137"/>
      <c r="X15" s="137"/>
      <c r="Y15" s="138" t="s">
        <v>328</v>
      </c>
      <c r="Z15" s="138"/>
      <c r="AA15" s="139" t="s">
        <v>310</v>
      </c>
      <c r="AB15" s="54">
        <v>0.95099999999999996</v>
      </c>
      <c r="AC15" s="55" t="s">
        <v>544</v>
      </c>
      <c r="AD15" s="49" t="s">
        <v>1609</v>
      </c>
      <c r="AE15" s="56" t="s">
        <v>551</v>
      </c>
      <c r="AF15" s="56" t="s">
        <v>1366</v>
      </c>
      <c r="AG15" s="57"/>
      <c r="AH15" s="61"/>
      <c r="AI15" s="60"/>
      <c r="AJ15" s="62"/>
      <c r="AK15" s="49" t="s">
        <v>765</v>
      </c>
      <c r="AL15" s="49" t="s">
        <v>725</v>
      </c>
      <c r="AM15" s="49" t="s">
        <v>1174</v>
      </c>
      <c r="AN15" s="59" t="s">
        <v>483</v>
      </c>
      <c r="AO15" s="84">
        <v>7</v>
      </c>
      <c r="AP15" s="84" t="s">
        <v>385</v>
      </c>
      <c r="AQ15" s="84" t="s">
        <v>595</v>
      </c>
      <c r="AR15" s="84">
        <f>SUMIF($B$18:$B$31,"Schoonmaak",$F$18:$F$31)</f>
        <v>0</v>
      </c>
      <c r="AS15" s="84">
        <f>AR15/60</f>
        <v>0</v>
      </c>
      <c r="AT15" s="84">
        <f>FLOOR(AS15,1)</f>
        <v>0</v>
      </c>
      <c r="AU15" s="84">
        <f>IF(AR15&gt;0,1,0)</f>
        <v>0</v>
      </c>
      <c r="AV15" s="84">
        <f>IF(AT15+AU15&lt;=1,AU15,AT15)</f>
        <v>0</v>
      </c>
      <c r="AW15" s="84" t="str">
        <f>IFERROR(VLOOKUP(AV15,$AO$8:$AP$33,2,FALSE),"K8")</f>
        <v>Nvt</v>
      </c>
      <c r="AX15" s="84"/>
      <c r="AY15" s="79" t="s">
        <v>475</v>
      </c>
      <c r="AZ15" s="49" t="s">
        <v>6</v>
      </c>
      <c r="BA15" s="120">
        <f t="shared" si="13"/>
        <v>88.37</v>
      </c>
      <c r="BB15" s="121"/>
      <c r="BC15" s="87"/>
      <c r="BD15" s="87"/>
      <c r="BE15" s="95" t="s">
        <v>328</v>
      </c>
      <c r="BF15" s="123">
        <v>802</v>
      </c>
      <c r="BG15" s="96" t="s">
        <v>357</v>
      </c>
      <c r="BH15" s="124">
        <f t="shared" si="18"/>
        <v>48225</v>
      </c>
      <c r="BI15" s="125">
        <f t="shared" si="16"/>
        <v>924.86301369863008</v>
      </c>
      <c r="BJ15" s="107"/>
      <c r="BK15" s="107"/>
      <c r="BL15" s="126" t="s">
        <v>325</v>
      </c>
      <c r="BM15" s="89" t="e">
        <f>VLOOKUP(BL15,'Ruimte behandeling basis MPT'!$A$2:$H$46,8,FALSE)</f>
        <v>#N/A</v>
      </c>
      <c r="BN15" s="49">
        <f>IF(R25="ja",BO10,0)</f>
        <v>0</v>
      </c>
      <c r="BS15" s="49" t="s">
        <v>445</v>
      </c>
      <c r="BU15" s="70">
        <f ca="1">BU6+BU11</f>
        <v>0</v>
      </c>
      <c r="BZ15" s="128" t="s">
        <v>388</v>
      </c>
      <c r="CA15" s="128">
        <v>18</v>
      </c>
      <c r="CB15" s="128"/>
      <c r="CC15" s="128"/>
      <c r="CD15" s="128"/>
      <c r="CE15" s="128"/>
      <c r="CF15" s="128"/>
      <c r="CG15" s="128"/>
      <c r="CH15" s="128"/>
      <c r="CI15" s="128"/>
      <c r="CJ15" s="95" t="s">
        <v>328</v>
      </c>
      <c r="CK15" s="123" t="s">
        <v>466</v>
      </c>
      <c r="CL15" s="129" t="s">
        <v>341</v>
      </c>
      <c r="CM15" s="149" t="s">
        <v>335</v>
      </c>
      <c r="CN15" s="150">
        <v>780</v>
      </c>
      <c r="CO15" s="380">
        <v>0</v>
      </c>
      <c r="CP15" s="146">
        <f t="shared" si="19"/>
        <v>0</v>
      </c>
      <c r="CQ15" s="380">
        <v>0</v>
      </c>
      <c r="CR15" s="146">
        <f t="shared" si="20"/>
        <v>0</v>
      </c>
      <c r="CS15" s="380">
        <v>0</v>
      </c>
      <c r="CT15" s="146">
        <f t="shared" si="21"/>
        <v>0</v>
      </c>
      <c r="CU15" s="380">
        <v>0</v>
      </c>
      <c r="CV15" s="146">
        <f t="shared" si="22"/>
        <v>0</v>
      </c>
      <c r="CW15" s="380">
        <v>0</v>
      </c>
      <c r="CX15" s="380">
        <v>0</v>
      </c>
      <c r="CY15" s="380">
        <v>0</v>
      </c>
      <c r="DH15" s="49" t="s">
        <v>432</v>
      </c>
      <c r="DI15" s="50" t="s">
        <v>1294</v>
      </c>
      <c r="DJ15" s="49" t="s">
        <v>610</v>
      </c>
      <c r="DL15" s="49">
        <f t="shared" si="11"/>
        <v>0</v>
      </c>
      <c r="DM15" s="49">
        <f t="shared" si="12"/>
        <v>0</v>
      </c>
      <c r="DN15" s="49">
        <f t="shared" si="14"/>
        <v>0</v>
      </c>
      <c r="DO15" s="49">
        <f t="shared" si="15"/>
        <v>0</v>
      </c>
      <c r="DP15" s="56" t="s">
        <v>553</v>
      </c>
      <c r="DQ15" s="56" t="s">
        <v>551</v>
      </c>
      <c r="DR15" s="56" t="s">
        <v>551</v>
      </c>
      <c r="DS15" s="56" t="s">
        <v>641</v>
      </c>
      <c r="DT15" s="56" t="s">
        <v>379</v>
      </c>
      <c r="DV15" s="95" t="s">
        <v>330</v>
      </c>
      <c r="DW15" s="96" t="s">
        <v>357</v>
      </c>
      <c r="DX15" s="49" t="s">
        <v>432</v>
      </c>
      <c r="DY15" s="50">
        <v>0</v>
      </c>
      <c r="DZ15" s="50">
        <v>20</v>
      </c>
      <c r="ER15" s="49" t="s">
        <v>768</v>
      </c>
      <c r="ES15" s="49" t="s">
        <v>881</v>
      </c>
      <c r="EW15" s="49" t="s">
        <v>766</v>
      </c>
      <c r="EX15" s="49" t="s">
        <v>726</v>
      </c>
      <c r="FB15" s="49" t="s">
        <v>635</v>
      </c>
      <c r="FC15" s="49" t="s">
        <v>813</v>
      </c>
      <c r="FD15" s="49" t="s">
        <v>1160</v>
      </c>
      <c r="FE15" s="49" t="str">
        <f t="shared" si="0"/>
        <v>4vgOpname</v>
      </c>
      <c r="FF15" s="70">
        <f t="shared" si="1"/>
        <v>253.92</v>
      </c>
      <c r="FG15" s="70">
        <f t="shared" si="3"/>
        <v>1777.4399999999998</v>
      </c>
      <c r="FL15" s="95" t="s">
        <v>333</v>
      </c>
      <c r="FM15" s="49">
        <v>1</v>
      </c>
      <c r="FX15" s="49">
        <f t="shared" si="2"/>
        <v>0</v>
      </c>
      <c r="FY15" s="49">
        <f t="shared" si="9"/>
        <v>0</v>
      </c>
      <c r="FZ15" s="49">
        <f t="shared" si="10"/>
        <v>0</v>
      </c>
      <c r="GA15" s="49">
        <f t="shared" si="4"/>
        <v>0</v>
      </c>
      <c r="GB15" s="49" t="str">
        <f t="shared" si="5"/>
        <v/>
      </c>
      <c r="GC15" s="49">
        <f t="shared" si="6"/>
        <v>0</v>
      </c>
      <c r="GD15" s="49">
        <f t="shared" si="7"/>
        <v>0</v>
      </c>
      <c r="GE15" s="49" t="str">
        <f t="shared" si="8"/>
        <v>Nee</v>
      </c>
    </row>
    <row r="16" spans="1:187" ht="31.5" customHeight="1" thickBot="1">
      <c r="A16" s="206"/>
      <c r="B16" s="244" t="s">
        <v>1207</v>
      </c>
      <c r="C16" s="238"/>
      <c r="D16" s="238"/>
      <c r="E16" s="238"/>
      <c r="F16" s="243"/>
      <c r="G16" s="531" t="s">
        <v>464</v>
      </c>
      <c r="H16" s="238"/>
      <c r="I16" s="238"/>
      <c r="J16" s="209"/>
      <c r="K16" s="223">
        <f>IF(AND(Q22="Ja; Extra kosten thuis",M15&gt;0),1,0)</f>
        <v>0</v>
      </c>
      <c r="L16" s="206"/>
      <c r="M16" s="250" t="str">
        <f>IF(M5="financiële ruimte","Bedrag ZIN","Bedrag ZIN")</f>
        <v>Bedrag ZIN</v>
      </c>
      <c r="N16" s="210"/>
      <c r="O16" s="226"/>
      <c r="P16" s="524"/>
      <c r="Q16" s="524"/>
      <c r="R16" s="524"/>
      <c r="S16" s="524"/>
      <c r="T16" s="162" t="s">
        <v>358</v>
      </c>
      <c r="U16" s="163" t="s">
        <v>492</v>
      </c>
      <c r="V16" s="151" t="s">
        <v>326</v>
      </c>
      <c r="W16" s="137"/>
      <c r="X16" s="137"/>
      <c r="Y16" s="138" t="s">
        <v>329</v>
      </c>
      <c r="Z16" s="138"/>
      <c r="AA16" s="139" t="s">
        <v>311</v>
      </c>
      <c r="AB16" s="54">
        <v>0.95199999999999996</v>
      </c>
      <c r="AC16" s="55" t="s">
        <v>545</v>
      </c>
      <c r="AD16" s="49" t="s">
        <v>473</v>
      </c>
      <c r="AE16" s="56" t="s">
        <v>552</v>
      </c>
      <c r="AF16" s="56" t="s">
        <v>1367</v>
      </c>
      <c r="AG16" s="57"/>
      <c r="AH16" s="64"/>
      <c r="AI16" s="60"/>
      <c r="AJ16" s="62"/>
      <c r="AK16" s="49" t="s">
        <v>766</v>
      </c>
      <c r="AL16" s="49" t="s">
        <v>726</v>
      </c>
      <c r="AN16" s="59" t="s">
        <v>1418</v>
      </c>
      <c r="AO16" s="84">
        <v>8</v>
      </c>
      <c r="AP16" s="84" t="s">
        <v>385</v>
      </c>
      <c r="AQ16" s="84">
        <v>0</v>
      </c>
      <c r="AR16" s="84" t="s">
        <v>390</v>
      </c>
      <c r="AS16" s="84">
        <v>0</v>
      </c>
      <c r="AT16" s="84" t="s">
        <v>390</v>
      </c>
      <c r="AU16" s="84"/>
      <c r="AV16" s="84"/>
      <c r="AW16" s="84">
        <f>SUMIFS(F18:F31,B18:B31,"BGgrp",G18:G31,"Dagdelen")</f>
        <v>0</v>
      </c>
      <c r="AX16" s="84"/>
      <c r="AY16" s="79" t="s">
        <v>488</v>
      </c>
      <c r="AZ16" s="49" t="s">
        <v>285</v>
      </c>
      <c r="BA16" s="120">
        <f t="shared" si="13"/>
        <v>60.25</v>
      </c>
      <c r="BB16" s="121"/>
      <c r="BE16" s="95" t="s">
        <v>329</v>
      </c>
      <c r="BF16" s="123">
        <v>804</v>
      </c>
      <c r="BG16" s="96" t="s">
        <v>357</v>
      </c>
      <c r="BH16" s="124">
        <f t="shared" si="18"/>
        <v>54972</v>
      </c>
      <c r="BI16" s="125">
        <f t="shared" si="16"/>
        <v>1054.2575342465752</v>
      </c>
      <c r="BJ16" s="107"/>
      <c r="BK16" s="107"/>
      <c r="BL16" s="126" t="s">
        <v>326</v>
      </c>
      <c r="BM16" s="89">
        <f>VLOOKUP(BL16,'Ruimte behandeling basis MPT'!$A$2:$H$46,8,FALSE)</f>
        <v>0</v>
      </c>
      <c r="BN16" s="95" t="s">
        <v>317</v>
      </c>
      <c r="BO16" s="123">
        <v>750</v>
      </c>
      <c r="BP16" s="96" t="s">
        <v>341</v>
      </c>
      <c r="BQ16" s="166">
        <f t="shared" ref="BQ16:BQ31" si="23">VLOOKUP(BN16,Tarieven_PGB0,13,FALSE)</f>
        <v>18392</v>
      </c>
      <c r="BR16" s="125">
        <f>BQ16/365*7</f>
        <v>352.72328767123287</v>
      </c>
      <c r="BS16" s="93" t="s">
        <v>446</v>
      </c>
      <c r="BU16" s="70">
        <f ca="1">BU7+BU12</f>
        <v>0</v>
      </c>
      <c r="BZ16" s="128" t="s">
        <v>389</v>
      </c>
      <c r="CA16" s="128">
        <v>22.5</v>
      </c>
      <c r="CB16" s="128"/>
      <c r="CC16" s="128"/>
      <c r="CD16" s="128"/>
      <c r="CE16" s="128"/>
      <c r="CF16" s="128"/>
      <c r="CG16" s="128"/>
      <c r="CH16" s="128"/>
      <c r="CI16" s="128"/>
      <c r="CJ16" s="95" t="s">
        <v>329</v>
      </c>
      <c r="CK16" s="123" t="s">
        <v>466</v>
      </c>
      <c r="CL16" s="129" t="s">
        <v>341</v>
      </c>
      <c r="CM16" s="144" t="s">
        <v>336</v>
      </c>
      <c r="CN16" s="145">
        <v>781</v>
      </c>
      <c r="CO16" s="380">
        <v>0</v>
      </c>
      <c r="CP16" s="146">
        <f t="shared" si="19"/>
        <v>0</v>
      </c>
      <c r="CQ16" s="380">
        <v>0</v>
      </c>
      <c r="CR16" s="146">
        <f t="shared" si="20"/>
        <v>0</v>
      </c>
      <c r="CS16" s="380">
        <v>0</v>
      </c>
      <c r="CT16" s="146">
        <f t="shared" si="21"/>
        <v>0</v>
      </c>
      <c r="CU16" s="380">
        <v>0</v>
      </c>
      <c r="CV16" s="146">
        <f t="shared" si="22"/>
        <v>0</v>
      </c>
      <c r="CW16" s="380">
        <v>0</v>
      </c>
      <c r="CX16" s="380">
        <v>0</v>
      </c>
      <c r="CY16" s="380">
        <v>0</v>
      </c>
      <c r="DB16" s="49" t="s">
        <v>463</v>
      </c>
      <c r="DI16" s="49" t="s">
        <v>432</v>
      </c>
      <c r="DJ16" s="49" t="s">
        <v>1770</v>
      </c>
      <c r="DL16" s="49">
        <f t="shared" si="11"/>
        <v>0</v>
      </c>
      <c r="DM16" s="49">
        <f t="shared" si="12"/>
        <v>0</v>
      </c>
      <c r="DN16" s="49">
        <f t="shared" si="14"/>
        <v>0</v>
      </c>
      <c r="DO16" s="49">
        <f t="shared" si="15"/>
        <v>0</v>
      </c>
      <c r="DP16" s="56" t="s">
        <v>491</v>
      </c>
      <c r="DQ16" s="56" t="s">
        <v>553</v>
      </c>
      <c r="DR16" s="56" t="s">
        <v>552</v>
      </c>
      <c r="DS16" s="56" t="s">
        <v>643</v>
      </c>
      <c r="DT16" s="56" t="s">
        <v>379</v>
      </c>
      <c r="DV16" s="95" t="s">
        <v>331</v>
      </c>
      <c r="DW16" s="96" t="s">
        <v>357</v>
      </c>
      <c r="DX16" s="49" t="s">
        <v>465</v>
      </c>
      <c r="DY16" s="114">
        <f>DZ16*1.25</f>
        <v>31.875</v>
      </c>
      <c r="DZ16" s="167">
        <v>25.5</v>
      </c>
      <c r="EM16" s="49">
        <f>IF(F5="deeltijd verblijf icm zorg thuis","Deeltijd",IF(F5="logeren icm MPT","LOG",F5))</f>
        <v>0</v>
      </c>
      <c r="ER16" s="49" t="s">
        <v>761</v>
      </c>
      <c r="ES16" s="49" t="s">
        <v>722</v>
      </c>
      <c r="EW16" s="49" t="s">
        <v>774</v>
      </c>
      <c r="EX16" s="49" t="s">
        <v>886</v>
      </c>
      <c r="FB16" s="49" t="s">
        <v>636</v>
      </c>
      <c r="FC16" s="49" t="s">
        <v>814</v>
      </c>
      <c r="FD16" s="49" t="s">
        <v>1160</v>
      </c>
      <c r="FE16" s="49" t="str">
        <f t="shared" si="0"/>
        <v>5vgOpname</v>
      </c>
      <c r="FF16" s="70">
        <f t="shared" si="1"/>
        <v>328.2</v>
      </c>
      <c r="FG16" s="70">
        <f t="shared" si="3"/>
        <v>2297.4</v>
      </c>
      <c r="FL16" s="95" t="s">
        <v>334</v>
      </c>
      <c r="FM16" s="49">
        <v>1</v>
      </c>
      <c r="GA16" s="49">
        <f>SUM(GA2:GA15)</f>
        <v>0</v>
      </c>
    </row>
    <row r="17" spans="1:184" ht="38.25" thickBot="1">
      <c r="A17" s="206"/>
      <c r="B17" s="243" t="s">
        <v>967</v>
      </c>
      <c r="C17" s="243"/>
      <c r="D17" s="243" t="s">
        <v>0</v>
      </c>
      <c r="E17" s="327" t="s">
        <v>968</v>
      </c>
      <c r="F17" s="248" t="s">
        <v>969</v>
      </c>
      <c r="G17" s="531"/>
      <c r="H17" s="248" t="s">
        <v>366</v>
      </c>
      <c r="I17" s="249" t="s">
        <v>374</v>
      </c>
      <c r="J17" s="209"/>
      <c r="K17" s="258" t="s">
        <v>1128</v>
      </c>
      <c r="L17" s="206"/>
      <c r="M17" s="197">
        <f>M10+M12+M15</f>
        <v>0</v>
      </c>
      <c r="N17" s="222">
        <f>IFERROR(IF(F5="deeltijd verblijf icm zorg thuis",(M17/'Deeltijd verblijf'!P2),(M17/M6)),0)</f>
        <v>0</v>
      </c>
      <c r="O17" s="223"/>
      <c r="P17" s="524"/>
      <c r="Q17" s="524"/>
      <c r="R17" s="524"/>
      <c r="S17" s="524"/>
      <c r="T17" s="165" t="s">
        <v>970</v>
      </c>
      <c r="U17" s="165" t="s">
        <v>492</v>
      </c>
      <c r="V17" s="151"/>
      <c r="W17" s="137"/>
      <c r="X17" s="137"/>
      <c r="Y17" s="138" t="s">
        <v>330</v>
      </c>
      <c r="Z17" s="137"/>
      <c r="AA17" s="168"/>
      <c r="AB17" s="54">
        <v>0.95299999999999996</v>
      </c>
      <c r="AC17" s="55" t="s">
        <v>1605</v>
      </c>
      <c r="AD17" s="60"/>
      <c r="AE17" s="56" t="s">
        <v>553</v>
      </c>
      <c r="AF17" s="56" t="s">
        <v>1368</v>
      </c>
      <c r="AG17" s="57"/>
      <c r="AH17" s="64"/>
      <c r="AI17" s="60"/>
      <c r="AJ17" s="64"/>
      <c r="AK17" s="49" t="s">
        <v>767</v>
      </c>
      <c r="AL17" s="49" t="s">
        <v>727</v>
      </c>
      <c r="AN17" s="59" t="s">
        <v>1758</v>
      </c>
      <c r="AO17" s="84">
        <v>9</v>
      </c>
      <c r="AP17" s="84" t="s">
        <v>385</v>
      </c>
      <c r="AQ17" s="84">
        <v>1</v>
      </c>
      <c r="AR17" s="84" t="s">
        <v>391</v>
      </c>
      <c r="AS17" s="84">
        <v>1</v>
      </c>
      <c r="AT17" s="84" t="s">
        <v>414</v>
      </c>
      <c r="AU17" s="84"/>
      <c r="AV17" s="84"/>
      <c r="AW17" s="84">
        <f>SUMIFS(F18:F31,B18:B31,"BGgrp",G18:G31,"Minuten")</f>
        <v>0</v>
      </c>
      <c r="AX17" s="84"/>
      <c r="AY17" s="32" t="s">
        <v>1415</v>
      </c>
      <c r="AZ17" s="49" t="s">
        <v>1412</v>
      </c>
      <c r="BA17" s="120">
        <f t="shared" si="13"/>
        <v>63.19</v>
      </c>
      <c r="BB17" s="121"/>
      <c r="BE17" s="95" t="s">
        <v>330</v>
      </c>
      <c r="BF17" s="123">
        <v>806</v>
      </c>
      <c r="BG17" s="96" t="s">
        <v>357</v>
      </c>
      <c r="BH17" s="124">
        <f t="shared" si="18"/>
        <v>60336</v>
      </c>
      <c r="BI17" s="125">
        <f t="shared" si="16"/>
        <v>1157.1287671232876</v>
      </c>
      <c r="BJ17" s="107"/>
      <c r="BK17" s="107"/>
      <c r="BL17" s="126" t="s">
        <v>327</v>
      </c>
      <c r="BM17" s="89">
        <f>VLOOKUP(BL17,'Ruimte behandeling basis MPT'!$A$2:$H$46,8,FALSE)</f>
        <v>0</v>
      </c>
      <c r="BN17" s="95" t="s">
        <v>318</v>
      </c>
      <c r="BO17" s="123">
        <v>751</v>
      </c>
      <c r="BP17" s="96" t="s">
        <v>341</v>
      </c>
      <c r="BQ17" s="166">
        <f t="shared" si="23"/>
        <v>26667</v>
      </c>
      <c r="BR17" s="125">
        <f t="shared" ref="BR17:BR31" si="24">BQ17/365*7</f>
        <v>511.42191780821918</v>
      </c>
      <c r="BU17" s="70">
        <f ca="1">BU15-BU16</f>
        <v>0</v>
      </c>
      <c r="BZ17" s="128" t="s">
        <v>391</v>
      </c>
      <c r="CA17" s="128">
        <v>1</v>
      </c>
      <c r="CB17" s="128"/>
      <c r="CC17" s="128"/>
      <c r="CD17" s="128"/>
      <c r="CE17" s="128"/>
      <c r="CF17" s="128"/>
      <c r="CG17" s="128"/>
      <c r="CH17" s="128"/>
      <c r="CI17" s="128"/>
      <c r="CJ17" s="95" t="s">
        <v>330</v>
      </c>
      <c r="CK17" s="123" t="s">
        <v>466</v>
      </c>
      <c r="CL17" s="129" t="s">
        <v>341</v>
      </c>
      <c r="CM17" s="149" t="s">
        <v>337</v>
      </c>
      <c r="CN17" s="150">
        <v>782</v>
      </c>
      <c r="CO17" s="380">
        <v>0</v>
      </c>
      <c r="CP17" s="146">
        <f t="shared" si="19"/>
        <v>0</v>
      </c>
      <c r="CQ17" s="380">
        <v>0</v>
      </c>
      <c r="CR17" s="146">
        <f t="shared" si="20"/>
        <v>0</v>
      </c>
      <c r="CS17" s="380">
        <v>0</v>
      </c>
      <c r="CT17" s="146">
        <f t="shared" si="21"/>
        <v>0</v>
      </c>
      <c r="CU17" s="380">
        <v>0</v>
      </c>
      <c r="CV17" s="146">
        <f t="shared" si="22"/>
        <v>0</v>
      </c>
      <c r="CW17" s="380">
        <v>0</v>
      </c>
      <c r="CX17" s="380">
        <v>0</v>
      </c>
      <c r="CY17" s="380">
        <v>0</v>
      </c>
      <c r="DB17" s="49">
        <f>SUM(DE8:DE14)</f>
        <v>0</v>
      </c>
      <c r="DJ17" s="49" t="s">
        <v>1768</v>
      </c>
      <c r="DL17" s="49">
        <f t="shared" si="11"/>
        <v>0</v>
      </c>
      <c r="DM17" s="49">
        <f t="shared" si="12"/>
        <v>0</v>
      </c>
      <c r="DN17" s="49">
        <f t="shared" si="14"/>
        <v>0</v>
      </c>
      <c r="DP17" s="56" t="s">
        <v>557</v>
      </c>
      <c r="DQ17" s="56" t="s">
        <v>554</v>
      </c>
      <c r="DR17" s="56" t="s">
        <v>553</v>
      </c>
      <c r="DS17" s="56" t="s">
        <v>644</v>
      </c>
      <c r="DT17" s="56" t="s">
        <v>379</v>
      </c>
      <c r="DV17" s="95" t="s">
        <v>332</v>
      </c>
      <c r="DW17" s="96" t="s">
        <v>357</v>
      </c>
      <c r="DX17" s="49" t="s">
        <v>432</v>
      </c>
      <c r="DY17" s="114">
        <f t="shared" ref="DY17:DY81" si="25">DZ17*1.25</f>
        <v>31.25</v>
      </c>
      <c r="DZ17" s="49">
        <v>25</v>
      </c>
      <c r="ER17" s="49" t="s">
        <v>769</v>
      </c>
      <c r="ES17" s="49" t="s">
        <v>882</v>
      </c>
      <c r="EW17" s="49" t="s">
        <v>767</v>
      </c>
      <c r="EX17" s="49" t="s">
        <v>727</v>
      </c>
      <c r="FB17" s="49" t="s">
        <v>637</v>
      </c>
      <c r="FC17" s="49" t="s">
        <v>815</v>
      </c>
      <c r="FD17" s="49" t="s">
        <v>1160</v>
      </c>
      <c r="FE17" s="49" t="str">
        <f t="shared" si="0"/>
        <v>6vgOpname</v>
      </c>
      <c r="FF17" s="70">
        <f t="shared" si="1"/>
        <v>293.91000000000003</v>
      </c>
      <c r="FG17" s="70">
        <f t="shared" si="3"/>
        <v>2057.3700000000003</v>
      </c>
      <c r="FL17" s="95" t="s">
        <v>301</v>
      </c>
      <c r="FM17" s="49">
        <v>1</v>
      </c>
    </row>
    <row r="18" spans="1:184" ht="21" customHeight="1" thickBot="1">
      <c r="A18" s="206"/>
      <c r="B18" s="194"/>
      <c r="C18" s="224">
        <f>IF(B18="onklaar",$DP$1,B18)</f>
        <v>0</v>
      </c>
      <c r="D18" s="194"/>
      <c r="E18" s="194"/>
      <c r="F18" s="319"/>
      <c r="G18" s="195">
        <f t="shared" ref="G18:G31" si="26">DN6</f>
        <v>0</v>
      </c>
      <c r="H18" s="263">
        <f>IFERROR(IF(OR(COUNTIF(B18:B31,"VPTprestatie")&gt;1,(COUNTIF(B18:B31,"verblijfsprestatie")&gt;1)),"fout splitsing",U30),U30)</f>
        <v>0</v>
      </c>
      <c r="I18" s="260">
        <f t="shared" ref="I18:I31" si="27">IF(G18="minuten",(H18/60)*F18,F18*H18)</f>
        <v>0</v>
      </c>
      <c r="J18" s="209"/>
      <c r="K18" s="259">
        <f>IFERROR(IF($F$5="deeltijd verblijf icm zorg thuis",(I18/'Deeltijd verblijf'!$P$2)*100%,I18/($T$28+$M$8)*100%),0)</f>
        <v>0</v>
      </c>
      <c r="L18" s="206"/>
      <c r="M18" s="210"/>
      <c r="N18" s="210"/>
      <c r="O18" s="219"/>
      <c r="P18" s="210"/>
      <c r="Q18" s="210"/>
      <c r="R18" s="210"/>
      <c r="S18" s="206"/>
      <c r="T18" s="165" t="s">
        <v>1</v>
      </c>
      <c r="U18" s="165" t="s">
        <v>402</v>
      </c>
      <c r="V18" s="151"/>
      <c r="W18" s="137"/>
      <c r="X18" s="137"/>
      <c r="Y18" s="138" t="s">
        <v>331</v>
      </c>
      <c r="Z18" s="137"/>
      <c r="AA18" s="168"/>
      <c r="AB18" s="54">
        <v>0.95399999999999996</v>
      </c>
      <c r="AC18" s="60"/>
      <c r="AD18" s="60"/>
      <c r="AE18" s="56" t="s">
        <v>554</v>
      </c>
      <c r="AF18" s="56" t="s">
        <v>1369</v>
      </c>
      <c r="AG18" s="57"/>
      <c r="AH18" s="64"/>
      <c r="AI18" s="60"/>
      <c r="AJ18" s="64"/>
      <c r="AK18" s="49" t="s">
        <v>768</v>
      </c>
      <c r="AL18" s="49" t="s">
        <v>728</v>
      </c>
      <c r="AN18" s="65"/>
      <c r="AO18" s="84">
        <v>10</v>
      </c>
      <c r="AP18" s="84" t="s">
        <v>386</v>
      </c>
      <c r="AQ18" s="84">
        <v>2</v>
      </c>
      <c r="AR18" s="84" t="s">
        <v>392</v>
      </c>
      <c r="AS18" s="84">
        <v>2</v>
      </c>
      <c r="AT18" s="84" t="s">
        <v>415</v>
      </c>
      <c r="AU18" s="84"/>
      <c r="AV18" s="84"/>
      <c r="AW18" s="84">
        <f>AW17/60</f>
        <v>0</v>
      </c>
      <c r="AX18" s="84"/>
      <c r="AY18" s="32" t="s">
        <v>1416</v>
      </c>
      <c r="AZ18" s="49" t="s">
        <v>1413</v>
      </c>
      <c r="BA18" s="120">
        <f t="shared" si="13"/>
        <v>82.18</v>
      </c>
      <c r="BB18" s="121"/>
      <c r="BE18" s="95" t="s">
        <v>331</v>
      </c>
      <c r="BF18" s="123">
        <v>808</v>
      </c>
      <c r="BG18" s="96" t="s">
        <v>357</v>
      </c>
      <c r="BH18" s="124">
        <f t="shared" si="18"/>
        <v>76944</v>
      </c>
      <c r="BI18" s="125">
        <f t="shared" si="16"/>
        <v>1475.6383561643834</v>
      </c>
      <c r="BJ18" s="107"/>
      <c r="BK18" s="107"/>
      <c r="BL18" s="126" t="s">
        <v>328</v>
      </c>
      <c r="BM18" s="89">
        <f>VLOOKUP(BL18,'Ruimte behandeling basis MPT'!$A$2:$H$46,8,FALSE)</f>
        <v>0</v>
      </c>
      <c r="BN18" s="95" t="s">
        <v>319</v>
      </c>
      <c r="BO18" s="123">
        <v>752</v>
      </c>
      <c r="BP18" s="96" t="s">
        <v>341</v>
      </c>
      <c r="BQ18" s="166">
        <f t="shared" si="23"/>
        <v>32463</v>
      </c>
      <c r="BR18" s="125">
        <f t="shared" si="24"/>
        <v>622.57808219178082</v>
      </c>
      <c r="BS18" s="49">
        <f ca="1">IF(BU17&lt;0,0,4)</f>
        <v>4</v>
      </c>
      <c r="BZ18" s="128" t="s">
        <v>392</v>
      </c>
      <c r="CA18" s="128">
        <v>2</v>
      </c>
      <c r="CB18" s="128"/>
      <c r="CC18" s="128"/>
      <c r="CD18" s="128"/>
      <c r="CE18" s="128"/>
      <c r="CF18" s="128"/>
      <c r="CG18" s="128"/>
      <c r="CH18" s="128"/>
      <c r="CI18" s="128"/>
      <c r="CJ18" s="95" t="s">
        <v>331</v>
      </c>
      <c r="CK18" s="123" t="s">
        <v>466</v>
      </c>
      <c r="CL18" s="129" t="s">
        <v>341</v>
      </c>
      <c r="CM18" s="144" t="s">
        <v>338</v>
      </c>
      <c r="CN18" s="145">
        <v>783</v>
      </c>
      <c r="CO18" s="380">
        <v>0</v>
      </c>
      <c r="CP18" s="146">
        <f t="shared" si="19"/>
        <v>0</v>
      </c>
      <c r="CQ18" s="380">
        <v>0</v>
      </c>
      <c r="CR18" s="146">
        <f t="shared" si="20"/>
        <v>0</v>
      </c>
      <c r="CS18" s="380">
        <v>0</v>
      </c>
      <c r="CT18" s="146">
        <f t="shared" si="21"/>
        <v>0</v>
      </c>
      <c r="CU18" s="380">
        <v>0</v>
      </c>
      <c r="CV18" s="146">
        <f t="shared" si="22"/>
        <v>0</v>
      </c>
      <c r="CW18" s="380">
        <v>0</v>
      </c>
      <c r="CX18" s="380">
        <v>0</v>
      </c>
      <c r="CY18" s="380">
        <v>0</v>
      </c>
      <c r="DJ18" s="49" t="s">
        <v>1599</v>
      </c>
      <c r="DL18" s="49">
        <f t="shared" si="11"/>
        <v>0</v>
      </c>
      <c r="DM18" s="49">
        <f t="shared" si="12"/>
        <v>0</v>
      </c>
      <c r="DN18" s="49">
        <f t="shared" si="14"/>
        <v>0</v>
      </c>
      <c r="DP18" s="56" t="s">
        <v>560</v>
      </c>
      <c r="DQ18" s="56" t="s">
        <v>491</v>
      </c>
      <c r="DR18" s="56" t="s">
        <v>554</v>
      </c>
      <c r="DS18" s="56" t="s">
        <v>645</v>
      </c>
      <c r="DT18" s="56" t="s">
        <v>379</v>
      </c>
      <c r="DV18" s="95" t="s">
        <v>333</v>
      </c>
      <c r="DW18" s="96" t="s">
        <v>357</v>
      </c>
      <c r="DX18" s="49" t="s">
        <v>465</v>
      </c>
      <c r="DY18" s="114">
        <f t="shared" si="25"/>
        <v>45</v>
      </c>
      <c r="DZ18" s="167">
        <v>36</v>
      </c>
      <c r="ER18" s="49" t="s">
        <v>762</v>
      </c>
      <c r="ES18" s="49" t="s">
        <v>723</v>
      </c>
      <c r="EW18" s="49" t="s">
        <v>775</v>
      </c>
      <c r="EX18" s="49" t="s">
        <v>887</v>
      </c>
      <c r="FB18" s="49" t="s">
        <v>638</v>
      </c>
      <c r="FC18" s="49" t="s">
        <v>816</v>
      </c>
      <c r="FD18" s="49" t="s">
        <v>1160</v>
      </c>
      <c r="FE18" s="49" t="str">
        <f t="shared" si="0"/>
        <v>7vgOpname</v>
      </c>
      <c r="FF18" s="70">
        <f t="shared" si="1"/>
        <v>412.94</v>
      </c>
      <c r="FG18" s="70">
        <f t="shared" si="3"/>
        <v>2890.58</v>
      </c>
      <c r="FL18" s="95" t="s">
        <v>302</v>
      </c>
      <c r="FM18" s="49">
        <v>1</v>
      </c>
      <c r="FZ18" s="49" t="s">
        <v>465</v>
      </c>
      <c r="GA18" s="49" t="e">
        <f>VLOOKUP(FZ18,GB2:GC15,2,0)</f>
        <v>#N/A</v>
      </c>
      <c r="GB18" s="49" t="s">
        <v>357</v>
      </c>
    </row>
    <row r="19" spans="1:184" ht="21" customHeight="1" thickBot="1">
      <c r="A19" s="206"/>
      <c r="B19" s="194"/>
      <c r="C19" s="224">
        <f t="shared" ref="C19:C31" si="28">IF(B19="onklaar",$DP$1,B19)</f>
        <v>0</v>
      </c>
      <c r="D19" s="194"/>
      <c r="E19" s="194"/>
      <c r="F19" s="319"/>
      <c r="G19" s="195">
        <f t="shared" si="26"/>
        <v>0</v>
      </c>
      <c r="H19" s="263">
        <f t="shared" ref="H19:H26" si="29">U31</f>
        <v>0</v>
      </c>
      <c r="I19" s="264">
        <f t="shared" si="27"/>
        <v>0</v>
      </c>
      <c r="J19" s="209"/>
      <c r="K19" s="259">
        <f>IFERROR(IF($F$5="deeltijd verblijf icm zorg thuis",(I19/'Deeltijd verblijf'!$P$2)*100%,I19/($T$28+$M$8)*100%),0)</f>
        <v>0</v>
      </c>
      <c r="L19" s="212"/>
      <c r="M19" s="489" t="s">
        <v>611</v>
      </c>
      <c r="N19" s="490"/>
      <c r="O19" s="490"/>
      <c r="P19" s="490"/>
      <c r="Q19" s="490"/>
      <c r="R19" s="490"/>
      <c r="S19" s="206"/>
      <c r="T19" s="165" t="s">
        <v>948</v>
      </c>
      <c r="U19" s="165" t="s">
        <v>492</v>
      </c>
      <c r="V19" s="151"/>
      <c r="W19" s="137"/>
      <c r="X19" s="137"/>
      <c r="Y19" s="138" t="s">
        <v>332</v>
      </c>
      <c r="Z19" s="137"/>
      <c r="AA19" s="168"/>
      <c r="AB19" s="54">
        <v>0.95499999999999996</v>
      </c>
      <c r="AC19" s="60"/>
      <c r="AD19" s="60"/>
      <c r="AE19" s="56" t="s">
        <v>555</v>
      </c>
      <c r="AF19" s="56" t="s">
        <v>1370</v>
      </c>
      <c r="AG19" s="57"/>
      <c r="AH19" s="64"/>
      <c r="AI19" s="60"/>
      <c r="AJ19" s="64"/>
      <c r="AK19" s="49" t="s">
        <v>769</v>
      </c>
      <c r="AL19" s="49" t="s">
        <v>729</v>
      </c>
      <c r="AN19" s="65"/>
      <c r="AO19" s="84">
        <v>11</v>
      </c>
      <c r="AP19" s="84" t="s">
        <v>386</v>
      </c>
      <c r="AQ19" s="84">
        <v>3</v>
      </c>
      <c r="AR19" s="84" t="s">
        <v>393</v>
      </c>
      <c r="AS19" s="84">
        <v>3</v>
      </c>
      <c r="AT19" s="84" t="s">
        <v>416</v>
      </c>
      <c r="AU19" s="84"/>
      <c r="AV19" s="84"/>
      <c r="AW19" s="84">
        <f>CEILING(AW18,1)</f>
        <v>0</v>
      </c>
      <c r="AX19" s="84"/>
      <c r="AY19" s="79" t="s">
        <v>542</v>
      </c>
      <c r="AZ19" s="49" t="s">
        <v>12</v>
      </c>
      <c r="BA19" s="120">
        <f t="shared" si="13"/>
        <v>76.099999999999994</v>
      </c>
      <c r="BB19" s="121"/>
      <c r="BE19" s="95" t="s">
        <v>332</v>
      </c>
      <c r="BF19" s="123">
        <v>810</v>
      </c>
      <c r="BG19" s="96" t="s">
        <v>357</v>
      </c>
      <c r="BH19" s="124">
        <f t="shared" si="18"/>
        <v>72359</v>
      </c>
      <c r="BI19" s="125">
        <f t="shared" si="16"/>
        <v>1387.7068493150684</v>
      </c>
      <c r="BJ19" s="107"/>
      <c r="BK19" s="107"/>
      <c r="BL19" s="126" t="s">
        <v>329</v>
      </c>
      <c r="BM19" s="89">
        <f>VLOOKUP(BL19,'Ruimte behandeling basis MPT'!$A$2:$H$46,8,FALSE)</f>
        <v>180.87999999999994</v>
      </c>
      <c r="BN19" s="95" t="s">
        <v>320</v>
      </c>
      <c r="BO19" s="123">
        <v>753</v>
      </c>
      <c r="BP19" s="96" t="s">
        <v>341</v>
      </c>
      <c r="BQ19" s="166">
        <f t="shared" si="23"/>
        <v>43494</v>
      </c>
      <c r="BR19" s="125">
        <f t="shared" si="24"/>
        <v>834.13150684931509</v>
      </c>
      <c r="BS19" s="49">
        <f ca="1">IF(BU8=0,8,0)</f>
        <v>0</v>
      </c>
      <c r="BZ19" s="128" t="s">
        <v>393</v>
      </c>
      <c r="CA19" s="128">
        <v>3</v>
      </c>
      <c r="CB19" s="128"/>
      <c r="CC19" s="128"/>
      <c r="CD19" s="128"/>
      <c r="CE19" s="128"/>
      <c r="CF19" s="128"/>
      <c r="CG19" s="128"/>
      <c r="CH19" s="128"/>
      <c r="CI19" s="128"/>
      <c r="CJ19" s="95" t="s">
        <v>332</v>
      </c>
      <c r="CK19" s="123" t="s">
        <v>466</v>
      </c>
      <c r="CL19" s="129" t="s">
        <v>341</v>
      </c>
      <c r="CM19" s="149" t="s">
        <v>339</v>
      </c>
      <c r="CN19" s="150">
        <v>784</v>
      </c>
      <c r="CO19" s="380">
        <v>0</v>
      </c>
      <c r="CP19" s="146">
        <f t="shared" si="19"/>
        <v>0</v>
      </c>
      <c r="CQ19" s="380">
        <v>0</v>
      </c>
      <c r="CR19" s="146">
        <f t="shared" si="20"/>
        <v>0</v>
      </c>
      <c r="CS19" s="380">
        <v>0</v>
      </c>
      <c r="CT19" s="146">
        <f t="shared" si="21"/>
        <v>0</v>
      </c>
      <c r="CU19" s="380">
        <v>0</v>
      </c>
      <c r="CV19" s="146">
        <f t="shared" si="22"/>
        <v>0</v>
      </c>
      <c r="CW19" s="380">
        <v>0</v>
      </c>
      <c r="CX19" s="380">
        <v>0</v>
      </c>
      <c r="CY19" s="380">
        <v>0</v>
      </c>
      <c r="DA19" s="49">
        <f>SUMIFS(F18:F31,B18:B31,"BGgrp",G18:G31,"minuten")</f>
        <v>0</v>
      </c>
      <c r="DB19" s="49">
        <f>DA19/60</f>
        <v>0</v>
      </c>
      <c r="DJ19" s="49" t="s">
        <v>1771</v>
      </c>
      <c r="DL19" s="49">
        <f t="shared" si="11"/>
        <v>0</v>
      </c>
      <c r="DM19" s="49">
        <f t="shared" si="12"/>
        <v>0</v>
      </c>
      <c r="DN19" s="49">
        <f t="shared" si="14"/>
        <v>0</v>
      </c>
      <c r="DP19" s="56" t="s">
        <v>563</v>
      </c>
      <c r="DQ19" s="56" t="s">
        <v>557</v>
      </c>
      <c r="DR19" s="56" t="s">
        <v>555</v>
      </c>
      <c r="DS19" s="56" t="s">
        <v>646</v>
      </c>
      <c r="DT19" s="56" t="s">
        <v>379</v>
      </c>
      <c r="DV19" s="95" t="s">
        <v>334</v>
      </c>
      <c r="DW19" s="96" t="s">
        <v>357</v>
      </c>
      <c r="DX19" s="49" t="s">
        <v>465</v>
      </c>
      <c r="DY19" s="114">
        <f t="shared" si="25"/>
        <v>37.5</v>
      </c>
      <c r="DZ19" s="167">
        <v>30</v>
      </c>
      <c r="ER19" s="49" t="s">
        <v>770</v>
      </c>
      <c r="ES19" s="49" t="s">
        <v>883</v>
      </c>
      <c r="EW19" s="49" t="s">
        <v>790</v>
      </c>
      <c r="EX19" s="49" t="s">
        <v>728</v>
      </c>
      <c r="FB19" s="49" t="s">
        <v>639</v>
      </c>
      <c r="FC19" s="49" t="s">
        <v>817</v>
      </c>
      <c r="FD19" s="49" t="s">
        <v>1160</v>
      </c>
      <c r="FE19" s="49" t="str">
        <f t="shared" si="0"/>
        <v>8vgOpname</v>
      </c>
      <c r="FF19" s="70">
        <f t="shared" si="1"/>
        <v>401.48</v>
      </c>
      <c r="FG19" s="70">
        <f t="shared" si="3"/>
        <v>2810.36</v>
      </c>
      <c r="FL19" s="95" t="s">
        <v>303</v>
      </c>
      <c r="FM19" s="49">
        <v>1</v>
      </c>
      <c r="FZ19" s="49" t="s">
        <v>432</v>
      </c>
    </row>
    <row r="20" spans="1:184" ht="21" customHeight="1" thickBot="1">
      <c r="A20" s="206"/>
      <c r="B20" s="194"/>
      <c r="C20" s="224">
        <f t="shared" si="28"/>
        <v>0</v>
      </c>
      <c r="D20" s="194"/>
      <c r="E20" s="194"/>
      <c r="F20" s="319"/>
      <c r="G20" s="195">
        <f t="shared" si="26"/>
        <v>0</v>
      </c>
      <c r="H20" s="263">
        <f t="shared" si="29"/>
        <v>0</v>
      </c>
      <c r="I20" s="264">
        <f t="shared" si="27"/>
        <v>0</v>
      </c>
      <c r="J20" s="209"/>
      <c r="K20" s="259">
        <f>IFERROR(IF($F$5="deeltijd verblijf icm zorg thuis",(I20/'Deeltijd verblijf'!$P$2)*100%,I20/($T$28+$M$8)*100%),0)</f>
        <v>0</v>
      </c>
      <c r="L20" s="213"/>
      <c r="M20" s="487" t="str">
        <f ca="1">IFERROR(IF(Q24="gespecialiseerde verpleging",BT22,VLOOKUP(BS20,BS22:BT276,2,FALSE))," ")</f>
        <v>Eerst zorgvraag invullen</v>
      </c>
      <c r="N20" s="487"/>
      <c r="O20" s="487"/>
      <c r="P20" s="488"/>
      <c r="Q20" s="488"/>
      <c r="R20" s="488"/>
      <c r="S20" s="206"/>
      <c r="T20" s="190">
        <f>IF(FS8&gt;0,U20*125%,U20)</f>
        <v>0</v>
      </c>
      <c r="U20" s="190">
        <f>IFERROR(VLOOKUP($G$10,$BL$7:$BM$88,2,FALSE),0)</f>
        <v>0</v>
      </c>
      <c r="V20" s="151"/>
      <c r="W20" s="137"/>
      <c r="X20" s="137"/>
      <c r="Y20" s="138" t="s">
        <v>333</v>
      </c>
      <c r="Z20" s="137"/>
      <c r="AA20" s="168"/>
      <c r="AB20" s="54">
        <v>0.95599999999999996</v>
      </c>
      <c r="AC20" s="60"/>
      <c r="AD20" s="60"/>
      <c r="AE20" s="56" t="s">
        <v>491</v>
      </c>
      <c r="AF20" s="56" t="s">
        <v>1376</v>
      </c>
      <c r="AG20" s="57"/>
      <c r="AH20" s="64"/>
      <c r="AI20" s="60"/>
      <c r="AJ20" s="64"/>
      <c r="AK20" s="49" t="s">
        <v>770</v>
      </c>
      <c r="AL20" s="49" t="s">
        <v>730</v>
      </c>
      <c r="AN20" s="65"/>
      <c r="AO20" s="84">
        <v>12</v>
      </c>
      <c r="AP20" s="84" t="s">
        <v>386</v>
      </c>
      <c r="AQ20" s="84">
        <v>4</v>
      </c>
      <c r="AR20" s="84" t="s">
        <v>394</v>
      </c>
      <c r="AS20" s="84">
        <v>4</v>
      </c>
      <c r="AT20" s="84" t="s">
        <v>417</v>
      </c>
      <c r="AU20" s="84"/>
      <c r="AV20" s="84"/>
      <c r="AW20" s="84"/>
      <c r="AX20" s="84"/>
      <c r="AY20" s="79" t="s">
        <v>479</v>
      </c>
      <c r="AZ20" s="49" t="s">
        <v>7</v>
      </c>
      <c r="BA20" s="120">
        <f t="shared" si="13"/>
        <v>114.3</v>
      </c>
      <c r="BB20" s="121"/>
      <c r="BE20" s="95" t="s">
        <v>333</v>
      </c>
      <c r="BF20" s="123">
        <v>812</v>
      </c>
      <c r="BG20" s="96" t="s">
        <v>357</v>
      </c>
      <c r="BH20" s="124">
        <f t="shared" si="18"/>
        <v>96054</v>
      </c>
      <c r="BI20" s="125">
        <f t="shared" si="16"/>
        <v>1842.131506849315</v>
      </c>
      <c r="BJ20" s="107"/>
      <c r="BK20" s="107"/>
      <c r="BL20" s="126" t="s">
        <v>330</v>
      </c>
      <c r="BM20" s="89">
        <f>VLOOKUP(BL20,'Ruimte behandeling basis MPT'!$A$2:$H$46,8,FALSE)</f>
        <v>308.27999999999997</v>
      </c>
      <c r="BN20" s="95" t="s">
        <v>321</v>
      </c>
      <c r="BO20" s="123">
        <v>754</v>
      </c>
      <c r="BP20" s="96" t="s">
        <v>341</v>
      </c>
      <c r="BQ20" s="166">
        <f t="shared" si="23"/>
        <v>59013</v>
      </c>
      <c r="BR20" s="125">
        <f t="shared" si="24"/>
        <v>1131.7561643835616</v>
      </c>
      <c r="BS20" s="49">
        <f ca="1">IF(AND(BS21=2085,M17&lt;I35),2,BS21)</f>
        <v>1105</v>
      </c>
      <c r="BT20" s="49">
        <f ca="1">IF(E45=0,100,0)</f>
        <v>100</v>
      </c>
      <c r="BU20" s="49">
        <f>IF(R21="ja",80,0)</f>
        <v>0</v>
      </c>
      <c r="BV20" s="49">
        <f>IF(G12="ja",500,0)</f>
        <v>0</v>
      </c>
      <c r="BW20" s="49">
        <f>IF(R21="ja",1000,0)</f>
        <v>0</v>
      </c>
      <c r="BX20" s="49">
        <f>IF(Q24="palliatief terminale zorg",1000,0)</f>
        <v>0</v>
      </c>
      <c r="BZ20" s="128" t="s">
        <v>394</v>
      </c>
      <c r="CA20" s="128">
        <v>4</v>
      </c>
      <c r="CB20" s="128"/>
      <c r="CC20" s="128"/>
      <c r="CD20" s="128"/>
      <c r="CE20" s="128"/>
      <c r="CF20" s="128"/>
      <c r="CG20" s="128"/>
      <c r="CH20" s="128"/>
      <c r="CI20" s="128"/>
      <c r="CJ20" s="95" t="s">
        <v>333</v>
      </c>
      <c r="CK20" s="123" t="s">
        <v>466</v>
      </c>
      <c r="CL20" s="129" t="s">
        <v>341</v>
      </c>
      <c r="CM20" s="144" t="s">
        <v>340</v>
      </c>
      <c r="CN20" s="145">
        <v>790</v>
      </c>
      <c r="CO20" s="380">
        <v>0</v>
      </c>
      <c r="CP20" s="146">
        <f t="shared" si="19"/>
        <v>0</v>
      </c>
      <c r="CQ20" s="380">
        <v>0</v>
      </c>
      <c r="CR20" s="146">
        <f t="shared" si="20"/>
        <v>0</v>
      </c>
      <c r="CS20" s="380">
        <v>0</v>
      </c>
      <c r="CT20" s="146">
        <f t="shared" si="21"/>
        <v>0</v>
      </c>
      <c r="CU20" s="380">
        <v>0</v>
      </c>
      <c r="CV20" s="146">
        <f t="shared" si="22"/>
        <v>0</v>
      </c>
      <c r="CW20" s="380">
        <v>0</v>
      </c>
      <c r="CX20" s="380">
        <v>0</v>
      </c>
      <c r="CY20" s="380">
        <v>0</v>
      </c>
      <c r="DA20" s="49">
        <f>SUMIFS(F18:F31,B18:B31,"BGgrp",G18:G31,"Dagdelen")</f>
        <v>0</v>
      </c>
      <c r="DH20" s="330" t="str">
        <f>IF($F$5="opname","Verblijf",IF($F$5="MPT","MPT",IF($F$5="VPT","VPT","DTV")))</f>
        <v>DTV</v>
      </c>
      <c r="DJ20" s="49" t="s">
        <v>1764</v>
      </c>
      <c r="DP20" s="56" t="s">
        <v>566</v>
      </c>
      <c r="DQ20" s="56" t="s">
        <v>558</v>
      </c>
      <c r="DR20" s="56" t="s">
        <v>491</v>
      </c>
      <c r="DS20" s="56" t="s">
        <v>647</v>
      </c>
      <c r="DT20" s="56" t="s">
        <v>379</v>
      </c>
      <c r="DV20" s="95" t="s">
        <v>301</v>
      </c>
      <c r="DW20" s="96" t="s">
        <v>357</v>
      </c>
      <c r="DX20" s="49" t="s">
        <v>432</v>
      </c>
      <c r="DY20" s="114">
        <f t="shared" si="25"/>
        <v>18.125</v>
      </c>
      <c r="DZ20" s="49">
        <v>14.5</v>
      </c>
      <c r="ER20" s="49" t="s">
        <v>763</v>
      </c>
      <c r="ES20" s="49" t="s">
        <v>724</v>
      </c>
      <c r="EW20" s="49" t="s">
        <v>792</v>
      </c>
      <c r="EX20" s="49" t="s">
        <v>888</v>
      </c>
      <c r="FB20" s="49" t="s">
        <v>675</v>
      </c>
      <c r="FC20" s="49" t="s">
        <v>818</v>
      </c>
      <c r="FD20" s="49" t="s">
        <v>1160</v>
      </c>
      <c r="FE20" s="49" t="str">
        <f t="shared" si="0"/>
        <v>1lvgOpname</v>
      </c>
      <c r="FF20" s="70">
        <f t="shared" si="1"/>
        <v>251.69</v>
      </c>
      <c r="FG20" s="70">
        <f t="shared" si="3"/>
        <v>1761.83</v>
      </c>
      <c r="FL20" s="95" t="s">
        <v>304</v>
      </c>
      <c r="FM20" s="49">
        <v>1</v>
      </c>
    </row>
    <row r="21" spans="1:184" ht="21" customHeight="1" thickBot="1">
      <c r="A21" s="206"/>
      <c r="B21" s="194"/>
      <c r="C21" s="224">
        <f t="shared" si="28"/>
        <v>0</v>
      </c>
      <c r="D21" s="194"/>
      <c r="E21" s="194"/>
      <c r="F21" s="319"/>
      <c r="G21" s="195">
        <f t="shared" si="26"/>
        <v>0</v>
      </c>
      <c r="H21" s="263">
        <f t="shared" si="29"/>
        <v>0</v>
      </c>
      <c r="I21" s="264">
        <f t="shared" si="27"/>
        <v>0</v>
      </c>
      <c r="J21" s="209"/>
      <c r="K21" s="259">
        <f>IFERROR(IF($F$5="deeltijd verblijf icm zorg thuis",(I21/'Deeltijd verblijf'!$P$2)*100%,I21/($T$28+$M$8)*100%),0)</f>
        <v>0</v>
      </c>
      <c r="L21" s="207"/>
      <c r="M21" s="223" t="s">
        <v>503</v>
      </c>
      <c r="N21" s="226"/>
      <c r="O21" s="227"/>
      <c r="P21" s="227"/>
      <c r="Q21" s="220"/>
      <c r="R21" s="256"/>
      <c r="S21" s="206"/>
      <c r="T21" s="191">
        <f ca="1">BX14</f>
        <v>0</v>
      </c>
      <c r="U21" s="169" t="s">
        <v>5</v>
      </c>
      <c r="V21" s="171"/>
      <c r="W21" s="172"/>
      <c r="X21" s="172"/>
      <c r="Y21" s="170" t="s">
        <v>334</v>
      </c>
      <c r="Z21" s="172"/>
      <c r="AA21" s="173"/>
      <c r="AB21" s="54">
        <v>0.95699999999999996</v>
      </c>
      <c r="AC21" s="60"/>
      <c r="AD21" s="60"/>
      <c r="AE21" s="56" t="s">
        <v>557</v>
      </c>
      <c r="AF21" s="56" t="s">
        <v>1377</v>
      </c>
      <c r="AG21" s="57"/>
      <c r="AH21" s="64"/>
      <c r="AI21" s="64"/>
      <c r="AJ21" s="64"/>
      <c r="AK21" s="49" t="s">
        <v>771</v>
      </c>
      <c r="AL21" s="49" t="s">
        <v>731</v>
      </c>
      <c r="AN21" s="65"/>
      <c r="AO21" s="84">
        <v>13</v>
      </c>
      <c r="AP21" s="84" t="s">
        <v>387</v>
      </c>
      <c r="AQ21" s="84">
        <v>5</v>
      </c>
      <c r="AR21" s="84" t="s">
        <v>395</v>
      </c>
      <c r="AS21" s="84">
        <v>5</v>
      </c>
      <c r="AT21" s="84" t="s">
        <v>418</v>
      </c>
      <c r="AU21" s="84"/>
      <c r="AV21" s="84"/>
      <c r="AW21" s="84"/>
      <c r="AX21" s="84"/>
      <c r="AY21" s="79" t="s">
        <v>543</v>
      </c>
      <c r="AZ21" s="49" t="s">
        <v>10</v>
      </c>
      <c r="BA21" s="120">
        <f t="shared" si="13"/>
        <v>121.69</v>
      </c>
      <c r="BB21" s="121"/>
      <c r="BE21" s="95" t="s">
        <v>334</v>
      </c>
      <c r="BF21" s="123">
        <v>814</v>
      </c>
      <c r="BG21" s="96" t="s">
        <v>357</v>
      </c>
      <c r="BH21" s="124">
        <f t="shared" si="18"/>
        <v>84655</v>
      </c>
      <c r="BI21" s="125">
        <f t="shared" si="16"/>
        <v>1623.5205479452054</v>
      </c>
      <c r="BJ21" s="107"/>
      <c r="BK21" s="107"/>
      <c r="BL21" s="126" t="s">
        <v>331</v>
      </c>
      <c r="BM21" s="89">
        <f>VLOOKUP(BL21,'Ruimte behandeling basis MPT'!$A$2:$H$46,8,FALSE)</f>
        <v>260.68000000000006</v>
      </c>
      <c r="BN21" s="95" t="s">
        <v>322</v>
      </c>
      <c r="BO21" s="123">
        <v>755</v>
      </c>
      <c r="BP21" s="96" t="s">
        <v>341</v>
      </c>
      <c r="BQ21" s="166">
        <f t="shared" si="23"/>
        <v>59013</v>
      </c>
      <c r="BR21" s="125">
        <f t="shared" si="24"/>
        <v>1131.7561643835616</v>
      </c>
      <c r="BS21" s="49">
        <f ca="1">IF(AND(F5="opname",SUM(F18:F20)=16),1,IF(AND(F5="VPT",SUM(F18:F20)=16),1,$BS$14+$BS$18+$BS$9+$BS$19+$BT$20+$BU$20+$BV$20+$BW$20+$BX$21))</f>
        <v>1105</v>
      </c>
      <c r="BX21" s="49">
        <f ca="1">IF(OR(BX20=1000,K35&lt;126%),1000,0)</f>
        <v>1000</v>
      </c>
      <c r="BZ21" s="128" t="s">
        <v>395</v>
      </c>
      <c r="CA21" s="128">
        <v>5</v>
      </c>
      <c r="CB21" s="128"/>
      <c r="CC21" s="128"/>
      <c r="CD21" s="128"/>
      <c r="CE21" s="128"/>
      <c r="CF21" s="128"/>
      <c r="CG21" s="128"/>
      <c r="CH21" s="128"/>
      <c r="CI21" s="128"/>
      <c r="CJ21" s="95" t="s">
        <v>334</v>
      </c>
      <c r="CK21" s="123" t="s">
        <v>466</v>
      </c>
      <c r="CL21" s="129" t="s">
        <v>341</v>
      </c>
      <c r="CM21" s="149" t="s">
        <v>327</v>
      </c>
      <c r="CN21" s="150">
        <v>800</v>
      </c>
      <c r="CO21" s="380">
        <v>0</v>
      </c>
      <c r="CP21" s="146">
        <f t="shared" si="19"/>
        <v>0</v>
      </c>
      <c r="CQ21" s="380">
        <v>0</v>
      </c>
      <c r="CR21" s="146">
        <f t="shared" si="20"/>
        <v>0</v>
      </c>
      <c r="CS21" s="380">
        <v>0</v>
      </c>
      <c r="CT21" s="146">
        <f t="shared" si="21"/>
        <v>0</v>
      </c>
      <c r="CU21" s="380">
        <v>0</v>
      </c>
      <c r="CV21" s="146">
        <f t="shared" si="22"/>
        <v>0</v>
      </c>
      <c r="CW21" s="380">
        <v>0</v>
      </c>
      <c r="CX21" s="380">
        <v>0</v>
      </c>
      <c r="CY21" s="380">
        <v>0</v>
      </c>
      <c r="DH21" s="330" t="str">
        <f t="shared" ref="DH21:DH30" si="30">IF($F$5="opname","Verblijf",IF($F$5="MPT","MPT",IF($F$5="VPT","VPT","DTV")))</f>
        <v>DTV</v>
      </c>
      <c r="DJ21" s="50" t="s">
        <v>432</v>
      </c>
      <c r="DP21" s="56" t="s">
        <v>569</v>
      </c>
      <c r="DQ21" s="56" t="s">
        <v>560</v>
      </c>
      <c r="DR21" s="56" t="s">
        <v>557</v>
      </c>
      <c r="DS21" s="56" t="s">
        <v>648</v>
      </c>
      <c r="DT21" s="56" t="s">
        <v>379</v>
      </c>
      <c r="DV21" s="95" t="s">
        <v>302</v>
      </c>
      <c r="DW21" s="96" t="s">
        <v>357</v>
      </c>
      <c r="DX21" s="49" t="s">
        <v>432</v>
      </c>
      <c r="DY21" s="114">
        <f t="shared" si="25"/>
        <v>25</v>
      </c>
      <c r="DZ21" s="49">
        <v>20</v>
      </c>
      <c r="ER21" s="49" t="s">
        <v>771</v>
      </c>
      <c r="ES21" s="49" t="s">
        <v>884</v>
      </c>
      <c r="EW21" s="49" t="s">
        <v>791</v>
      </c>
      <c r="EX21" s="49" t="s">
        <v>729</v>
      </c>
      <c r="FB21" s="49" t="s">
        <v>676</v>
      </c>
      <c r="FC21" s="49" t="s">
        <v>819</v>
      </c>
      <c r="FD21" s="49" t="s">
        <v>1160</v>
      </c>
      <c r="FE21" s="49" t="str">
        <f t="shared" si="0"/>
        <v>2lvgOpname</v>
      </c>
      <c r="FF21" s="70">
        <f t="shared" si="1"/>
        <v>301.82</v>
      </c>
      <c r="FG21" s="70">
        <f t="shared" si="3"/>
        <v>2112.7399999999998</v>
      </c>
      <c r="FL21" s="95" t="s">
        <v>305</v>
      </c>
      <c r="FM21" s="49">
        <v>1</v>
      </c>
    </row>
    <row r="22" spans="1:184" ht="21" customHeight="1" thickBot="1">
      <c r="A22" s="206"/>
      <c r="B22" s="194"/>
      <c r="C22" s="224">
        <f t="shared" si="28"/>
        <v>0</v>
      </c>
      <c r="D22" s="194"/>
      <c r="E22" s="194"/>
      <c r="F22" s="319"/>
      <c r="G22" s="195">
        <f t="shared" si="26"/>
        <v>0</v>
      </c>
      <c r="H22" s="263">
        <f t="shared" si="29"/>
        <v>0</v>
      </c>
      <c r="I22" s="264">
        <f t="shared" si="27"/>
        <v>0</v>
      </c>
      <c r="J22" s="209"/>
      <c r="K22" s="259">
        <f>IFERROR(IF($F$5="deeltijd verblijf icm zorg thuis",(I22/'Deeltijd verblijf'!$P$2)*100%,I22/($T$28+$M$8)*100%),0)</f>
        <v>0</v>
      </c>
      <c r="L22" s="207"/>
      <c r="M22" s="223" t="s">
        <v>435</v>
      </c>
      <c r="N22" s="226"/>
      <c r="O22" s="227"/>
      <c r="P22" s="227"/>
      <c r="Q22" s="525"/>
      <c r="R22" s="525"/>
      <c r="S22" s="206"/>
      <c r="T22" s="49">
        <f ca="1">IF(M20="PGB: rekenmodule voorleggen aan zorgkantoor",1,0)</f>
        <v>0</v>
      </c>
      <c r="V22" s="317"/>
      <c r="W22" s="317"/>
      <c r="X22" s="317"/>
      <c r="Y22" s="318"/>
      <c r="Z22" s="317"/>
      <c r="AA22" s="317"/>
      <c r="AB22" s="54">
        <v>0.95799999999999996</v>
      </c>
      <c r="AC22" s="60"/>
      <c r="AD22" s="60"/>
      <c r="AE22" s="56" t="s">
        <v>558</v>
      </c>
      <c r="AF22" s="56" t="s">
        <v>1378</v>
      </c>
      <c r="AG22" s="57"/>
      <c r="AH22" s="64"/>
      <c r="AI22" s="64"/>
      <c r="AJ22" s="64"/>
      <c r="AK22" s="49" t="s">
        <v>772</v>
      </c>
      <c r="AL22" s="49" t="s">
        <v>732</v>
      </c>
      <c r="AN22" s="65"/>
      <c r="AO22" s="84">
        <v>14</v>
      </c>
      <c r="AP22" s="84" t="s">
        <v>387</v>
      </c>
      <c r="AQ22" s="84">
        <v>6</v>
      </c>
      <c r="AR22" s="84" t="s">
        <v>396</v>
      </c>
      <c r="AS22" s="84">
        <v>6</v>
      </c>
      <c r="AT22" s="84" t="s">
        <v>419</v>
      </c>
      <c r="AU22" s="84"/>
      <c r="AV22" s="84"/>
      <c r="AW22" s="84"/>
      <c r="AX22" s="84"/>
      <c r="AY22" s="79" t="s">
        <v>489</v>
      </c>
      <c r="AZ22" s="49" t="s">
        <v>276</v>
      </c>
      <c r="BA22" s="120">
        <f t="shared" si="13"/>
        <v>112.06</v>
      </c>
      <c r="BB22" s="121"/>
      <c r="BE22" s="95" t="s">
        <v>301</v>
      </c>
      <c r="BF22" s="123">
        <v>820</v>
      </c>
      <c r="BG22" s="96" t="s">
        <v>357</v>
      </c>
      <c r="BH22" s="124">
        <f t="shared" si="18"/>
        <v>52905</v>
      </c>
      <c r="BI22" s="125">
        <f t="shared" si="16"/>
        <v>1014.6164383561644</v>
      </c>
      <c r="BJ22" s="107"/>
      <c r="BK22" s="107"/>
      <c r="BL22" s="126" t="s">
        <v>332</v>
      </c>
      <c r="BM22" s="89">
        <f>VLOOKUP(BL22,'Ruimte behandeling basis MPT'!$A$2:$H$46,8,FALSE)</f>
        <v>342.2299999999999</v>
      </c>
      <c r="BN22" s="95" t="s">
        <v>323</v>
      </c>
      <c r="BO22" s="123">
        <v>756</v>
      </c>
      <c r="BP22" s="96" t="s">
        <v>341</v>
      </c>
      <c r="BQ22" s="166">
        <f t="shared" si="23"/>
        <v>73922</v>
      </c>
      <c r="BR22" s="125">
        <f t="shared" si="24"/>
        <v>1417.6821917808218</v>
      </c>
      <c r="BS22" s="49">
        <v>1</v>
      </c>
      <c r="BT22" s="49" t="s">
        <v>612</v>
      </c>
      <c r="BZ22" s="128" t="s">
        <v>396</v>
      </c>
      <c r="CA22" s="128">
        <v>6</v>
      </c>
      <c r="CB22" s="128"/>
      <c r="CC22" s="128"/>
      <c r="CD22" s="128"/>
      <c r="CE22" s="128"/>
      <c r="CF22" s="128"/>
      <c r="CG22" s="128"/>
      <c r="CH22" s="128"/>
      <c r="CI22" s="128"/>
      <c r="CJ22" s="95" t="s">
        <v>301</v>
      </c>
      <c r="CK22" s="123" t="s">
        <v>466</v>
      </c>
      <c r="CL22" s="129" t="s">
        <v>341</v>
      </c>
      <c r="CM22" s="144" t="s">
        <v>328</v>
      </c>
      <c r="CN22" s="145">
        <v>802</v>
      </c>
      <c r="CO22" s="380">
        <v>0</v>
      </c>
      <c r="CP22" s="146">
        <f t="shared" si="19"/>
        <v>0</v>
      </c>
      <c r="CQ22" s="380">
        <v>0</v>
      </c>
      <c r="CR22" s="146">
        <f t="shared" si="20"/>
        <v>0</v>
      </c>
      <c r="CS22" s="380">
        <v>0</v>
      </c>
      <c r="CT22" s="146">
        <f t="shared" si="21"/>
        <v>0</v>
      </c>
      <c r="CU22" s="380">
        <v>0</v>
      </c>
      <c r="CV22" s="146">
        <f t="shared" si="22"/>
        <v>0</v>
      </c>
      <c r="CW22" s="380">
        <v>0</v>
      </c>
      <c r="CX22" s="380">
        <v>0</v>
      </c>
      <c r="CY22" s="380">
        <v>0</v>
      </c>
      <c r="DH22" s="330" t="str">
        <f t="shared" si="30"/>
        <v>DTV</v>
      </c>
      <c r="DP22" s="56" t="s">
        <v>572</v>
      </c>
      <c r="DQ22" s="56" t="s">
        <v>561</v>
      </c>
      <c r="DR22" s="56" t="s">
        <v>558</v>
      </c>
      <c r="DS22" s="56" t="s">
        <v>649</v>
      </c>
      <c r="DT22" s="56" t="s">
        <v>379</v>
      </c>
      <c r="DV22" s="95" t="s">
        <v>303</v>
      </c>
      <c r="DW22" s="96" t="s">
        <v>357</v>
      </c>
      <c r="DX22" s="49" t="s">
        <v>432</v>
      </c>
      <c r="DY22" s="114">
        <f t="shared" si="25"/>
        <v>25</v>
      </c>
      <c r="DZ22" s="49">
        <v>20</v>
      </c>
      <c r="ER22" s="49" t="s">
        <v>764</v>
      </c>
      <c r="ES22" s="49" t="s">
        <v>725</v>
      </c>
      <c r="EW22" s="49" t="s">
        <v>793</v>
      </c>
      <c r="EX22" s="49" t="s">
        <v>889</v>
      </c>
      <c r="FB22" s="49" t="s">
        <v>677</v>
      </c>
      <c r="FC22" s="49" t="s">
        <v>820</v>
      </c>
      <c r="FD22" s="49" t="s">
        <v>1160</v>
      </c>
      <c r="FE22" s="49" t="str">
        <f t="shared" si="0"/>
        <v>3lvgOpname</v>
      </c>
      <c r="FF22" s="70">
        <f t="shared" si="1"/>
        <v>393.97</v>
      </c>
      <c r="FG22" s="70">
        <f t="shared" si="3"/>
        <v>2757.79</v>
      </c>
      <c r="FL22" s="95" t="s">
        <v>306</v>
      </c>
      <c r="FM22" s="49">
        <v>1</v>
      </c>
    </row>
    <row r="23" spans="1:184" ht="21" customHeight="1" thickBot="1">
      <c r="A23" s="206"/>
      <c r="B23" s="194"/>
      <c r="C23" s="224">
        <f t="shared" si="28"/>
        <v>0</v>
      </c>
      <c r="D23" s="194"/>
      <c r="E23" s="194"/>
      <c r="F23" s="319"/>
      <c r="G23" s="195">
        <f>DN11</f>
        <v>0</v>
      </c>
      <c r="H23" s="263">
        <f t="shared" si="29"/>
        <v>0</v>
      </c>
      <c r="I23" s="264">
        <f t="shared" si="27"/>
        <v>0</v>
      </c>
      <c r="J23" s="209"/>
      <c r="K23" s="259">
        <f>IFERROR(IF($F$5="deeltijd verblijf icm zorg thuis",(I23/'Deeltijd verblijf'!$P$2)*100%,I23/($T$28+$M$8)*100%),0)</f>
        <v>0</v>
      </c>
      <c r="L23" s="207"/>
      <c r="M23" s="223" t="s">
        <v>498</v>
      </c>
      <c r="N23" s="226"/>
      <c r="O23" s="226"/>
      <c r="P23" s="226"/>
      <c r="Q23" s="525"/>
      <c r="R23" s="525"/>
      <c r="S23" s="206"/>
      <c r="T23" s="49">
        <f ca="1">IF(I32&gt;T1,2,0)</f>
        <v>0</v>
      </c>
      <c r="X23" s="274" t="s">
        <v>1213</v>
      </c>
      <c r="Y23" s="55" t="s">
        <v>1215</v>
      </c>
      <c r="Z23" s="273" t="s">
        <v>1743</v>
      </c>
      <c r="AB23" s="54">
        <v>0.95899999999999996</v>
      </c>
      <c r="AC23" s="60"/>
      <c r="AD23" s="67"/>
      <c r="AE23" s="56" t="s">
        <v>559</v>
      </c>
      <c r="AF23" s="56" t="s">
        <v>1385</v>
      </c>
      <c r="AG23" s="57"/>
      <c r="AH23" s="64"/>
      <c r="AI23" s="64"/>
      <c r="AJ23" s="64"/>
      <c r="AK23" s="49" t="s">
        <v>773</v>
      </c>
      <c r="AL23" s="49" t="s">
        <v>733</v>
      </c>
      <c r="AN23" s="65"/>
      <c r="AO23" s="84">
        <v>15</v>
      </c>
      <c r="AP23" s="84" t="s">
        <v>387</v>
      </c>
      <c r="AQ23" s="84">
        <v>7</v>
      </c>
      <c r="AR23" s="84" t="s">
        <v>397</v>
      </c>
      <c r="AS23" s="84">
        <v>7</v>
      </c>
      <c r="AT23" s="84" t="s">
        <v>420</v>
      </c>
      <c r="AU23" s="84"/>
      <c r="AV23" s="84"/>
      <c r="AW23" s="84"/>
      <c r="AX23" s="84"/>
      <c r="AY23" s="79" t="s">
        <v>478</v>
      </c>
      <c r="AZ23" s="49" t="s">
        <v>8</v>
      </c>
      <c r="BA23" s="120">
        <f t="shared" si="13"/>
        <v>71.05</v>
      </c>
      <c r="BB23" s="121"/>
      <c r="BE23" s="95" t="s">
        <v>302</v>
      </c>
      <c r="BF23" s="123">
        <v>822</v>
      </c>
      <c r="BG23" s="96" t="s">
        <v>357</v>
      </c>
      <c r="BH23" s="124">
        <f t="shared" si="18"/>
        <v>63219</v>
      </c>
      <c r="BI23" s="125">
        <f t="shared" si="16"/>
        <v>1212.4191780821918</v>
      </c>
      <c r="BJ23" s="107"/>
      <c r="BK23" s="107"/>
      <c r="BL23" s="126" t="s">
        <v>333</v>
      </c>
      <c r="BM23" s="89">
        <f>VLOOKUP(BL23,'Ruimte behandeling basis MPT'!$A$2:$H$46,8,FALSE)</f>
        <v>596.05000000000007</v>
      </c>
      <c r="BN23" s="95" t="s">
        <v>324</v>
      </c>
      <c r="BO23" s="123">
        <v>757</v>
      </c>
      <c r="BP23" s="96" t="s">
        <v>341</v>
      </c>
      <c r="BQ23" s="166">
        <f t="shared" si="23"/>
        <v>88224</v>
      </c>
      <c r="BR23" s="125">
        <f t="shared" si="24"/>
        <v>1691.9671232876713</v>
      </c>
      <c r="BS23" s="49">
        <v>2</v>
      </c>
      <c r="BT23" s="49" t="s">
        <v>613</v>
      </c>
      <c r="BZ23" s="128" t="s">
        <v>397</v>
      </c>
      <c r="CA23" s="128">
        <v>7</v>
      </c>
      <c r="CB23" s="128"/>
      <c r="CC23" s="128"/>
      <c r="CD23" s="128"/>
      <c r="CE23" s="128"/>
      <c r="CF23" s="128"/>
      <c r="CG23" s="128"/>
      <c r="CH23" s="128"/>
      <c r="CI23" s="128"/>
      <c r="CJ23" s="95" t="s">
        <v>302</v>
      </c>
      <c r="CK23" s="123" t="s">
        <v>466</v>
      </c>
      <c r="CL23" s="129" t="s">
        <v>341</v>
      </c>
      <c r="CM23" s="149" t="s">
        <v>329</v>
      </c>
      <c r="CN23" s="150">
        <v>804</v>
      </c>
      <c r="CO23" s="380">
        <v>0</v>
      </c>
      <c r="CP23" s="146">
        <f t="shared" si="19"/>
        <v>0</v>
      </c>
      <c r="CQ23" s="380">
        <v>0</v>
      </c>
      <c r="CR23" s="146">
        <f t="shared" si="20"/>
        <v>0</v>
      </c>
      <c r="CS23" s="380">
        <v>0</v>
      </c>
      <c r="CT23" s="146">
        <f t="shared" si="21"/>
        <v>0</v>
      </c>
      <c r="CU23" s="380">
        <v>0</v>
      </c>
      <c r="CV23" s="146">
        <f t="shared" si="22"/>
        <v>0</v>
      </c>
      <c r="CW23" s="380">
        <v>0</v>
      </c>
      <c r="CX23" s="380">
        <v>0</v>
      </c>
      <c r="CY23" s="380">
        <v>0</v>
      </c>
      <c r="DH23" s="330" t="str">
        <f t="shared" si="30"/>
        <v>DTV</v>
      </c>
      <c r="DQ23" s="56" t="s">
        <v>563</v>
      </c>
      <c r="DR23" s="56" t="s">
        <v>559</v>
      </c>
      <c r="DS23" s="56" t="s">
        <v>650</v>
      </c>
      <c r="DT23" s="56" t="s">
        <v>674</v>
      </c>
      <c r="DV23" s="95" t="s">
        <v>304</v>
      </c>
      <c r="DW23" s="96" t="s">
        <v>357</v>
      </c>
      <c r="DX23" s="49" t="s">
        <v>432</v>
      </c>
      <c r="DY23" s="114">
        <f t="shared" si="25"/>
        <v>28.75</v>
      </c>
      <c r="DZ23" s="49">
        <v>23</v>
      </c>
      <c r="ER23" s="49" t="s">
        <v>772</v>
      </c>
      <c r="ES23" s="49" t="s">
        <v>885</v>
      </c>
      <c r="EW23" s="49" t="s">
        <v>794</v>
      </c>
      <c r="EX23" s="49" t="s">
        <v>730</v>
      </c>
      <c r="FB23" s="49" t="s">
        <v>678</v>
      </c>
      <c r="FC23" s="49" t="s">
        <v>821</v>
      </c>
      <c r="FD23" s="49" t="s">
        <v>1160</v>
      </c>
      <c r="FE23" s="49" t="str">
        <f t="shared" si="0"/>
        <v>4lvgOpname</v>
      </c>
      <c r="FF23" s="70">
        <f t="shared" si="1"/>
        <v>452.78</v>
      </c>
      <c r="FG23" s="70">
        <f t="shared" si="3"/>
        <v>3169.46</v>
      </c>
      <c r="FL23" s="95" t="s">
        <v>307</v>
      </c>
      <c r="FM23" s="49">
        <v>1</v>
      </c>
    </row>
    <row r="24" spans="1:184" ht="21" customHeight="1" thickBot="1">
      <c r="A24" s="206"/>
      <c r="B24" s="194"/>
      <c r="C24" s="224">
        <f t="shared" si="28"/>
        <v>0</v>
      </c>
      <c r="D24" s="194"/>
      <c r="E24" s="194"/>
      <c r="F24" s="319"/>
      <c r="G24" s="195">
        <f t="shared" si="26"/>
        <v>0</v>
      </c>
      <c r="H24" s="263">
        <f t="shared" si="29"/>
        <v>0</v>
      </c>
      <c r="I24" s="264">
        <f t="shared" si="27"/>
        <v>0</v>
      </c>
      <c r="J24" s="209"/>
      <c r="K24" s="259">
        <f>IFERROR(IF($F$5="deeltijd verblijf icm zorg thuis",(I24/'Deeltijd verblijf'!$P$2)*100%,I24/($T$28+$M$8)*100%),0)</f>
        <v>0</v>
      </c>
      <c r="L24" s="207"/>
      <c r="M24" s="223" t="s">
        <v>605</v>
      </c>
      <c r="N24" s="226"/>
      <c r="O24" s="226"/>
      <c r="P24" s="226"/>
      <c r="Q24" s="525"/>
      <c r="R24" s="525"/>
      <c r="S24" s="206"/>
      <c r="T24" s="49">
        <f ca="1">SUM(T22:T23)</f>
        <v>0</v>
      </c>
      <c r="V24" s="49" t="s">
        <v>499</v>
      </c>
      <c r="W24" s="49" t="s">
        <v>499</v>
      </c>
      <c r="X24" s="274" t="str">
        <f>IF(Q22="Ja; extra kosten thuis",X26,IF(Q22="Ja; ouder met kind jonger dan 18 die thuis woont",X27,IF(Q22="Ja; sprake van betaalde arbeid",X28,"")))</f>
        <v/>
      </c>
      <c r="Y24" s="55" t="str">
        <f>IF(Q23="ja invasieve beademing","invasieve beademing",IF(Q23="ja non-invasieve beademing","non-invasieve beademing",""))</f>
        <v/>
      </c>
      <c r="Z24" s="273" t="s">
        <v>1221</v>
      </c>
      <c r="AB24" s="66">
        <v>0.96</v>
      </c>
      <c r="AC24" s="64"/>
      <c r="AD24" s="67"/>
      <c r="AE24" s="56" t="s">
        <v>560</v>
      </c>
      <c r="AF24" s="56" t="s">
        <v>1379</v>
      </c>
      <c r="AG24" s="57"/>
      <c r="AH24" s="64"/>
      <c r="AI24" s="64"/>
      <c r="AJ24" s="64"/>
      <c r="AK24" s="49" t="s">
        <v>774</v>
      </c>
      <c r="AL24" s="49" t="s">
        <v>734</v>
      </c>
      <c r="AN24" s="65"/>
      <c r="AO24" s="84">
        <v>16</v>
      </c>
      <c r="AP24" s="84" t="s">
        <v>388</v>
      </c>
      <c r="AQ24" s="84">
        <v>8</v>
      </c>
      <c r="AR24" s="84" t="s">
        <v>398</v>
      </c>
      <c r="AS24" s="84"/>
      <c r="AT24" s="84"/>
      <c r="AU24" s="84"/>
      <c r="AV24" s="84"/>
      <c r="AW24" s="84"/>
      <c r="AX24" s="84"/>
      <c r="AY24" s="79" t="s">
        <v>480</v>
      </c>
      <c r="AZ24" s="49" t="s">
        <v>266</v>
      </c>
      <c r="BA24" s="120">
        <f t="shared" si="13"/>
        <v>127.13</v>
      </c>
      <c r="BB24" s="121"/>
      <c r="BE24" s="95" t="s">
        <v>303</v>
      </c>
      <c r="BF24" s="123">
        <v>824</v>
      </c>
      <c r="BG24" s="96" t="s">
        <v>357</v>
      </c>
      <c r="BH24" s="124">
        <f t="shared" si="18"/>
        <v>58818</v>
      </c>
      <c r="BI24" s="125">
        <f t="shared" si="16"/>
        <v>1128.0164383561644</v>
      </c>
      <c r="BJ24" s="107"/>
      <c r="BK24" s="107"/>
      <c r="BL24" s="126" t="s">
        <v>334</v>
      </c>
      <c r="BM24" s="89">
        <f>VLOOKUP(BL24,'Ruimte behandeling basis MPT'!$A$2:$H$46,8,FALSE)</f>
        <v>354.55000000000007</v>
      </c>
      <c r="BN24" s="95" t="s">
        <v>430</v>
      </c>
      <c r="BO24" s="123">
        <v>191</v>
      </c>
      <c r="BP24" s="96" t="s">
        <v>341</v>
      </c>
      <c r="BQ24" s="166">
        <f t="shared" si="23"/>
        <v>56574</v>
      </c>
      <c r="BR24" s="125">
        <f t="shared" si="24"/>
        <v>1084.9808219178083</v>
      </c>
      <c r="BS24" s="49">
        <v>3</v>
      </c>
      <c r="BT24" s="49" t="s">
        <v>613</v>
      </c>
      <c r="BV24" s="49">
        <v>3357</v>
      </c>
      <c r="BZ24" s="128" t="s">
        <v>398</v>
      </c>
      <c r="CA24" s="128">
        <v>8</v>
      </c>
      <c r="CB24" s="128"/>
      <c r="CC24" s="128"/>
      <c r="CD24" s="128"/>
      <c r="CE24" s="128"/>
      <c r="CF24" s="128"/>
      <c r="CG24" s="128"/>
      <c r="CH24" s="128"/>
      <c r="CI24" s="128"/>
      <c r="CJ24" s="95" t="s">
        <v>303</v>
      </c>
      <c r="CK24" s="123" t="s">
        <v>466</v>
      </c>
      <c r="CL24" s="129" t="s">
        <v>341</v>
      </c>
      <c r="CM24" s="144" t="s">
        <v>330</v>
      </c>
      <c r="CN24" s="145">
        <v>806</v>
      </c>
      <c r="CO24" s="380">
        <v>0</v>
      </c>
      <c r="CP24" s="146">
        <f t="shared" si="19"/>
        <v>0</v>
      </c>
      <c r="CQ24" s="380">
        <v>0</v>
      </c>
      <c r="CR24" s="146">
        <f t="shared" si="20"/>
        <v>0</v>
      </c>
      <c r="CS24" s="380">
        <v>0</v>
      </c>
      <c r="CT24" s="146">
        <f t="shared" si="21"/>
        <v>0</v>
      </c>
      <c r="CU24" s="380">
        <v>0</v>
      </c>
      <c r="CV24" s="146">
        <f t="shared" si="22"/>
        <v>0</v>
      </c>
      <c r="CW24" s="380">
        <v>0</v>
      </c>
      <c r="CX24" s="380">
        <v>0</v>
      </c>
      <c r="CY24" s="380">
        <v>0</v>
      </c>
      <c r="DH24" s="330" t="str">
        <f t="shared" si="30"/>
        <v>DTV</v>
      </c>
      <c r="DQ24" s="56" t="s">
        <v>564</v>
      </c>
      <c r="DR24" s="56" t="s">
        <v>560</v>
      </c>
      <c r="DS24" s="56" t="s">
        <v>651</v>
      </c>
      <c r="DT24" s="56" t="s">
        <v>673</v>
      </c>
      <c r="DV24" s="95" t="s">
        <v>305</v>
      </c>
      <c r="DW24" s="96" t="s">
        <v>357</v>
      </c>
      <c r="DX24" s="49" t="s">
        <v>465</v>
      </c>
      <c r="DY24" s="114">
        <f t="shared" si="25"/>
        <v>35.625</v>
      </c>
      <c r="DZ24" s="167">
        <v>28.5</v>
      </c>
      <c r="ER24" s="49" t="s">
        <v>765</v>
      </c>
      <c r="ES24" s="49" t="s">
        <v>726</v>
      </c>
      <c r="EW24" s="49" t="s">
        <v>800</v>
      </c>
      <c r="EX24" s="49" t="s">
        <v>890</v>
      </c>
      <c r="FB24" s="49" t="s">
        <v>679</v>
      </c>
      <c r="FC24" s="49" t="s">
        <v>822</v>
      </c>
      <c r="FD24" s="49" t="s">
        <v>1160</v>
      </c>
      <c r="FE24" s="49" t="str">
        <f t="shared" si="0"/>
        <v>5lvgOpname</v>
      </c>
      <c r="FF24" s="70">
        <f t="shared" si="1"/>
        <v>432.4</v>
      </c>
      <c r="FG24" s="70">
        <f t="shared" si="3"/>
        <v>3026.7999999999997</v>
      </c>
      <c r="FL24" s="95" t="s">
        <v>312</v>
      </c>
      <c r="FM24" s="49">
        <v>1</v>
      </c>
    </row>
    <row r="25" spans="1:184" ht="21" customHeight="1" thickBot="1">
      <c r="A25" s="206"/>
      <c r="B25" s="194"/>
      <c r="C25" s="224">
        <f t="shared" si="28"/>
        <v>0</v>
      </c>
      <c r="D25" s="194"/>
      <c r="E25" s="194"/>
      <c r="F25" s="319"/>
      <c r="G25" s="195">
        <f t="shared" si="26"/>
        <v>0</v>
      </c>
      <c r="H25" s="263">
        <f t="shared" si="29"/>
        <v>0</v>
      </c>
      <c r="I25" s="264">
        <f t="shared" si="27"/>
        <v>0</v>
      </c>
      <c r="J25" s="209"/>
      <c r="K25" s="259">
        <f>IFERROR(IF($F$5="deeltijd verblijf icm zorg thuis",(I25/'Deeltijd verblijf'!$P$2)*100%,I25/($T$28+$M$8)*100%),0)</f>
        <v>0</v>
      </c>
      <c r="L25" s="211"/>
      <c r="M25" s="223" t="s">
        <v>505</v>
      </c>
      <c r="N25" s="223"/>
      <c r="O25" s="223"/>
      <c r="P25" s="223"/>
      <c r="Q25" s="228"/>
      <c r="R25" s="229"/>
      <c r="S25" s="206"/>
      <c r="V25" s="50" t="s">
        <v>504</v>
      </c>
      <c r="W25" s="50" t="s">
        <v>504</v>
      </c>
      <c r="X25" s="275" t="s">
        <v>610</v>
      </c>
      <c r="Y25" s="275" t="str">
        <f>IF(Q24="extra overbruggingszorg (urgent of actief actief plaatsen)",Z23,IF(Q24="palliatief terminale zorg",Z24,IF(Q24="meerzorg",Z25,IF(Q24="extra budget voor behandeling",Z26,IF(Q24="overig",Z27,IF(Q24="Gespecialiseerde verpleging",Z28,""))))))</f>
        <v/>
      </c>
      <c r="Z25" s="273" t="s">
        <v>608</v>
      </c>
      <c r="AA25" s="50"/>
      <c r="AB25" s="54">
        <v>0.96499999999999997</v>
      </c>
      <c r="AC25" s="64"/>
      <c r="AD25" s="64"/>
      <c r="AE25" s="56" t="s">
        <v>561</v>
      </c>
      <c r="AF25" s="56" t="s">
        <v>1536</v>
      </c>
      <c r="AG25" s="57"/>
      <c r="AH25" s="64"/>
      <c r="AI25" s="64"/>
      <c r="AJ25" s="64"/>
      <c r="AK25" s="49" t="s">
        <v>775</v>
      </c>
      <c r="AL25" s="49" t="s">
        <v>735</v>
      </c>
      <c r="AM25" s="63"/>
      <c r="AN25" s="65"/>
      <c r="AO25" s="84">
        <v>17</v>
      </c>
      <c r="AP25" s="84" t="s">
        <v>388</v>
      </c>
      <c r="AQ25" s="84">
        <v>9</v>
      </c>
      <c r="AR25" s="84" t="s">
        <v>399</v>
      </c>
      <c r="AS25" s="84"/>
      <c r="AT25" s="84"/>
      <c r="AU25" s="84"/>
      <c r="AV25" s="84"/>
      <c r="AW25" s="84"/>
      <c r="AX25" s="84"/>
      <c r="AY25" s="79" t="s">
        <v>481</v>
      </c>
      <c r="AZ25" s="49" t="s">
        <v>258</v>
      </c>
      <c r="BA25" s="120">
        <f t="shared" si="13"/>
        <v>156.24</v>
      </c>
      <c r="BB25" s="121"/>
      <c r="BE25" s="95" t="s">
        <v>304</v>
      </c>
      <c r="BF25" s="123">
        <v>826</v>
      </c>
      <c r="BG25" s="96" t="s">
        <v>357</v>
      </c>
      <c r="BH25" s="124">
        <f t="shared" si="18"/>
        <v>63219</v>
      </c>
      <c r="BI25" s="125">
        <f t="shared" si="16"/>
        <v>1212.4191780821918</v>
      </c>
      <c r="BJ25" s="107"/>
      <c r="BK25" s="107"/>
      <c r="BL25" s="126" t="s">
        <v>335</v>
      </c>
      <c r="BM25" s="89">
        <f>VLOOKUP(BL25,'Ruimte behandeling basis MPT'!$A$2:$H$46,8,FALSE)</f>
        <v>0</v>
      </c>
      <c r="BN25" s="95" t="s">
        <v>326</v>
      </c>
      <c r="BO25" s="123">
        <v>759</v>
      </c>
      <c r="BP25" s="96" t="s">
        <v>341</v>
      </c>
      <c r="BQ25" s="166">
        <f t="shared" si="23"/>
        <v>96108</v>
      </c>
      <c r="BR25" s="125">
        <f t="shared" si="24"/>
        <v>1843.1671232876711</v>
      </c>
      <c r="BS25" s="49">
        <v>4</v>
      </c>
      <c r="BT25" s="49" t="s">
        <v>613</v>
      </c>
      <c r="BV25" s="49">
        <f>BV24/365</f>
        <v>9.1972602739726028</v>
      </c>
      <c r="BZ25" s="128" t="s">
        <v>399</v>
      </c>
      <c r="CA25" s="128">
        <v>9</v>
      </c>
      <c r="CB25" s="128"/>
      <c r="CC25" s="128" t="s">
        <v>452</v>
      </c>
      <c r="CD25" s="128"/>
      <c r="CE25" s="128"/>
      <c r="CF25" s="128"/>
      <c r="CG25" s="128"/>
      <c r="CH25" s="128"/>
      <c r="CI25" s="128"/>
      <c r="CJ25" s="95" t="s">
        <v>304</v>
      </c>
      <c r="CK25" s="123" t="s">
        <v>466</v>
      </c>
      <c r="CL25" s="129" t="s">
        <v>341</v>
      </c>
      <c r="CM25" s="149" t="s">
        <v>331</v>
      </c>
      <c r="CN25" s="150">
        <v>808</v>
      </c>
      <c r="CO25" s="380">
        <v>0</v>
      </c>
      <c r="CP25" s="146">
        <f t="shared" si="19"/>
        <v>0</v>
      </c>
      <c r="CQ25" s="380">
        <v>0</v>
      </c>
      <c r="CR25" s="146">
        <f t="shared" si="20"/>
        <v>0</v>
      </c>
      <c r="CS25" s="380">
        <v>0</v>
      </c>
      <c r="CT25" s="146">
        <f t="shared" si="21"/>
        <v>0</v>
      </c>
      <c r="CU25" s="380">
        <v>0</v>
      </c>
      <c r="CV25" s="146">
        <f t="shared" si="22"/>
        <v>0</v>
      </c>
      <c r="CW25" s="380">
        <v>0</v>
      </c>
      <c r="CX25" s="380">
        <v>0</v>
      </c>
      <c r="CY25" s="380">
        <v>0</v>
      </c>
      <c r="DH25" s="330" t="str">
        <f t="shared" si="30"/>
        <v>DTV</v>
      </c>
      <c r="DQ25" s="56" t="s">
        <v>566</v>
      </c>
      <c r="DR25" s="56" t="s">
        <v>561</v>
      </c>
      <c r="DS25" s="56" t="s">
        <v>652</v>
      </c>
      <c r="DT25" s="56" t="s">
        <v>674</v>
      </c>
      <c r="DV25" s="95" t="s">
        <v>306</v>
      </c>
      <c r="DW25" s="96" t="s">
        <v>357</v>
      </c>
      <c r="DX25" s="49" t="s">
        <v>465</v>
      </c>
      <c r="DY25" s="114">
        <f t="shared" si="25"/>
        <v>35.625</v>
      </c>
      <c r="DZ25" s="167">
        <v>28.5</v>
      </c>
      <c r="ER25" s="49" t="s">
        <v>773</v>
      </c>
      <c r="EW25" s="49" t="s">
        <v>806</v>
      </c>
      <c r="EX25" s="49" t="s">
        <v>896</v>
      </c>
      <c r="FB25" s="49" t="s">
        <v>657</v>
      </c>
      <c r="FC25" s="49" t="s">
        <v>823</v>
      </c>
      <c r="FD25" s="49" t="s">
        <v>1160</v>
      </c>
      <c r="FE25" s="49" t="str">
        <f t="shared" si="0"/>
        <v>1sglvgOpname</v>
      </c>
      <c r="FF25" s="70">
        <f t="shared" si="1"/>
        <v>509.49</v>
      </c>
      <c r="FG25" s="70">
        <f t="shared" si="3"/>
        <v>3566.4300000000003</v>
      </c>
      <c r="FL25" s="95" t="s">
        <v>313</v>
      </c>
      <c r="FM25" s="49">
        <v>1</v>
      </c>
    </row>
    <row r="26" spans="1:184" ht="21" customHeight="1" thickBot="1">
      <c r="A26" s="206"/>
      <c r="B26" s="194"/>
      <c r="C26" s="224">
        <f t="shared" si="28"/>
        <v>0</v>
      </c>
      <c r="D26" s="194"/>
      <c r="E26" s="194"/>
      <c r="F26" s="319"/>
      <c r="G26" s="195">
        <f t="shared" si="26"/>
        <v>0</v>
      </c>
      <c r="H26" s="263">
        <f t="shared" si="29"/>
        <v>0</v>
      </c>
      <c r="I26" s="264">
        <f t="shared" si="27"/>
        <v>0</v>
      </c>
      <c r="J26" s="209"/>
      <c r="K26" s="259">
        <f>IFERROR(IF($F$5="deeltijd verblijf icm zorg thuis",(I26/'Deeltijd verblijf'!$P$2)*100%,I26/($T$28+$M$8)*100%),0)</f>
        <v>0</v>
      </c>
      <c r="L26" s="244" t="s">
        <v>375</v>
      </c>
      <c r="M26" s="209"/>
      <c r="N26" s="209"/>
      <c r="O26" s="209"/>
      <c r="P26" s="206"/>
      <c r="Q26" s="206"/>
      <c r="R26" s="206"/>
      <c r="S26" s="206"/>
      <c r="T26" s="70">
        <f>IF(I33&lt;M15,I33,M15)</f>
        <v>0</v>
      </c>
      <c r="V26" s="50" t="s">
        <v>437</v>
      </c>
      <c r="W26" s="49" t="s">
        <v>432</v>
      </c>
      <c r="X26" s="273" t="s">
        <v>1214</v>
      </c>
      <c r="Z26" s="273" t="s">
        <v>609</v>
      </c>
      <c r="AB26" s="54">
        <v>0.97</v>
      </c>
      <c r="AC26" s="64"/>
      <c r="AD26" s="64"/>
      <c r="AE26" s="56" t="s">
        <v>562</v>
      </c>
      <c r="AF26" s="56" t="s">
        <v>1592</v>
      </c>
      <c r="AG26" s="57"/>
      <c r="AH26" s="64"/>
      <c r="AI26" s="64"/>
      <c r="AJ26" s="64"/>
      <c r="AK26" s="49" t="s">
        <v>776</v>
      </c>
      <c r="AL26" s="49" t="s">
        <v>736</v>
      </c>
      <c r="AM26" s="65"/>
      <c r="AN26" s="65"/>
      <c r="AO26" s="84">
        <v>18</v>
      </c>
      <c r="AP26" s="84" t="s">
        <v>388</v>
      </c>
      <c r="AQ26" s="84"/>
      <c r="AR26" s="84"/>
      <c r="AS26" s="84"/>
      <c r="AT26" s="84"/>
      <c r="AU26" s="84"/>
      <c r="AV26" s="84"/>
      <c r="AW26" s="84"/>
      <c r="AX26" s="84"/>
      <c r="AY26" s="79" t="s">
        <v>482</v>
      </c>
      <c r="AZ26" s="49" t="s">
        <v>273</v>
      </c>
      <c r="BA26" s="120">
        <f t="shared" si="13"/>
        <v>106.15</v>
      </c>
      <c r="BB26" s="121"/>
      <c r="BE26" s="95" t="s">
        <v>305</v>
      </c>
      <c r="BF26" s="123">
        <v>828</v>
      </c>
      <c r="BG26" s="96" t="s">
        <v>357</v>
      </c>
      <c r="BH26" s="124">
        <f t="shared" si="18"/>
        <v>75115</v>
      </c>
      <c r="BI26" s="125">
        <f t="shared" si="16"/>
        <v>1440.5616438356165</v>
      </c>
      <c r="BJ26" s="107"/>
      <c r="BK26" s="107"/>
      <c r="BL26" s="126" t="s">
        <v>336</v>
      </c>
      <c r="BM26" s="89">
        <f>VLOOKUP(BL26,'Ruimte behandeling basis MPT'!$A$2:$H$46,8,FALSE)</f>
        <v>0</v>
      </c>
      <c r="BN26" s="95" t="s">
        <v>335</v>
      </c>
      <c r="BO26" s="123">
        <v>780</v>
      </c>
      <c r="BP26" s="96" t="s">
        <v>341</v>
      </c>
      <c r="BQ26" s="166">
        <f t="shared" si="23"/>
        <v>34453</v>
      </c>
      <c r="BR26" s="125">
        <f t="shared" si="24"/>
        <v>660.74246575342465</v>
      </c>
      <c r="BS26" s="49">
        <v>5</v>
      </c>
      <c r="BT26" s="49" t="s">
        <v>612</v>
      </c>
      <c r="BV26" s="49">
        <f>BV25*7</f>
        <v>64.38082191780822</v>
      </c>
      <c r="CA26" s="128" t="s">
        <v>373</v>
      </c>
      <c r="CB26" s="128">
        <f t="shared" ref="CB26" si="31">IFERROR(VLOOKUP(N28,$BZ$8:$CA$25,2,FALSE),0)</f>
        <v>0</v>
      </c>
      <c r="CC26" s="128">
        <v>0</v>
      </c>
      <c r="CD26" s="128" t="s">
        <v>258</v>
      </c>
      <c r="CE26" s="128">
        <f t="shared" ref="CE26:CE31" si="32">CB26*CC26</f>
        <v>0</v>
      </c>
      <c r="CF26" s="128"/>
      <c r="CG26" s="128"/>
      <c r="CH26" s="128"/>
      <c r="CI26" s="128"/>
      <c r="CJ26" s="95" t="s">
        <v>305</v>
      </c>
      <c r="CK26" s="123" t="s">
        <v>466</v>
      </c>
      <c r="CL26" s="129" t="s">
        <v>341</v>
      </c>
      <c r="CM26" s="144" t="s">
        <v>332</v>
      </c>
      <c r="CN26" s="145">
        <v>810</v>
      </c>
      <c r="CO26" s="380">
        <v>0</v>
      </c>
      <c r="CP26" s="146">
        <f t="shared" si="19"/>
        <v>0</v>
      </c>
      <c r="CQ26" s="380">
        <v>0</v>
      </c>
      <c r="CR26" s="146">
        <f t="shared" si="20"/>
        <v>0</v>
      </c>
      <c r="CS26" s="380">
        <v>0</v>
      </c>
      <c r="CT26" s="146">
        <f t="shared" si="21"/>
        <v>0</v>
      </c>
      <c r="CU26" s="380">
        <v>0</v>
      </c>
      <c r="CV26" s="146">
        <f t="shared" si="22"/>
        <v>0</v>
      </c>
      <c r="CW26" s="380">
        <v>0</v>
      </c>
      <c r="CX26" s="380">
        <v>0</v>
      </c>
      <c r="CY26" s="380">
        <v>0</v>
      </c>
      <c r="DH26" s="330" t="str">
        <f t="shared" si="30"/>
        <v>DTV</v>
      </c>
      <c r="DQ26" s="56" t="s">
        <v>567</v>
      </c>
      <c r="DR26" s="56" t="s">
        <v>562</v>
      </c>
      <c r="DS26" s="56" t="s">
        <v>653</v>
      </c>
      <c r="DT26" s="56" t="s">
        <v>673</v>
      </c>
      <c r="DV26" s="95" t="s">
        <v>307</v>
      </c>
      <c r="DW26" s="96" t="s">
        <v>357</v>
      </c>
      <c r="DX26" s="49" t="s">
        <v>465</v>
      </c>
      <c r="DY26" s="114">
        <f t="shared" si="25"/>
        <v>38.125</v>
      </c>
      <c r="DZ26" s="167">
        <v>30.5</v>
      </c>
      <c r="EC26" s="49">
        <v>26</v>
      </c>
      <c r="ED26" s="49">
        <v>32</v>
      </c>
      <c r="EE26" s="49">
        <f>EC26+ED26</f>
        <v>58</v>
      </c>
      <c r="ER26" s="49" t="s">
        <v>766</v>
      </c>
      <c r="EW26" s="49" t="s">
        <v>812</v>
      </c>
      <c r="EX26" s="49" t="s">
        <v>902</v>
      </c>
      <c r="FB26" s="49" t="s">
        <v>650</v>
      </c>
      <c r="FC26" s="49" t="s">
        <v>826</v>
      </c>
      <c r="FD26" s="49" t="s">
        <v>1160</v>
      </c>
      <c r="FE26" s="49" t="str">
        <f t="shared" si="0"/>
        <v>1lgOpname</v>
      </c>
      <c r="FF26" s="70">
        <f t="shared" si="1"/>
        <v>199.46</v>
      </c>
      <c r="FG26" s="70">
        <f t="shared" si="3"/>
        <v>1396.22</v>
      </c>
      <c r="FL26" s="95" t="s">
        <v>314</v>
      </c>
      <c r="FM26" s="49">
        <v>1</v>
      </c>
    </row>
    <row r="27" spans="1:184" ht="21" customHeight="1" thickBot="1">
      <c r="B27" s="194"/>
      <c r="C27" s="224">
        <f t="shared" si="28"/>
        <v>0</v>
      </c>
      <c r="D27" s="194"/>
      <c r="E27" s="194"/>
      <c r="F27" s="319"/>
      <c r="G27" s="195">
        <f t="shared" si="26"/>
        <v>0</v>
      </c>
      <c r="H27" s="263">
        <f t="shared" ref="H27" si="33">U39</f>
        <v>0</v>
      </c>
      <c r="I27" s="265">
        <f t="shared" si="27"/>
        <v>0</v>
      </c>
      <c r="K27" s="259">
        <f>IFERROR(IF($F$5="deeltijd verblijf icm zorg thuis",(I27/'Deeltijd verblijf'!$P$2)*100%,I27/($T$28+$M$8)*100%),0)</f>
        <v>0</v>
      </c>
      <c r="L27" s="482" t="s">
        <v>966</v>
      </c>
      <c r="M27" s="483"/>
      <c r="N27" s="272" t="s">
        <v>1128</v>
      </c>
      <c r="O27" s="329" t="s">
        <v>1160</v>
      </c>
      <c r="P27" s="329" t="s">
        <v>1410</v>
      </c>
      <c r="Q27" s="272" t="s">
        <v>1218</v>
      </c>
      <c r="R27" s="446">
        <f ca="1">IFERROR(IF((SUM(N28:N38)+N8)&lt;101%,"Ja","Nee"),0)</f>
        <v>0</v>
      </c>
      <c r="S27" s="440"/>
      <c r="V27" s="49" t="s">
        <v>432</v>
      </c>
      <c r="X27" s="273" t="s">
        <v>1214</v>
      </c>
      <c r="Z27" s="273" t="s">
        <v>610</v>
      </c>
      <c r="AB27" s="54">
        <v>0.97499999999999998</v>
      </c>
      <c r="AC27" s="64"/>
      <c r="AD27" s="64"/>
      <c r="AE27" s="56" t="s">
        <v>1493</v>
      </c>
      <c r="AF27" s="56" t="s">
        <v>1593</v>
      </c>
      <c r="AG27" s="57"/>
      <c r="AH27" s="64"/>
      <c r="AI27" s="64"/>
      <c r="AJ27" s="64"/>
      <c r="AK27" s="49" t="s">
        <v>777</v>
      </c>
      <c r="AL27" s="49" t="s">
        <v>737</v>
      </c>
      <c r="AM27" s="65"/>
      <c r="AN27" s="65"/>
      <c r="AO27" s="84">
        <v>19</v>
      </c>
      <c r="AP27" s="84" t="s">
        <v>388</v>
      </c>
      <c r="AQ27" s="84"/>
      <c r="AR27" s="84"/>
      <c r="AS27" s="84"/>
      <c r="AT27" s="84"/>
      <c r="AU27" s="84"/>
      <c r="AV27" s="84"/>
      <c r="AW27" s="84"/>
      <c r="AX27" s="84"/>
      <c r="AY27" s="79" t="s">
        <v>483</v>
      </c>
      <c r="AZ27" s="49" t="s">
        <v>290</v>
      </c>
      <c r="BA27" s="120">
        <f t="shared" si="13"/>
        <v>135.30000000000001</v>
      </c>
      <c r="BB27" s="121"/>
      <c r="BE27" s="95" t="s">
        <v>306</v>
      </c>
      <c r="BF27" s="123">
        <v>830</v>
      </c>
      <c r="BG27" s="96" t="s">
        <v>357</v>
      </c>
      <c r="BH27" s="124">
        <f t="shared" si="18"/>
        <v>82498</v>
      </c>
      <c r="BI27" s="125">
        <f t="shared" si="16"/>
        <v>1582.1534246575343</v>
      </c>
      <c r="BJ27" s="107"/>
      <c r="BK27" s="107"/>
      <c r="BL27" s="126" t="s">
        <v>337</v>
      </c>
      <c r="BM27" s="89">
        <f>VLOOKUP(BL27,'Ruimte behandeling basis MPT'!$A$2:$H$46,8,FALSE)</f>
        <v>0</v>
      </c>
      <c r="BN27" s="95" t="s">
        <v>336</v>
      </c>
      <c r="BO27" s="123">
        <v>781</v>
      </c>
      <c r="BP27" s="96" t="s">
        <v>341</v>
      </c>
      <c r="BQ27" s="166">
        <f t="shared" si="23"/>
        <v>49362</v>
      </c>
      <c r="BR27" s="125">
        <f t="shared" si="24"/>
        <v>946.66849315068498</v>
      </c>
      <c r="BS27" s="49">
        <v>6</v>
      </c>
      <c r="BT27" s="49" t="s">
        <v>613</v>
      </c>
      <c r="CA27" s="128" t="s">
        <v>362</v>
      </c>
      <c r="CB27" s="128">
        <f>IFERROR(VLOOKUP(N29,$BZ$8:$CA$25,2,FALSE),0)</f>
        <v>0</v>
      </c>
      <c r="CC27" s="128">
        <v>0</v>
      </c>
      <c r="CD27" s="128" t="s">
        <v>243</v>
      </c>
      <c r="CE27" s="128">
        <f t="shared" si="32"/>
        <v>0</v>
      </c>
      <c r="CF27" s="128"/>
      <c r="CG27" s="128"/>
      <c r="CH27" s="128"/>
      <c r="CI27" s="128"/>
      <c r="CJ27" s="95" t="s">
        <v>306</v>
      </c>
      <c r="CK27" s="123" t="s">
        <v>466</v>
      </c>
      <c r="CL27" s="129" t="s">
        <v>341</v>
      </c>
      <c r="CM27" s="149" t="s">
        <v>333</v>
      </c>
      <c r="CN27" s="150">
        <v>812</v>
      </c>
      <c r="CO27" s="380">
        <v>0</v>
      </c>
      <c r="CP27" s="146">
        <f t="shared" si="19"/>
        <v>0</v>
      </c>
      <c r="CQ27" s="380">
        <v>0</v>
      </c>
      <c r="CR27" s="146">
        <f t="shared" si="20"/>
        <v>0</v>
      </c>
      <c r="CS27" s="380">
        <v>0</v>
      </c>
      <c r="CT27" s="146">
        <f t="shared" si="21"/>
        <v>0</v>
      </c>
      <c r="CU27" s="380">
        <v>0</v>
      </c>
      <c r="CV27" s="146">
        <f t="shared" si="22"/>
        <v>0</v>
      </c>
      <c r="CW27" s="380">
        <v>0</v>
      </c>
      <c r="CX27" s="380">
        <v>0</v>
      </c>
      <c r="CY27" s="380">
        <v>0</v>
      </c>
      <c r="DH27" s="330" t="str">
        <f t="shared" si="30"/>
        <v>DTV</v>
      </c>
      <c r="DQ27" s="56" t="s">
        <v>569</v>
      </c>
      <c r="DR27" s="56" t="s">
        <v>563</v>
      </c>
      <c r="DS27" s="56" t="s">
        <v>654</v>
      </c>
      <c r="DT27" s="56" t="s">
        <v>674</v>
      </c>
      <c r="DV27" s="95" t="s">
        <v>312</v>
      </c>
      <c r="DW27" s="96" t="s">
        <v>357</v>
      </c>
      <c r="DX27" s="49" t="s">
        <v>432</v>
      </c>
      <c r="DY27" s="114">
        <f t="shared" si="25"/>
        <v>15.625</v>
      </c>
      <c r="DZ27" s="49">
        <v>12.5</v>
      </c>
      <c r="EE27" s="49">
        <f>EE26/2</f>
        <v>29</v>
      </c>
      <c r="ER27" s="49" t="s">
        <v>774</v>
      </c>
      <c r="EW27" s="49" t="s">
        <v>795</v>
      </c>
      <c r="EX27" s="49" t="s">
        <v>731</v>
      </c>
      <c r="FB27" s="49" t="s">
        <v>651</v>
      </c>
      <c r="FC27" s="49" t="s">
        <v>827</v>
      </c>
      <c r="FD27" s="49" t="s">
        <v>1160</v>
      </c>
      <c r="FE27" s="49" t="str">
        <f t="shared" si="0"/>
        <v>2lgOpname</v>
      </c>
      <c r="FF27" s="70">
        <f t="shared" si="1"/>
        <v>230.84</v>
      </c>
      <c r="FG27" s="70">
        <f t="shared" si="3"/>
        <v>1615.88</v>
      </c>
      <c r="FL27" s="95" t="s">
        <v>315</v>
      </c>
      <c r="FM27" s="49">
        <v>1</v>
      </c>
    </row>
    <row r="28" spans="1:184" ht="21" customHeight="1" thickBot="1">
      <c r="B28" s="194"/>
      <c r="C28" s="224">
        <f>IF(B28="onklaar",$DP$1,B28)</f>
        <v>0</v>
      </c>
      <c r="D28" s="194"/>
      <c r="E28" s="194"/>
      <c r="F28" s="319"/>
      <c r="G28" s="195">
        <f t="shared" si="26"/>
        <v>0</v>
      </c>
      <c r="H28" s="263">
        <f>U41</f>
        <v>0</v>
      </c>
      <c r="I28" s="265">
        <f t="shared" si="27"/>
        <v>0</v>
      </c>
      <c r="K28" s="259">
        <f>IFERROR(IF($F$5="deeltijd verblijf icm zorg thuis",(I28/'Deeltijd verblijf'!$P$2)*100%,I28/($T$28+$M$8)*100%),0)</f>
        <v>0</v>
      </c>
      <c r="L28" s="482">
        <f>IFERROR(VLOOKUP(M93,E93:F106,2,0)," ")</f>
        <v>0</v>
      </c>
      <c r="M28" s="483"/>
      <c r="N28" s="196">
        <f t="shared" ref="N28:N38" si="34">IFERROR(SUMIF($E$18:$E$31,L28,$K$18:$K$31),0)</f>
        <v>0</v>
      </c>
      <c r="O28" s="330" t="str">
        <f>IFERROR(VLOOKUP(L28,$GC$2:$GE$15,3,0),"")</f>
        <v>Nee</v>
      </c>
      <c r="P28" s="330" t="str">
        <f>IF($N28&gt;0,$DH20,"")</f>
        <v/>
      </c>
      <c r="Q28" s="279" t="s">
        <v>1213</v>
      </c>
      <c r="R28" s="326" t="str">
        <f>IF(Q22="Ja; Extra kosten thuis","Extra kosten thuis","")</f>
        <v/>
      </c>
      <c r="S28" s="328"/>
      <c r="T28" s="70">
        <f>M10</f>
        <v>0</v>
      </c>
      <c r="U28" s="174"/>
      <c r="V28" s="70"/>
      <c r="X28" s="273" t="s">
        <v>1219</v>
      </c>
      <c r="Z28" s="276" t="s">
        <v>1220</v>
      </c>
      <c r="AB28" s="68">
        <v>1</v>
      </c>
      <c r="AC28" s="64"/>
      <c r="AD28" s="64"/>
      <c r="AE28" s="56" t="s">
        <v>1492</v>
      </c>
      <c r="AF28" s="56" t="s">
        <v>1594</v>
      </c>
      <c r="AG28" s="57"/>
      <c r="AH28" s="64"/>
      <c r="AI28" s="64"/>
      <c r="AJ28" s="64"/>
      <c r="AK28" s="49" t="s">
        <v>778</v>
      </c>
      <c r="AL28" s="49" t="s">
        <v>738</v>
      </c>
      <c r="AM28" s="65"/>
      <c r="AN28" s="65"/>
      <c r="AO28" s="84">
        <v>20</v>
      </c>
      <c r="AP28" s="84" t="s">
        <v>389</v>
      </c>
      <c r="AQ28" s="84"/>
      <c r="AR28" s="84"/>
      <c r="AS28" s="84"/>
      <c r="AT28" s="84"/>
      <c r="AU28" s="84"/>
      <c r="AV28" s="84"/>
      <c r="AW28" s="84"/>
      <c r="AX28" s="84"/>
      <c r="AY28" s="32" t="s">
        <v>1418</v>
      </c>
      <c r="AZ28" s="49" t="s">
        <v>1414</v>
      </c>
      <c r="BA28" s="120">
        <f t="shared" si="13"/>
        <v>70.760000000000005</v>
      </c>
      <c r="BB28" s="121"/>
      <c r="BE28" s="95" t="s">
        <v>307</v>
      </c>
      <c r="BF28" s="123">
        <v>832</v>
      </c>
      <c r="BG28" s="96" t="s">
        <v>357</v>
      </c>
      <c r="BH28" s="124">
        <f t="shared" si="18"/>
        <v>86856</v>
      </c>
      <c r="BI28" s="125">
        <f t="shared" si="16"/>
        <v>1665.7315068493149</v>
      </c>
      <c r="BJ28" s="107"/>
      <c r="BK28" s="107"/>
      <c r="BL28" s="126" t="s">
        <v>338</v>
      </c>
      <c r="BM28" s="89">
        <f>VLOOKUP(BL28,'Ruimte behandeling basis MPT'!$A$2:$H$46,8,FALSE)</f>
        <v>0</v>
      </c>
      <c r="BN28" s="95" t="s">
        <v>337</v>
      </c>
      <c r="BO28" s="123">
        <v>782</v>
      </c>
      <c r="BP28" s="96" t="s">
        <v>341</v>
      </c>
      <c r="BQ28" s="166">
        <f t="shared" si="23"/>
        <v>58608</v>
      </c>
      <c r="BR28" s="125">
        <f t="shared" si="24"/>
        <v>1123.9890410958906</v>
      </c>
      <c r="BS28" s="49">
        <v>7</v>
      </c>
      <c r="BT28" s="49" t="s">
        <v>613</v>
      </c>
      <c r="CA28" s="128" t="s">
        <v>343</v>
      </c>
      <c r="CB28" s="128">
        <f>IFERROR(VLOOKUP(N30,$BZ$8:$CA$25,2,FALSE),0)</f>
        <v>0</v>
      </c>
      <c r="CC28" s="128">
        <v>0</v>
      </c>
      <c r="CD28" s="128" t="s">
        <v>15</v>
      </c>
      <c r="CE28" s="128">
        <f t="shared" si="32"/>
        <v>0</v>
      </c>
      <c r="CF28" s="128"/>
      <c r="CG28" s="128"/>
      <c r="CH28" s="128"/>
      <c r="CI28" s="128"/>
      <c r="CJ28" s="95" t="s">
        <v>307</v>
      </c>
      <c r="CK28" s="123" t="s">
        <v>466</v>
      </c>
      <c r="CL28" s="129" t="s">
        <v>341</v>
      </c>
      <c r="CM28" s="144" t="s">
        <v>334</v>
      </c>
      <c r="CN28" s="145">
        <v>814</v>
      </c>
      <c r="CO28" s="380">
        <v>0</v>
      </c>
      <c r="CP28" s="146">
        <f t="shared" si="19"/>
        <v>0</v>
      </c>
      <c r="CQ28" s="380">
        <v>0</v>
      </c>
      <c r="CR28" s="146">
        <f t="shared" si="20"/>
        <v>0</v>
      </c>
      <c r="CS28" s="380">
        <v>0</v>
      </c>
      <c r="CT28" s="146">
        <f t="shared" si="21"/>
        <v>0</v>
      </c>
      <c r="CU28" s="380">
        <v>0</v>
      </c>
      <c r="CV28" s="146">
        <f t="shared" si="22"/>
        <v>0</v>
      </c>
      <c r="CW28" s="380">
        <v>0</v>
      </c>
      <c r="CX28" s="380">
        <v>0</v>
      </c>
      <c r="CY28" s="380">
        <v>0</v>
      </c>
      <c r="DH28" s="330" t="str">
        <f t="shared" si="30"/>
        <v>DTV</v>
      </c>
      <c r="DQ28" s="56" t="s">
        <v>570</v>
      </c>
      <c r="DR28" s="56" t="s">
        <v>564</v>
      </c>
      <c r="DS28" s="56" t="s">
        <v>655</v>
      </c>
      <c r="DT28" s="56" t="s">
        <v>673</v>
      </c>
      <c r="DV28" s="95" t="s">
        <v>313</v>
      </c>
      <c r="DW28" s="96" t="s">
        <v>357</v>
      </c>
      <c r="DX28" s="49" t="s">
        <v>432</v>
      </c>
      <c r="DY28" s="114">
        <f t="shared" si="25"/>
        <v>20.625</v>
      </c>
      <c r="DZ28" s="49">
        <v>16.5</v>
      </c>
      <c r="ER28" s="49" t="s">
        <v>767</v>
      </c>
      <c r="ES28" s="49">
        <f t="shared" ref="ES28:ES38" si="35">IF(OR(B18="verblijfsprestatie",B18="vptprestatie"),1,0)</f>
        <v>0</v>
      </c>
      <c r="EW28" s="49" t="s">
        <v>801</v>
      </c>
      <c r="EX28" s="49" t="s">
        <v>891</v>
      </c>
      <c r="FB28" s="49" t="s">
        <v>652</v>
      </c>
      <c r="FC28" s="49" t="s">
        <v>843</v>
      </c>
      <c r="FD28" s="49" t="s">
        <v>1160</v>
      </c>
      <c r="FE28" s="49" t="str">
        <f t="shared" si="0"/>
        <v>3lgOpname</v>
      </c>
      <c r="FF28" s="70">
        <f t="shared" si="1"/>
        <v>230</v>
      </c>
      <c r="FG28" s="70">
        <f t="shared" si="3"/>
        <v>1610</v>
      </c>
      <c r="FL28" s="95" t="s">
        <v>316</v>
      </c>
      <c r="FM28" s="49">
        <v>1</v>
      </c>
    </row>
    <row r="29" spans="1:184" ht="21" customHeight="1" thickBot="1">
      <c r="B29" s="194"/>
      <c r="C29" s="224">
        <f t="shared" si="28"/>
        <v>0</v>
      </c>
      <c r="D29" s="194"/>
      <c r="E29" s="194"/>
      <c r="F29" s="319"/>
      <c r="G29" s="195">
        <f t="shared" si="26"/>
        <v>0</v>
      </c>
      <c r="H29" s="263">
        <f>U42</f>
        <v>0</v>
      </c>
      <c r="I29" s="265">
        <f t="shared" si="27"/>
        <v>0</v>
      </c>
      <c r="K29" s="259">
        <f>IFERROR(IF($F$5="deeltijd verblijf icm zorg thuis",(I29/'Deeltijd verblijf'!$P$2)*100%,I29/($T$28+$M$8)*100%),0)</f>
        <v>0</v>
      </c>
      <c r="L29" s="482" t="str">
        <f>IFERROR(VLOOKUP(M94,E94:F107,2,0)," ")</f>
        <v xml:space="preserve"> </v>
      </c>
      <c r="M29" s="483"/>
      <c r="N29" s="196">
        <f t="shared" si="34"/>
        <v>0</v>
      </c>
      <c r="O29" s="330" t="str">
        <f t="shared" ref="O29:O38" si="36">IFERROR(VLOOKUP(L29,$GC$2:$GE$15,3,0),"")</f>
        <v/>
      </c>
      <c r="P29" s="330" t="str">
        <f t="shared" ref="P29:P38" si="37">IF($N29&gt;0,$DH21,"")</f>
        <v/>
      </c>
      <c r="Q29" s="279" t="s">
        <v>1215</v>
      </c>
      <c r="R29" s="326" t="str">
        <f>IF(Q23="ja non-invasieve beademing"," non-invasieve beademing",IF(Q23="Ja invasieve beademing","invasieve beademing",""))</f>
        <v/>
      </c>
      <c r="S29" s="328"/>
      <c r="U29" s="174"/>
      <c r="X29" s="59" t="str">
        <f>IF(Y25="","",1)</f>
        <v/>
      </c>
      <c r="AB29" s="49" t="e">
        <f>VLOOKUP($D24,$A$62:$H$170,5,FALSE)</f>
        <v>#N/A</v>
      </c>
      <c r="AC29" s="64"/>
      <c r="AD29" s="64"/>
      <c r="AE29" s="56" t="s">
        <v>1491</v>
      </c>
      <c r="AF29" s="56" t="s">
        <v>1595</v>
      </c>
      <c r="AG29" s="57"/>
      <c r="AH29" s="64"/>
      <c r="AI29" s="64"/>
      <c r="AJ29" s="64"/>
      <c r="AK29" s="49" t="s">
        <v>779</v>
      </c>
      <c r="AL29" s="49" t="s">
        <v>739</v>
      </c>
      <c r="AM29" s="65"/>
      <c r="AN29" s="65"/>
      <c r="AO29" s="84">
        <v>21</v>
      </c>
      <c r="AP29" s="84" t="s">
        <v>389</v>
      </c>
      <c r="AQ29" s="84"/>
      <c r="AR29" s="84"/>
      <c r="AS29" s="84"/>
      <c r="AT29" s="84"/>
      <c r="AU29" s="84"/>
      <c r="AV29" s="84"/>
      <c r="AW29" s="84"/>
      <c r="AX29" s="84"/>
      <c r="BA29" s="120">
        <f>IFERROR(VLOOKUP(AZ29,Tarieven_ZIN1,2,0),0)</f>
        <v>0</v>
      </c>
      <c r="BB29" s="121"/>
      <c r="BE29" s="95" t="s">
        <v>312</v>
      </c>
      <c r="BF29" s="123">
        <v>840</v>
      </c>
      <c r="BG29" s="96" t="s">
        <v>357</v>
      </c>
      <c r="BH29" s="124">
        <f t="shared" si="18"/>
        <v>43821</v>
      </c>
      <c r="BI29" s="125">
        <f t="shared" si="16"/>
        <v>840.40273972602745</v>
      </c>
      <c r="BJ29" s="107"/>
      <c r="BK29" s="107"/>
      <c r="BL29" s="126" t="s">
        <v>339</v>
      </c>
      <c r="BM29" s="89">
        <f>VLOOKUP(BL29,'Ruimte behandeling basis MPT'!$A$2:$H$46,8,FALSE)</f>
        <v>0</v>
      </c>
      <c r="BN29" s="95" t="s">
        <v>338</v>
      </c>
      <c r="BO29" s="123">
        <v>783</v>
      </c>
      <c r="BP29" s="96" t="s">
        <v>341</v>
      </c>
      <c r="BQ29" s="166">
        <f t="shared" si="23"/>
        <v>76035</v>
      </c>
      <c r="BR29" s="125">
        <f t="shared" si="24"/>
        <v>1458.2054794520548</v>
      </c>
      <c r="BS29" s="49">
        <v>8</v>
      </c>
      <c r="BT29" s="49" t="s">
        <v>612</v>
      </c>
      <c r="CA29" s="128" t="s">
        <v>342</v>
      </c>
      <c r="CB29" s="128">
        <f>IFERROR(VLOOKUP(N31,$BZ$8:$CA$25,2,FALSE),0)</f>
        <v>0</v>
      </c>
      <c r="CC29" s="128">
        <v>0</v>
      </c>
      <c r="CD29" s="128" t="s">
        <v>6</v>
      </c>
      <c r="CE29" s="128">
        <f t="shared" si="32"/>
        <v>0</v>
      </c>
      <c r="CF29" s="128"/>
      <c r="CG29" s="128"/>
      <c r="CH29" s="128"/>
      <c r="CI29" s="128"/>
      <c r="CJ29" s="95" t="s">
        <v>312</v>
      </c>
      <c r="CK29" s="123" t="s">
        <v>466</v>
      </c>
      <c r="CL29" s="129" t="s">
        <v>341</v>
      </c>
      <c r="CM29" s="149" t="s">
        <v>301</v>
      </c>
      <c r="CN29" s="150">
        <v>820</v>
      </c>
      <c r="CO29" s="380">
        <v>0</v>
      </c>
      <c r="CP29" s="146">
        <f t="shared" si="19"/>
        <v>0</v>
      </c>
      <c r="CQ29" s="380">
        <v>0</v>
      </c>
      <c r="CR29" s="146">
        <f t="shared" si="20"/>
        <v>0</v>
      </c>
      <c r="CS29" s="380">
        <v>0</v>
      </c>
      <c r="CT29" s="146">
        <f t="shared" si="21"/>
        <v>0</v>
      </c>
      <c r="CU29" s="380">
        <v>0</v>
      </c>
      <c r="CV29" s="146">
        <f t="shared" si="22"/>
        <v>0</v>
      </c>
      <c r="CW29" s="380">
        <v>0</v>
      </c>
      <c r="CX29" s="380">
        <v>0</v>
      </c>
      <c r="CY29" s="380">
        <v>0</v>
      </c>
      <c r="DH29" s="330" t="str">
        <f t="shared" si="30"/>
        <v>DTV</v>
      </c>
      <c r="DQ29" s="56" t="s">
        <v>572</v>
      </c>
      <c r="DR29" s="56" t="s">
        <v>565</v>
      </c>
      <c r="DS29" s="56" t="s">
        <v>656</v>
      </c>
      <c r="DT29" s="56" t="s">
        <v>672</v>
      </c>
      <c r="DV29" s="95" t="s">
        <v>314</v>
      </c>
      <c r="DW29" s="96" t="s">
        <v>357</v>
      </c>
      <c r="DX29" s="49" t="s">
        <v>432</v>
      </c>
      <c r="DY29" s="114">
        <f t="shared" si="25"/>
        <v>26.25</v>
      </c>
      <c r="DZ29" s="49">
        <v>21</v>
      </c>
      <c r="ER29" s="49" t="s">
        <v>775</v>
      </c>
      <c r="ES29" s="49">
        <f t="shared" si="35"/>
        <v>0</v>
      </c>
      <c r="EW29" s="49" t="s">
        <v>807</v>
      </c>
      <c r="EX29" s="49" t="s">
        <v>897</v>
      </c>
      <c r="FB29" s="49" t="s">
        <v>653</v>
      </c>
      <c r="FC29" s="49" t="s">
        <v>844</v>
      </c>
      <c r="FD29" s="49" t="s">
        <v>1160</v>
      </c>
      <c r="FE29" s="49" t="str">
        <f t="shared" si="0"/>
        <v>4lgOpname</v>
      </c>
      <c r="FF29" s="70">
        <f t="shared" si="1"/>
        <v>294.49</v>
      </c>
      <c r="FG29" s="70">
        <f t="shared" si="3"/>
        <v>2061.4300000000003</v>
      </c>
      <c r="FL29" s="95" t="s">
        <v>308</v>
      </c>
      <c r="FM29" s="49">
        <v>1</v>
      </c>
    </row>
    <row r="30" spans="1:184" ht="19.5" customHeight="1" thickBot="1">
      <c r="B30" s="194"/>
      <c r="C30" s="224">
        <f t="shared" si="28"/>
        <v>0</v>
      </c>
      <c r="D30" s="194"/>
      <c r="E30" s="194"/>
      <c r="F30" s="319"/>
      <c r="G30" s="195">
        <f t="shared" si="26"/>
        <v>0</v>
      </c>
      <c r="H30" s="263">
        <f>U43</f>
        <v>0</v>
      </c>
      <c r="I30" s="265">
        <f t="shared" si="27"/>
        <v>0</v>
      </c>
      <c r="K30" s="259">
        <f>IFERROR(IF($F$5="deeltijd verblijf icm zorg thuis",(I30/'Deeltijd verblijf'!$P$2)*100%,I30/($T$28+$M$8)*100%),0)</f>
        <v>0</v>
      </c>
      <c r="L30" s="482" t="str">
        <f>IFERROR(VLOOKUP(M95,E95:F108,2,0)," ")</f>
        <v xml:space="preserve"> </v>
      </c>
      <c r="M30" s="483"/>
      <c r="N30" s="196">
        <f t="shared" si="34"/>
        <v>0</v>
      </c>
      <c r="O30" s="330" t="str">
        <f t="shared" si="36"/>
        <v/>
      </c>
      <c r="P30" s="330" t="str">
        <f t="shared" si="37"/>
        <v/>
      </c>
      <c r="Q30" s="279" t="s">
        <v>610</v>
      </c>
      <c r="R30" s="326">
        <f>Q24</f>
        <v>0</v>
      </c>
      <c r="S30" s="328"/>
      <c r="U30" s="175">
        <f t="shared" ref="U30:U44" si="38">IFERROR(IF($B18="schoonmaak",$BA$1,IF($B18="Logeren",X30,IF($B18="BGgrp",VLOOKUP(D18,$AY$7:$BA$401,3,0)*$H$1,$V30))),0)</f>
        <v>0</v>
      </c>
      <c r="V30" s="47">
        <f t="shared" ref="V30:V44" si="39">IFERROR(IF(B18="BGgrp",U30,(VLOOKUP(LEFT(D18,4),$AZ$7:$BA$633,2,FALSE)*$H$1+IF($B18="Logeren",VLOOKUP(LEFT(D18,5),$AZ$7:$BB$628,3,FALSE),0))),0)</f>
        <v>0</v>
      </c>
      <c r="W30" s="56">
        <f>W64</f>
        <v>0</v>
      </c>
      <c r="X30" s="49">
        <f t="shared" ref="X30" si="40">W30*$H$1</f>
        <v>0</v>
      </c>
      <c r="AC30" s="64"/>
      <c r="AD30" s="64"/>
      <c r="AE30" s="56" t="s">
        <v>1490</v>
      </c>
      <c r="AF30" s="56" t="s">
        <v>1380</v>
      </c>
      <c r="AG30" s="57"/>
      <c r="AH30" s="64"/>
      <c r="AI30" s="64"/>
      <c r="AJ30" s="64"/>
      <c r="AK30" s="49" t="s">
        <v>780</v>
      </c>
      <c r="AL30" s="49" t="s">
        <v>740</v>
      </c>
      <c r="AM30" s="65"/>
      <c r="AN30" s="65"/>
      <c r="AO30" s="84">
        <v>22</v>
      </c>
      <c r="AP30" s="84" t="s">
        <v>389</v>
      </c>
      <c r="AQ30" s="84"/>
      <c r="AR30" s="84"/>
      <c r="AS30" s="84"/>
      <c r="AT30" s="84"/>
      <c r="AU30" s="84"/>
      <c r="AV30" s="84"/>
      <c r="AW30" s="84"/>
      <c r="AX30" s="84"/>
      <c r="AY30" s="79" t="s">
        <v>493</v>
      </c>
      <c r="AZ30" s="49" t="s">
        <v>240</v>
      </c>
      <c r="BA30" s="120">
        <f>IFERROR(VLOOKUP(AZ30,Tarieven_ZIN1,2,0),0)</f>
        <v>147.86000000000001</v>
      </c>
      <c r="BB30" s="121"/>
      <c r="BE30" s="95" t="s">
        <v>313</v>
      </c>
      <c r="BF30" s="123">
        <v>842</v>
      </c>
      <c r="BG30" s="96" t="s">
        <v>357</v>
      </c>
      <c r="BH30" s="124">
        <f t="shared" si="18"/>
        <v>55656</v>
      </c>
      <c r="BI30" s="125">
        <f t="shared" si="16"/>
        <v>1067.3753424657534</v>
      </c>
      <c r="BJ30" s="107"/>
      <c r="BK30" s="107"/>
      <c r="BL30" s="126" t="s">
        <v>340</v>
      </c>
      <c r="BM30" s="89">
        <f>VLOOKUP(BL30,'Ruimte behandeling basis MPT'!$A$2:$H$46,8,FALSE)</f>
        <v>0</v>
      </c>
      <c r="BN30" s="95" t="s">
        <v>339</v>
      </c>
      <c r="BO30" s="123">
        <v>784</v>
      </c>
      <c r="BP30" s="96" t="s">
        <v>341</v>
      </c>
      <c r="BQ30" s="166">
        <f t="shared" si="23"/>
        <v>76035</v>
      </c>
      <c r="BR30" s="125">
        <f t="shared" si="24"/>
        <v>1458.2054794520548</v>
      </c>
      <c r="BS30" s="49">
        <v>0</v>
      </c>
      <c r="BT30" s="49" t="s">
        <v>613</v>
      </c>
      <c r="CA30" s="128" t="s">
        <v>363</v>
      </c>
      <c r="CB30" s="128">
        <f>IFERROR(VLOOKUP(N32,$BZ$8:$CA$25,2,FALSE),0)</f>
        <v>0</v>
      </c>
      <c r="CC30" s="128">
        <v>0</v>
      </c>
      <c r="CD30" s="128" t="s">
        <v>243</v>
      </c>
      <c r="CE30" s="128">
        <f t="shared" si="32"/>
        <v>0</v>
      </c>
      <c r="CF30" s="128"/>
      <c r="CG30" s="128"/>
      <c r="CH30" s="128"/>
      <c r="CI30" s="128"/>
      <c r="CJ30" s="95" t="s">
        <v>313</v>
      </c>
      <c r="CK30" s="123" t="s">
        <v>466</v>
      </c>
      <c r="CL30" s="129" t="s">
        <v>341</v>
      </c>
      <c r="CM30" s="144" t="s">
        <v>302</v>
      </c>
      <c r="CN30" s="145">
        <v>822</v>
      </c>
      <c r="CO30" s="380">
        <v>0</v>
      </c>
      <c r="CP30" s="146">
        <f t="shared" si="19"/>
        <v>0</v>
      </c>
      <c r="CQ30" s="380">
        <v>0</v>
      </c>
      <c r="CR30" s="146">
        <f t="shared" si="20"/>
        <v>0</v>
      </c>
      <c r="CS30" s="380">
        <v>0</v>
      </c>
      <c r="CT30" s="146">
        <f t="shared" si="21"/>
        <v>0</v>
      </c>
      <c r="CU30" s="380">
        <v>0</v>
      </c>
      <c r="CV30" s="146">
        <f t="shared" si="22"/>
        <v>0</v>
      </c>
      <c r="CW30" s="380">
        <v>0</v>
      </c>
      <c r="CX30" s="380">
        <v>0</v>
      </c>
      <c r="CY30" s="380">
        <v>0</v>
      </c>
      <c r="DH30" s="330" t="str">
        <f t="shared" si="30"/>
        <v>DTV</v>
      </c>
      <c r="DQ30" s="56" t="s">
        <v>573</v>
      </c>
      <c r="DR30" s="56" t="s">
        <v>566</v>
      </c>
      <c r="DS30" s="56" t="s">
        <v>666</v>
      </c>
      <c r="DT30" s="56" t="s">
        <v>379</v>
      </c>
      <c r="DV30" s="95" t="s">
        <v>315</v>
      </c>
      <c r="DW30" s="96" t="s">
        <v>357</v>
      </c>
      <c r="DX30" s="49" t="s">
        <v>432</v>
      </c>
      <c r="DY30" s="114">
        <f t="shared" si="25"/>
        <v>37.5</v>
      </c>
      <c r="DZ30" s="49">
        <v>30</v>
      </c>
      <c r="ES30" s="49">
        <f t="shared" si="35"/>
        <v>0</v>
      </c>
      <c r="EW30" s="49" t="s">
        <v>813</v>
      </c>
      <c r="EX30" s="49" t="s">
        <v>903</v>
      </c>
      <c r="FB30" s="49" t="s">
        <v>654</v>
      </c>
      <c r="FC30" s="49" t="s">
        <v>845</v>
      </c>
      <c r="FD30" s="49" t="s">
        <v>1160</v>
      </c>
      <c r="FE30" s="49" t="str">
        <f t="shared" si="0"/>
        <v>5lgOpname</v>
      </c>
      <c r="FF30" s="70">
        <f t="shared" si="1"/>
        <v>317.45</v>
      </c>
      <c r="FG30" s="70">
        <f t="shared" si="3"/>
        <v>2222.15</v>
      </c>
      <c r="FL30" s="95" t="s">
        <v>309</v>
      </c>
      <c r="FM30" s="49">
        <v>1</v>
      </c>
    </row>
    <row r="31" spans="1:184" ht="19.5" thickBot="1">
      <c r="B31" s="194"/>
      <c r="C31" s="224">
        <f t="shared" si="28"/>
        <v>0</v>
      </c>
      <c r="D31" s="194"/>
      <c r="E31" s="194"/>
      <c r="F31" s="319"/>
      <c r="G31" s="195">
        <f t="shared" si="26"/>
        <v>0</v>
      </c>
      <c r="H31" s="263">
        <f>U44</f>
        <v>0</v>
      </c>
      <c r="I31" s="265">
        <f t="shared" si="27"/>
        <v>0</v>
      </c>
      <c r="K31" s="259">
        <f>IFERROR(IF($F$5="deeltijd verblijf icm zorg thuis",(I31/'Deeltijd verblijf'!$P$2)*100%,I31/($T$28+$M$8)*100%),0)</f>
        <v>0</v>
      </c>
      <c r="L31" s="482" t="str">
        <f>IFERROR(IFERROR(VLOOKUP(M96,E96:F109,2,0)," ")," ")</f>
        <v xml:space="preserve"> </v>
      </c>
      <c r="M31" s="483"/>
      <c r="N31" s="196">
        <f t="shared" si="34"/>
        <v>0</v>
      </c>
      <c r="O31" s="330" t="str">
        <f t="shared" si="36"/>
        <v/>
      </c>
      <c r="P31" s="330" t="str">
        <f t="shared" si="37"/>
        <v/>
      </c>
      <c r="Q31" s="277"/>
      <c r="R31" s="278"/>
      <c r="S31" s="278"/>
      <c r="U31" s="175">
        <f t="shared" si="38"/>
        <v>0</v>
      </c>
      <c r="V31" s="47">
        <f t="shared" si="39"/>
        <v>0</v>
      </c>
      <c r="W31" s="56">
        <f t="shared" ref="W31:W44" si="41">W65</f>
        <v>0</v>
      </c>
      <c r="X31" s="49">
        <f t="shared" ref="X31:X44" si="42">W31*$H$1</f>
        <v>0</v>
      </c>
      <c r="AC31" s="64"/>
      <c r="AD31" s="64"/>
      <c r="AE31" s="56" t="s">
        <v>1489</v>
      </c>
      <c r="AF31" s="56" t="s">
        <v>1381</v>
      </c>
      <c r="AG31" s="57"/>
      <c r="AH31" s="64"/>
      <c r="AI31" s="64"/>
      <c r="AJ31" s="64"/>
      <c r="AK31" s="49" t="s">
        <v>781</v>
      </c>
      <c r="AL31" s="49" t="s">
        <v>741</v>
      </c>
      <c r="AM31" s="65"/>
      <c r="AN31" s="65"/>
      <c r="AO31" s="84">
        <v>23</v>
      </c>
      <c r="AP31" s="84" t="s">
        <v>389</v>
      </c>
      <c r="AQ31" s="84"/>
      <c r="AR31" s="84"/>
      <c r="AS31" s="84"/>
      <c r="AT31" s="84"/>
      <c r="AU31" s="84"/>
      <c r="AV31" s="84"/>
      <c r="AW31" s="84"/>
      <c r="AX31" s="84"/>
      <c r="BA31" s="120">
        <f>IFERROR(VLOOKUP(AZ31,Tarieven_ZIN1,2,0),0)</f>
        <v>0</v>
      </c>
      <c r="BB31" s="121"/>
      <c r="BE31" s="95" t="s">
        <v>314</v>
      </c>
      <c r="BF31" s="123">
        <v>844</v>
      </c>
      <c r="BG31" s="96" t="s">
        <v>357</v>
      </c>
      <c r="BH31" s="124">
        <f t="shared" si="18"/>
        <v>65160</v>
      </c>
      <c r="BI31" s="125">
        <f t="shared" si="16"/>
        <v>1249.6438356164385</v>
      </c>
      <c r="BJ31" s="107"/>
      <c r="BK31" s="107"/>
      <c r="BL31" s="126" t="s">
        <v>301</v>
      </c>
      <c r="BM31" s="89">
        <f>VLOOKUP(BL31,'Ruimte behandeling basis MPT'!$A$2:$H$46,8,FALSE)</f>
        <v>0</v>
      </c>
      <c r="BN31" s="95" t="s">
        <v>340</v>
      </c>
      <c r="BO31" s="123">
        <v>790</v>
      </c>
      <c r="BP31" s="96" t="s">
        <v>341</v>
      </c>
      <c r="BQ31" s="166">
        <f t="shared" si="23"/>
        <v>68381</v>
      </c>
      <c r="BR31" s="125">
        <f t="shared" si="24"/>
        <v>1311.4164383561645</v>
      </c>
      <c r="BS31" s="49">
        <v>2085</v>
      </c>
      <c r="BT31" s="49" t="s">
        <v>612</v>
      </c>
      <c r="CA31" s="128" t="s">
        <v>361</v>
      </c>
      <c r="CB31" s="128">
        <f>IFERROR(VLOOKUP(N33,$BZ$8:$CA$25,2,FALSE),0)</f>
        <v>0</v>
      </c>
      <c r="CC31" s="128">
        <v>0</v>
      </c>
      <c r="CD31" s="128" t="s">
        <v>247</v>
      </c>
      <c r="CE31" s="128">
        <f t="shared" si="32"/>
        <v>0</v>
      </c>
      <c r="CF31" s="128"/>
      <c r="CG31" s="128"/>
      <c r="CH31" s="128"/>
      <c r="CI31" s="128"/>
      <c r="CJ31" s="95" t="s">
        <v>314</v>
      </c>
      <c r="CK31" s="123" t="s">
        <v>466</v>
      </c>
      <c r="CL31" s="129" t="s">
        <v>341</v>
      </c>
      <c r="CM31" s="149" t="s">
        <v>303</v>
      </c>
      <c r="CN31" s="150">
        <v>824</v>
      </c>
      <c r="CO31" s="380">
        <v>0</v>
      </c>
      <c r="CP31" s="146">
        <f t="shared" si="19"/>
        <v>0</v>
      </c>
      <c r="CQ31" s="380">
        <v>0</v>
      </c>
      <c r="CR31" s="146">
        <f t="shared" si="20"/>
        <v>0</v>
      </c>
      <c r="CS31" s="380">
        <v>0</v>
      </c>
      <c r="CT31" s="146">
        <f t="shared" si="21"/>
        <v>0</v>
      </c>
      <c r="CU31" s="380">
        <v>0</v>
      </c>
      <c r="CV31" s="146">
        <f t="shared" si="22"/>
        <v>0</v>
      </c>
      <c r="CW31" s="380">
        <v>0</v>
      </c>
      <c r="CX31" s="380">
        <v>0</v>
      </c>
      <c r="CY31" s="380">
        <v>0</v>
      </c>
      <c r="DQ31" s="56"/>
      <c r="DR31" s="56" t="s">
        <v>567</v>
      </c>
      <c r="DS31" s="56" t="s">
        <v>667</v>
      </c>
      <c r="DT31" s="56" t="s">
        <v>379</v>
      </c>
      <c r="DV31" s="95" t="s">
        <v>316</v>
      </c>
      <c r="DW31" s="96" t="s">
        <v>357</v>
      </c>
      <c r="DX31" s="49" t="s">
        <v>465</v>
      </c>
      <c r="DY31" s="114">
        <f t="shared" si="25"/>
        <v>41.25</v>
      </c>
      <c r="DZ31" s="167">
        <v>33</v>
      </c>
      <c r="EP31" s="49">
        <f>IF(F5="deeltijd verblijf icm MPT","Opname",F5)</f>
        <v>0</v>
      </c>
      <c r="ER31" s="56" t="str">
        <f t="shared" ref="ER31:ER45" si="43">CONCATENATE($EP$31,$G$8,B18)</f>
        <v>0</v>
      </c>
      <c r="ES31" s="49">
        <f t="shared" si="35"/>
        <v>0</v>
      </c>
      <c r="EW31" s="49" t="s">
        <v>796</v>
      </c>
      <c r="EX31" s="49" t="s">
        <v>732</v>
      </c>
      <c r="FB31" s="49" t="s">
        <v>655</v>
      </c>
      <c r="FC31" s="49" t="s">
        <v>846</v>
      </c>
      <c r="FD31" s="49" t="s">
        <v>1160</v>
      </c>
      <c r="FE31" s="49" t="str">
        <f t="shared" si="0"/>
        <v>6lgOpname</v>
      </c>
      <c r="FF31" s="70">
        <f t="shared" si="1"/>
        <v>393.26</v>
      </c>
      <c r="FG31" s="70">
        <f t="shared" si="3"/>
        <v>2752.8199999999997</v>
      </c>
      <c r="FL31" s="95" t="s">
        <v>310</v>
      </c>
      <c r="FM31" s="49">
        <v>1</v>
      </c>
    </row>
    <row r="32" spans="1:184" ht="21.75" thickBot="1">
      <c r="B32" s="252" t="str">
        <f>IF(M5="extramurale ruimte","Totale omvang ZIN thuis excl. Behandeling","Totale omvang ZIN")</f>
        <v>Totale omvang ZIN</v>
      </c>
      <c r="C32" s="253"/>
      <c r="D32" s="253"/>
      <c r="E32" s="253"/>
      <c r="F32" s="253"/>
      <c r="G32" s="253"/>
      <c r="H32" s="253"/>
      <c r="I32" s="254">
        <f ca="1">IF(M6="extramurale ruimte",BD14,BD14+BD11)</f>
        <v>0</v>
      </c>
      <c r="K32" s="261">
        <f ca="1">IFERROR(IF($F$5="deeltijd verblijf icm zorg thuis",(I32/'Deeltijd verblijf'!P2),(I32/M6)),0)</f>
        <v>0</v>
      </c>
      <c r="L32" s="482" t="str">
        <f>IFERROR(IFERROR(VLOOKUP(M97,E97:F110,2,0)," ")," ")</f>
        <v xml:space="preserve"> </v>
      </c>
      <c r="M32" s="483"/>
      <c r="N32" s="196">
        <f t="shared" si="34"/>
        <v>0</v>
      </c>
      <c r="O32" s="330" t="str">
        <f t="shared" si="36"/>
        <v/>
      </c>
      <c r="P32" s="330" t="str">
        <f t="shared" si="37"/>
        <v/>
      </c>
      <c r="Q32" s="278"/>
      <c r="R32" s="278"/>
      <c r="S32" s="278"/>
      <c r="U32" s="175">
        <f t="shared" si="38"/>
        <v>0</v>
      </c>
      <c r="V32" s="47">
        <f t="shared" si="39"/>
        <v>0</v>
      </c>
      <c r="W32" s="56">
        <f t="shared" si="41"/>
        <v>0</v>
      </c>
      <c r="X32" s="49">
        <f t="shared" si="42"/>
        <v>0</v>
      </c>
      <c r="AC32" s="64"/>
      <c r="AD32" s="64"/>
      <c r="AE32" s="56" t="s">
        <v>563</v>
      </c>
      <c r="AF32" s="56" t="s">
        <v>1383</v>
      </c>
      <c r="AG32" s="57"/>
      <c r="AH32" s="64"/>
      <c r="AI32" s="64"/>
      <c r="AJ32" s="64"/>
      <c r="AK32" s="49" t="s">
        <v>782</v>
      </c>
      <c r="AL32" s="49" t="s">
        <v>742</v>
      </c>
      <c r="AM32" s="65"/>
      <c r="AN32" s="65"/>
      <c r="AO32" s="84">
        <v>24</v>
      </c>
      <c r="AP32" s="84" t="s">
        <v>389</v>
      </c>
      <c r="AQ32" s="84"/>
      <c r="AR32" s="84"/>
      <c r="AS32" s="84"/>
      <c r="AT32" s="84"/>
      <c r="AU32" s="84"/>
      <c r="AV32" s="84"/>
      <c r="AW32" s="84"/>
      <c r="AX32" s="84"/>
      <c r="BA32" s="120">
        <f>IFERROR(VLOOKUP(AZ32,Tarieven_ZIN1,2,0),0)</f>
        <v>0</v>
      </c>
      <c r="BB32" s="121"/>
      <c r="BE32" s="95" t="s">
        <v>315</v>
      </c>
      <c r="BF32" s="123">
        <v>846</v>
      </c>
      <c r="BG32" s="96" t="s">
        <v>357</v>
      </c>
      <c r="BH32" s="124">
        <f t="shared" si="18"/>
        <v>88182</v>
      </c>
      <c r="BI32" s="125">
        <f t="shared" si="16"/>
        <v>1691.1616438356164</v>
      </c>
      <c r="BJ32" s="107"/>
      <c r="BK32" s="107"/>
      <c r="BL32" s="126" t="s">
        <v>302</v>
      </c>
      <c r="BM32" s="89">
        <f>VLOOKUP(BL32,'Ruimte behandeling basis MPT'!$A$2:$H$46,8,FALSE)</f>
        <v>0</v>
      </c>
      <c r="BS32" s="49">
        <v>85</v>
      </c>
      <c r="BT32" s="49" t="s">
        <v>613</v>
      </c>
      <c r="CA32" s="128"/>
      <c r="CB32" s="128"/>
      <c r="CC32" s="128"/>
      <c r="CD32" s="128" t="s">
        <v>453</v>
      </c>
      <c r="CE32" s="128">
        <f>SUM(CE26:CE31)</f>
        <v>0</v>
      </c>
      <c r="CF32" s="128"/>
      <c r="CG32" s="128"/>
      <c r="CH32" s="128"/>
      <c r="CI32" s="128"/>
      <c r="CJ32" s="95" t="s">
        <v>315</v>
      </c>
      <c r="CK32" s="123" t="s">
        <v>466</v>
      </c>
      <c r="CL32" s="129" t="s">
        <v>341</v>
      </c>
      <c r="CM32" s="144" t="s">
        <v>304</v>
      </c>
      <c r="CN32" s="145">
        <v>826</v>
      </c>
      <c r="CO32" s="380">
        <v>0</v>
      </c>
      <c r="CP32" s="146">
        <f t="shared" si="19"/>
        <v>0</v>
      </c>
      <c r="CQ32" s="380">
        <v>0</v>
      </c>
      <c r="CR32" s="146">
        <f t="shared" si="20"/>
        <v>0</v>
      </c>
      <c r="CS32" s="380">
        <v>0</v>
      </c>
      <c r="CT32" s="146">
        <f t="shared" si="21"/>
        <v>0</v>
      </c>
      <c r="CU32" s="380">
        <v>0</v>
      </c>
      <c r="CV32" s="146">
        <f t="shared" si="22"/>
        <v>0</v>
      </c>
      <c r="CW32" s="380">
        <v>0</v>
      </c>
      <c r="CX32" s="380">
        <v>0</v>
      </c>
      <c r="CY32" s="380">
        <v>0</v>
      </c>
      <c r="DQ32" s="56"/>
      <c r="DR32" s="56" t="s">
        <v>568</v>
      </c>
      <c r="DS32" s="56" t="s">
        <v>668</v>
      </c>
      <c r="DT32" s="56" t="s">
        <v>379</v>
      </c>
      <c r="DV32" s="95" t="s">
        <v>308</v>
      </c>
      <c r="DW32" s="96" t="s">
        <v>357</v>
      </c>
      <c r="DX32" s="49" t="s">
        <v>432</v>
      </c>
      <c r="DY32" s="114">
        <f t="shared" si="25"/>
        <v>24.375</v>
      </c>
      <c r="DZ32" s="49">
        <v>19.5</v>
      </c>
      <c r="ER32" s="56" t="str">
        <f t="shared" si="43"/>
        <v>0</v>
      </c>
      <c r="ES32" s="49">
        <f t="shared" si="35"/>
        <v>0</v>
      </c>
      <c r="EW32" s="49" t="s">
        <v>802</v>
      </c>
      <c r="EX32" s="49" t="s">
        <v>892</v>
      </c>
      <c r="FB32" s="49" t="s">
        <v>656</v>
      </c>
      <c r="FC32" s="49" t="s">
        <v>847</v>
      </c>
      <c r="FD32" s="49" t="s">
        <v>1160</v>
      </c>
      <c r="FE32" s="49" t="str">
        <f t="shared" si="0"/>
        <v>7lgOpname</v>
      </c>
      <c r="FF32" s="70">
        <f t="shared" si="1"/>
        <v>405.98</v>
      </c>
      <c r="FG32" s="70">
        <f t="shared" si="3"/>
        <v>2841.86</v>
      </c>
      <c r="FL32" s="95" t="s">
        <v>311</v>
      </c>
      <c r="FM32" s="49">
        <v>1</v>
      </c>
    </row>
    <row r="33" spans="1:169" ht="21.75" thickBot="1">
      <c r="B33" s="252" t="str">
        <f>IF(M5="ruimte","Totale omvang behandeling"," ")</f>
        <v xml:space="preserve"> </v>
      </c>
      <c r="C33" s="253"/>
      <c r="D33" s="253"/>
      <c r="E33" s="253"/>
      <c r="F33" s="253"/>
      <c r="G33" s="253"/>
      <c r="H33" s="253"/>
      <c r="I33" s="255">
        <f>IF(M5="ruimte",BD11,0)</f>
        <v>0</v>
      </c>
      <c r="K33" s="261">
        <f>IFERROR(IF($F$5="deeltijd verblijf icm zorg thuis",(I33/'Deeltijd verblijf'!$P$2),(I33/$M$6)),0)</f>
        <v>0</v>
      </c>
      <c r="L33" s="482" t="str">
        <f t="shared" ref="L33:L38" si="44">IFERROR(VLOOKUP(M98,E98:F111,2,0)," ")</f>
        <v xml:space="preserve"> </v>
      </c>
      <c r="M33" s="483"/>
      <c r="N33" s="196">
        <f t="shared" si="34"/>
        <v>0</v>
      </c>
      <c r="O33" s="330" t="str">
        <f t="shared" si="36"/>
        <v/>
      </c>
      <c r="P33" s="330" t="str">
        <f t="shared" si="37"/>
        <v/>
      </c>
      <c r="Q33" s="278"/>
      <c r="R33" s="278"/>
      <c r="S33" s="278"/>
      <c r="U33" s="175">
        <f t="shared" si="38"/>
        <v>0</v>
      </c>
      <c r="V33" s="47">
        <f t="shared" si="39"/>
        <v>0</v>
      </c>
      <c r="W33" s="56">
        <f t="shared" si="41"/>
        <v>0</v>
      </c>
      <c r="X33" s="49">
        <f t="shared" si="42"/>
        <v>0</v>
      </c>
      <c r="Z33" s="49">
        <f>IFERROR(VLOOKUP($Q$22,$T$46:$V$50,2,FALSE),0)</f>
        <v>0</v>
      </c>
      <c r="AA33" s="49">
        <f>IF(Z33=0,1,2)</f>
        <v>1</v>
      </c>
      <c r="AB33" s="49">
        <f>IF(AA36="ja",4,2)</f>
        <v>2</v>
      </c>
      <c r="AC33" s="64"/>
      <c r="AD33" s="64"/>
      <c r="AE33" s="56" t="s">
        <v>564</v>
      </c>
      <c r="AF33" s="56" t="s">
        <v>1384</v>
      </c>
      <c r="AG33" s="57"/>
      <c r="AH33" s="64"/>
      <c r="AI33" s="64"/>
      <c r="AJ33" s="64"/>
      <c r="AK33" s="49" t="s">
        <v>783</v>
      </c>
      <c r="AL33" s="49" t="s">
        <v>743</v>
      </c>
      <c r="AM33" s="65"/>
      <c r="AN33" s="65"/>
      <c r="AO33" s="84">
        <v>25</v>
      </c>
      <c r="AP33" s="84" t="s">
        <v>389</v>
      </c>
      <c r="AQ33" s="84"/>
      <c r="AR33" s="84"/>
      <c r="AS33" s="84"/>
      <c r="AT33" s="84"/>
      <c r="AU33" s="84"/>
      <c r="AV33" s="84"/>
      <c r="AW33" s="84"/>
      <c r="AX33" s="84"/>
      <c r="AY33" s="79" t="s">
        <v>484</v>
      </c>
      <c r="AZ33" s="49" t="s">
        <v>244</v>
      </c>
      <c r="BA33" s="120">
        <f t="shared" si="13"/>
        <v>145.5</v>
      </c>
      <c r="BB33" s="121"/>
      <c r="BE33" s="95" t="s">
        <v>316</v>
      </c>
      <c r="BF33" s="123">
        <v>848</v>
      </c>
      <c r="BG33" s="96" t="s">
        <v>357</v>
      </c>
      <c r="BH33" s="124">
        <f t="shared" si="18"/>
        <v>95660</v>
      </c>
      <c r="BI33" s="125">
        <f t="shared" si="16"/>
        <v>1834.5753424657535</v>
      </c>
      <c r="BJ33" s="107"/>
      <c r="BK33" s="107"/>
      <c r="BL33" s="126" t="s">
        <v>303</v>
      </c>
      <c r="BM33" s="89">
        <f>VLOOKUP(BL33,'Ruimte behandeling basis MPT'!$A$2:$H$46,8,FALSE)</f>
        <v>189.69999999999996</v>
      </c>
      <c r="BS33" s="49">
        <v>84</v>
      </c>
      <c r="BT33" s="49" t="s">
        <v>613</v>
      </c>
      <c r="CB33" s="128"/>
      <c r="CC33" s="128"/>
      <c r="CD33" s="128"/>
      <c r="CE33" s="128"/>
      <c r="CF33" s="128"/>
      <c r="CG33" s="128"/>
      <c r="CH33" s="128"/>
      <c r="CI33" s="128"/>
      <c r="CJ33" s="95" t="s">
        <v>316</v>
      </c>
      <c r="CK33" s="123" t="s">
        <v>466</v>
      </c>
      <c r="CL33" s="129" t="s">
        <v>341</v>
      </c>
      <c r="CM33" s="149" t="s">
        <v>305</v>
      </c>
      <c r="CN33" s="150">
        <v>828</v>
      </c>
      <c r="CO33" s="380">
        <v>0</v>
      </c>
      <c r="CP33" s="146">
        <f t="shared" si="19"/>
        <v>0</v>
      </c>
      <c r="CQ33" s="380">
        <v>0</v>
      </c>
      <c r="CR33" s="146">
        <f t="shared" si="20"/>
        <v>0</v>
      </c>
      <c r="CS33" s="380">
        <v>0</v>
      </c>
      <c r="CT33" s="146">
        <f t="shared" si="21"/>
        <v>0</v>
      </c>
      <c r="CU33" s="380">
        <v>0</v>
      </c>
      <c r="CV33" s="146">
        <f t="shared" si="22"/>
        <v>0</v>
      </c>
      <c r="CW33" s="380">
        <v>0</v>
      </c>
      <c r="CX33" s="380">
        <v>0</v>
      </c>
      <c r="CY33" s="380">
        <v>0</v>
      </c>
      <c r="DQ33" s="56"/>
      <c r="DR33" s="56" t="s">
        <v>569</v>
      </c>
      <c r="DS33" s="56" t="s">
        <v>669</v>
      </c>
      <c r="DT33" s="56" t="s">
        <v>379</v>
      </c>
      <c r="DV33" s="95" t="s">
        <v>309</v>
      </c>
      <c r="DW33" s="96" t="s">
        <v>357</v>
      </c>
      <c r="DX33" s="49" t="s">
        <v>432</v>
      </c>
      <c r="DY33" s="114">
        <f t="shared" si="25"/>
        <v>48.125</v>
      </c>
      <c r="DZ33" s="49">
        <v>38.5</v>
      </c>
      <c r="ER33" s="56" t="str">
        <f t="shared" si="43"/>
        <v>0</v>
      </c>
      <c r="ES33" s="49">
        <f t="shared" si="35"/>
        <v>0</v>
      </c>
      <c r="EW33" s="49" t="s">
        <v>808</v>
      </c>
      <c r="EX33" s="49" t="s">
        <v>898</v>
      </c>
      <c r="FB33" s="49" t="s">
        <v>663</v>
      </c>
      <c r="FC33" s="49" t="s">
        <v>860</v>
      </c>
      <c r="FD33" s="49" t="s">
        <v>1160</v>
      </c>
      <c r="FE33" s="49" t="str">
        <f t="shared" si="0"/>
        <v>1zgaudOpname</v>
      </c>
      <c r="FF33" s="70">
        <f t="shared" si="1"/>
        <v>248.36</v>
      </c>
      <c r="FG33" s="70">
        <f t="shared" si="3"/>
        <v>1738.52</v>
      </c>
      <c r="FL33" s="95" t="s">
        <v>326</v>
      </c>
      <c r="FM33" s="49">
        <v>2</v>
      </c>
    </row>
    <row r="34" spans="1:169" ht="19.5" customHeight="1" thickBot="1">
      <c r="B34" s="252" t="s">
        <v>1156</v>
      </c>
      <c r="C34" s="253"/>
      <c r="D34" s="253"/>
      <c r="E34" s="253"/>
      <c r="F34" s="253"/>
      <c r="G34" s="253"/>
      <c r="H34" s="253"/>
      <c r="I34" s="234">
        <f>M8</f>
        <v>0</v>
      </c>
      <c r="J34" s="253"/>
      <c r="K34" s="261">
        <f>IFERROR(IF($F$5="deeltijd verblijf icm zorg thuis",(I34/'Deeltijd verblijf'!$P$2),(I34/$M$6)),0)</f>
        <v>0</v>
      </c>
      <c r="L34" s="482" t="str">
        <f t="shared" si="44"/>
        <v xml:space="preserve"> </v>
      </c>
      <c r="M34" s="483"/>
      <c r="N34" s="196">
        <f t="shared" si="34"/>
        <v>0</v>
      </c>
      <c r="O34" s="330" t="str">
        <f t="shared" si="36"/>
        <v/>
      </c>
      <c r="P34" s="330" t="str">
        <f t="shared" si="37"/>
        <v/>
      </c>
      <c r="Q34" s="278"/>
      <c r="R34" s="278"/>
      <c r="S34" s="278"/>
      <c r="T34" s="49">
        <f>IF(OR(F5="MPT",F5="VPT"),1,IF(F5="",0,2))</f>
        <v>0</v>
      </c>
      <c r="U34" s="175">
        <f t="shared" si="38"/>
        <v>0</v>
      </c>
      <c r="V34" s="47">
        <f t="shared" si="39"/>
        <v>0</v>
      </c>
      <c r="W34" s="56">
        <f t="shared" si="41"/>
        <v>0</v>
      </c>
      <c r="X34" s="49">
        <f t="shared" si="42"/>
        <v>0</v>
      </c>
      <c r="Z34" s="49">
        <f>IFERROR(VLOOKUP(Q24,U53:U56,1,FALSE),0)</f>
        <v>0</v>
      </c>
      <c r="AA34" s="49">
        <f>IF(Z34=0,1,2)</f>
        <v>1</v>
      </c>
      <c r="AB34" s="49">
        <f>SUM(AA33:AB33)</f>
        <v>3</v>
      </c>
      <c r="AC34" s="64"/>
      <c r="AD34" s="64"/>
      <c r="AE34" s="56" t="s">
        <v>565</v>
      </c>
      <c r="AF34" s="56" t="s">
        <v>1390</v>
      </c>
      <c r="AG34" s="57"/>
      <c r="AH34" s="64"/>
      <c r="AI34" s="64"/>
      <c r="AJ34" s="64"/>
      <c r="AK34" s="49" t="s">
        <v>784</v>
      </c>
      <c r="AL34" s="49" t="s">
        <v>744</v>
      </c>
      <c r="AM34" s="65"/>
      <c r="AN34" s="65"/>
      <c r="AO34" s="84">
        <v>5</v>
      </c>
      <c r="AP34" s="84" t="s">
        <v>384</v>
      </c>
      <c r="AQ34" s="84"/>
      <c r="AR34" s="84"/>
      <c r="AS34" s="84"/>
      <c r="AT34" s="84"/>
      <c r="AU34" s="84"/>
      <c r="AV34" s="84"/>
      <c r="AW34" s="84"/>
      <c r="AX34" s="84"/>
      <c r="AY34" s="79" t="s">
        <v>485</v>
      </c>
      <c r="AZ34" s="49" t="s">
        <v>251</v>
      </c>
      <c r="BA34" s="120">
        <f t="shared" si="13"/>
        <v>103.35</v>
      </c>
      <c r="BB34" s="121"/>
      <c r="BE34" s="95" t="s">
        <v>308</v>
      </c>
      <c r="BF34" s="123">
        <v>850</v>
      </c>
      <c r="BG34" s="96" t="s">
        <v>357</v>
      </c>
      <c r="BH34" s="124">
        <f t="shared" si="18"/>
        <v>61124</v>
      </c>
      <c r="BI34" s="125">
        <f t="shared" si="16"/>
        <v>1172.2410958904109</v>
      </c>
      <c r="BJ34" s="107"/>
      <c r="BK34" s="107"/>
      <c r="BL34" s="126" t="s">
        <v>304</v>
      </c>
      <c r="BM34" s="89">
        <f>VLOOKUP(BL34,'Ruimte behandeling basis MPT'!$A$2:$H$46,8,FALSE)</f>
        <v>296.44999999999993</v>
      </c>
      <c r="BS34" s="49">
        <v>83</v>
      </c>
      <c r="BT34" s="49" t="s">
        <v>613</v>
      </c>
      <c r="CB34" s="128"/>
      <c r="CC34" s="128"/>
      <c r="CD34" s="128"/>
      <c r="CE34" s="128"/>
      <c r="CF34" s="128" t="s">
        <v>454</v>
      </c>
      <c r="CG34" s="128"/>
      <c r="CH34" s="176">
        <f>M10</f>
        <v>0</v>
      </c>
      <c r="CI34" s="128"/>
      <c r="CJ34" s="95" t="s">
        <v>308</v>
      </c>
      <c r="CK34" s="123" t="s">
        <v>466</v>
      </c>
      <c r="CL34" s="129" t="s">
        <v>341</v>
      </c>
      <c r="CM34" s="144" t="s">
        <v>306</v>
      </c>
      <c r="CN34" s="145">
        <v>830</v>
      </c>
      <c r="CO34" s="380">
        <v>0</v>
      </c>
      <c r="CP34" s="146">
        <f t="shared" si="19"/>
        <v>0</v>
      </c>
      <c r="CQ34" s="380">
        <v>0</v>
      </c>
      <c r="CR34" s="146">
        <f t="shared" si="20"/>
        <v>0</v>
      </c>
      <c r="CS34" s="380">
        <v>0</v>
      </c>
      <c r="CT34" s="146">
        <f t="shared" si="21"/>
        <v>0</v>
      </c>
      <c r="CU34" s="380">
        <v>0</v>
      </c>
      <c r="CV34" s="146">
        <f t="shared" si="22"/>
        <v>0</v>
      </c>
      <c r="CW34" s="380">
        <v>0</v>
      </c>
      <c r="CX34" s="380">
        <v>0</v>
      </c>
      <c r="CY34" s="380">
        <v>0</v>
      </c>
      <c r="DQ34" s="56"/>
      <c r="DR34" s="56" t="s">
        <v>570</v>
      </c>
      <c r="DS34" s="56" t="s">
        <v>670</v>
      </c>
      <c r="DT34" s="56" t="s">
        <v>379</v>
      </c>
      <c r="DV34" s="95" t="s">
        <v>310</v>
      </c>
      <c r="DW34" s="96" t="s">
        <v>357</v>
      </c>
      <c r="DX34" s="49" t="s">
        <v>465</v>
      </c>
      <c r="DY34" s="114">
        <f t="shared" si="25"/>
        <v>58.75</v>
      </c>
      <c r="DZ34" s="167">
        <v>47</v>
      </c>
      <c r="ER34" s="56" t="str">
        <f t="shared" si="43"/>
        <v>0</v>
      </c>
      <c r="ES34" s="49">
        <f t="shared" si="35"/>
        <v>0</v>
      </c>
      <c r="EW34" s="49" t="s">
        <v>814</v>
      </c>
      <c r="EX34" s="49" t="s">
        <v>904</v>
      </c>
      <c r="FB34" s="49" t="s">
        <v>671</v>
      </c>
      <c r="FC34" s="49" t="s">
        <v>861</v>
      </c>
      <c r="FD34" s="49" t="s">
        <v>1160</v>
      </c>
      <c r="FE34" s="49" t="str">
        <f t="shared" si="0"/>
        <v>2zgaudOpname</v>
      </c>
      <c r="FF34" s="70">
        <f t="shared" si="1"/>
        <v>454.16</v>
      </c>
      <c r="FG34" s="70">
        <f t="shared" si="3"/>
        <v>3179.1200000000003</v>
      </c>
      <c r="FL34" s="95" t="s">
        <v>317</v>
      </c>
      <c r="FM34" s="49">
        <v>2</v>
      </c>
    </row>
    <row r="35" spans="1:169" ht="21.75" thickBot="1">
      <c r="B35" s="252" t="s">
        <v>1155</v>
      </c>
      <c r="C35" s="253"/>
      <c r="D35" s="253"/>
      <c r="E35" s="253"/>
      <c r="F35" s="253"/>
      <c r="G35" s="253"/>
      <c r="H35" s="253"/>
      <c r="I35" s="255">
        <f ca="1">SUM(I32:I34)</f>
        <v>0</v>
      </c>
      <c r="J35" s="253"/>
      <c r="K35" s="233">
        <f ca="1">SUM(K32:K34)</f>
        <v>0</v>
      </c>
      <c r="L35" s="482" t="str">
        <f t="shared" ca="1" si="44"/>
        <v xml:space="preserve"> </v>
      </c>
      <c r="M35" s="483"/>
      <c r="N35" s="196">
        <f t="shared" ca="1" si="34"/>
        <v>0</v>
      </c>
      <c r="O35" s="330" t="str">
        <f t="shared" ca="1" si="36"/>
        <v/>
      </c>
      <c r="P35" s="330" t="str">
        <f t="shared" ca="1" si="37"/>
        <v/>
      </c>
      <c r="Q35" s="278"/>
      <c r="R35" s="278"/>
      <c r="S35" s="278"/>
      <c r="T35" s="236">
        <f>T34+N28</f>
        <v>0</v>
      </c>
      <c r="U35" s="175">
        <f t="shared" si="38"/>
        <v>0</v>
      </c>
      <c r="V35" s="47">
        <f t="shared" si="39"/>
        <v>0</v>
      </c>
      <c r="W35" s="56">
        <f t="shared" si="41"/>
        <v>0</v>
      </c>
      <c r="X35" s="49">
        <f t="shared" si="42"/>
        <v>0</v>
      </c>
      <c r="AC35" s="64"/>
      <c r="AD35" s="64"/>
      <c r="AE35" s="56" t="s">
        <v>566</v>
      </c>
      <c r="AF35" s="56" t="s">
        <v>1391</v>
      </c>
      <c r="AG35" s="57"/>
      <c r="AH35" s="64"/>
      <c r="AI35" s="64"/>
      <c r="AJ35" s="64"/>
      <c r="AK35" s="49" t="s">
        <v>785</v>
      </c>
      <c r="AL35" s="49" t="s">
        <v>745</v>
      </c>
      <c r="AM35" s="65"/>
      <c r="AN35" s="65"/>
      <c r="AO35" s="84">
        <v>6</v>
      </c>
      <c r="AP35" s="84" t="s">
        <v>384</v>
      </c>
      <c r="AQ35" s="84"/>
      <c r="AR35" s="84"/>
      <c r="AS35" s="84"/>
      <c r="AT35" s="84"/>
      <c r="AU35" s="84"/>
      <c r="AV35" s="84"/>
      <c r="AW35" s="84"/>
      <c r="AX35" s="84"/>
      <c r="AY35" s="79" t="s">
        <v>486</v>
      </c>
      <c r="AZ35" s="49" t="s">
        <v>241</v>
      </c>
      <c r="BA35" s="120">
        <f t="shared" si="13"/>
        <v>154.44999999999999</v>
      </c>
      <c r="BB35" s="121"/>
      <c r="BE35" s="95" t="s">
        <v>309</v>
      </c>
      <c r="BF35" s="123">
        <v>852</v>
      </c>
      <c r="BG35" s="96" t="s">
        <v>357</v>
      </c>
      <c r="BH35" s="124">
        <f t="shared" si="18"/>
        <v>109697</v>
      </c>
      <c r="BI35" s="125">
        <f t="shared" si="16"/>
        <v>2103.7780821917809</v>
      </c>
      <c r="BJ35" s="107"/>
      <c r="BK35" s="107"/>
      <c r="BL35" s="126" t="s">
        <v>305</v>
      </c>
      <c r="BM35" s="89">
        <f>VLOOKUP(BL35,'Ruimte behandeling basis MPT'!$A$2:$H$46,8,FALSE)</f>
        <v>302.12</v>
      </c>
      <c r="BS35" s="49">
        <v>80</v>
      </c>
      <c r="BT35" s="49" t="s">
        <v>613</v>
      </c>
      <c r="CB35" s="128"/>
      <c r="CC35" s="128"/>
      <c r="CD35" s="128"/>
      <c r="CE35" s="128"/>
      <c r="CF35" s="128" t="s">
        <v>455</v>
      </c>
      <c r="CG35" s="128"/>
      <c r="CH35" s="128">
        <f>CE32</f>
        <v>0</v>
      </c>
      <c r="CI35" s="128"/>
      <c r="CJ35" s="95" t="s">
        <v>309</v>
      </c>
      <c r="CK35" s="123" t="s">
        <v>466</v>
      </c>
      <c r="CL35" s="129" t="s">
        <v>341</v>
      </c>
      <c r="CM35" s="149" t="s">
        <v>307</v>
      </c>
      <c r="CN35" s="150">
        <v>832</v>
      </c>
      <c r="CO35" s="380">
        <v>0</v>
      </c>
      <c r="CP35" s="146">
        <f t="shared" si="19"/>
        <v>0</v>
      </c>
      <c r="CQ35" s="380">
        <v>0</v>
      </c>
      <c r="CR35" s="146">
        <f t="shared" si="20"/>
        <v>0</v>
      </c>
      <c r="CS35" s="380">
        <v>0</v>
      </c>
      <c r="CT35" s="146">
        <f t="shared" si="21"/>
        <v>0</v>
      </c>
      <c r="CU35" s="380">
        <v>0</v>
      </c>
      <c r="CV35" s="146">
        <f t="shared" si="22"/>
        <v>0</v>
      </c>
      <c r="CW35" s="380">
        <v>0</v>
      </c>
      <c r="CX35" s="380">
        <v>0</v>
      </c>
      <c r="CY35" s="380">
        <v>0</v>
      </c>
      <c r="DQ35" s="56"/>
      <c r="DR35" s="56" t="s">
        <v>571</v>
      </c>
      <c r="DS35" s="56" t="s">
        <v>658</v>
      </c>
      <c r="DT35" s="56" t="s">
        <v>673</v>
      </c>
      <c r="DV35" s="95" t="s">
        <v>311</v>
      </c>
      <c r="DW35" s="96" t="s">
        <v>357</v>
      </c>
      <c r="DX35" s="49" t="s">
        <v>432</v>
      </c>
      <c r="DY35" s="114">
        <f t="shared" si="25"/>
        <v>35</v>
      </c>
      <c r="DZ35" s="49">
        <v>28</v>
      </c>
      <c r="ER35" s="56" t="str">
        <f t="shared" si="43"/>
        <v>0</v>
      </c>
      <c r="ES35" s="49">
        <f t="shared" si="35"/>
        <v>0</v>
      </c>
      <c r="EW35" s="49" t="s">
        <v>797</v>
      </c>
      <c r="EX35" s="49" t="s">
        <v>733</v>
      </c>
      <c r="FB35" s="49" t="s">
        <v>664</v>
      </c>
      <c r="FC35" s="49" t="s">
        <v>862</v>
      </c>
      <c r="FD35" s="49" t="s">
        <v>1160</v>
      </c>
      <c r="FE35" s="49" t="str">
        <f t="shared" si="0"/>
        <v>3zgaudOpname</v>
      </c>
      <c r="FF35" s="70">
        <f t="shared" si="1"/>
        <v>532.21</v>
      </c>
      <c r="FG35" s="70">
        <f t="shared" si="3"/>
        <v>3725.4700000000003</v>
      </c>
      <c r="FL35" s="95" t="s">
        <v>318</v>
      </c>
      <c r="FM35" s="49">
        <v>2</v>
      </c>
    </row>
    <row r="36" spans="1:169" ht="21.75" thickBot="1">
      <c r="B36" s="331" t="s">
        <v>1405</v>
      </c>
      <c r="H36" s="201"/>
      <c r="I36" s="234">
        <f>D38</f>
        <v>0</v>
      </c>
      <c r="L36" s="482" t="str">
        <f t="shared" ca="1" si="44"/>
        <v xml:space="preserve"> </v>
      </c>
      <c r="M36" s="483"/>
      <c r="N36" s="196">
        <f t="shared" ca="1" si="34"/>
        <v>0</v>
      </c>
      <c r="O36" s="330" t="str">
        <f t="shared" ca="1" si="36"/>
        <v/>
      </c>
      <c r="P36" s="330" t="str">
        <f t="shared" ca="1" si="37"/>
        <v/>
      </c>
      <c r="Q36" s="278"/>
      <c r="R36" s="278"/>
      <c r="S36" s="278"/>
      <c r="U36" s="175">
        <f t="shared" si="38"/>
        <v>0</v>
      </c>
      <c r="V36" s="47">
        <f t="shared" si="39"/>
        <v>0</v>
      </c>
      <c r="W36" s="56">
        <f t="shared" si="41"/>
        <v>0</v>
      </c>
      <c r="X36" s="49">
        <f t="shared" si="42"/>
        <v>0</v>
      </c>
      <c r="Z36" s="49">
        <f>IFERROR(IF(AA36="ja","toeslag beademing",VLOOKUP(Q24,U52:U56,1,0)),0)</f>
        <v>0</v>
      </c>
      <c r="AA36" s="49" t="str">
        <f>LEFT(Q23,2)</f>
        <v/>
      </c>
      <c r="AC36" s="64"/>
      <c r="AD36" s="64"/>
      <c r="AE36" s="56" t="s">
        <v>567</v>
      </c>
      <c r="AF36" s="56" t="s">
        <v>1392</v>
      </c>
      <c r="AG36" s="57"/>
      <c r="AH36" s="64"/>
      <c r="AI36" s="64"/>
      <c r="AJ36" s="64"/>
      <c r="AK36" s="49" t="s">
        <v>786</v>
      </c>
      <c r="AL36" s="49" t="s">
        <v>746</v>
      </c>
      <c r="AM36" s="65"/>
      <c r="AN36" s="65"/>
      <c r="AO36" s="84">
        <v>7</v>
      </c>
      <c r="AP36" s="84" t="s">
        <v>385</v>
      </c>
      <c r="AQ36" s="84"/>
      <c r="AR36" s="84"/>
      <c r="AS36" s="84"/>
      <c r="AT36" s="84"/>
      <c r="AU36" s="84"/>
      <c r="AV36" s="84"/>
      <c r="AW36" s="84"/>
      <c r="AX36" s="84"/>
      <c r="AY36" s="79" t="s">
        <v>494</v>
      </c>
      <c r="AZ36" s="49" t="s">
        <v>247</v>
      </c>
      <c r="BA36" s="120">
        <f t="shared" si="13"/>
        <v>167.76</v>
      </c>
      <c r="BB36" s="121"/>
      <c r="BE36" s="95" t="s">
        <v>310</v>
      </c>
      <c r="BF36" s="123">
        <v>854</v>
      </c>
      <c r="BG36" s="96" t="s">
        <v>357</v>
      </c>
      <c r="BH36" s="124">
        <f t="shared" si="18"/>
        <v>129933</v>
      </c>
      <c r="BI36" s="125">
        <f t="shared" si="16"/>
        <v>2491.8657534246577</v>
      </c>
      <c r="BJ36" s="107"/>
      <c r="BK36" s="107"/>
      <c r="BL36" s="126" t="s">
        <v>306</v>
      </c>
      <c r="BM36" s="89">
        <f>VLOOKUP(BL36,'Ruimte behandeling basis MPT'!$A$2:$H$46,8,FALSE)</f>
        <v>412.37</v>
      </c>
      <c r="BS36" s="49">
        <v>88</v>
      </c>
      <c r="BT36" s="49" t="s">
        <v>613</v>
      </c>
      <c r="CB36" s="128"/>
      <c r="CC36" s="128"/>
      <c r="CD36" s="128"/>
      <c r="CE36" s="128"/>
      <c r="CF36" s="128"/>
      <c r="CG36" s="128"/>
      <c r="CH36" s="176">
        <f>CH34-CH35</f>
        <v>0</v>
      </c>
      <c r="CI36" s="128"/>
      <c r="CJ36" s="95" t="s">
        <v>310</v>
      </c>
      <c r="CK36" s="123" t="s">
        <v>466</v>
      </c>
      <c r="CL36" s="129" t="s">
        <v>341</v>
      </c>
      <c r="CM36" s="144" t="s">
        <v>312</v>
      </c>
      <c r="CN36" s="145">
        <v>840</v>
      </c>
      <c r="CO36" s="380">
        <v>0</v>
      </c>
      <c r="CP36" s="146">
        <f t="shared" si="19"/>
        <v>0</v>
      </c>
      <c r="CQ36" s="380">
        <v>0</v>
      </c>
      <c r="CR36" s="146">
        <f t="shared" si="20"/>
        <v>0</v>
      </c>
      <c r="CS36" s="380">
        <v>0</v>
      </c>
      <c r="CT36" s="146">
        <f t="shared" si="21"/>
        <v>0</v>
      </c>
      <c r="CU36" s="380">
        <v>0</v>
      </c>
      <c r="CV36" s="146">
        <f t="shared" si="22"/>
        <v>0</v>
      </c>
      <c r="CW36" s="380">
        <v>0</v>
      </c>
      <c r="CX36" s="380">
        <v>0</v>
      </c>
      <c r="CY36" s="380">
        <v>0</v>
      </c>
      <c r="DQ36" s="56"/>
      <c r="DR36" s="56" t="s">
        <v>572</v>
      </c>
      <c r="DS36" s="56" t="s">
        <v>659</v>
      </c>
      <c r="DT36" s="56" t="s">
        <v>672</v>
      </c>
      <c r="DV36" s="95" t="s">
        <v>350</v>
      </c>
      <c r="DW36" s="96" t="s">
        <v>297</v>
      </c>
      <c r="DX36" s="49" t="s">
        <v>432</v>
      </c>
      <c r="DY36" s="114">
        <f t="shared" si="25"/>
        <v>8.75</v>
      </c>
      <c r="DZ36" s="49">
        <v>7</v>
      </c>
      <c r="ER36" s="56" t="str">
        <f t="shared" si="43"/>
        <v>0</v>
      </c>
      <c r="ES36" s="49">
        <f t="shared" si="35"/>
        <v>0</v>
      </c>
      <c r="EW36" s="49" t="s">
        <v>803</v>
      </c>
      <c r="EX36" s="49" t="s">
        <v>893</v>
      </c>
      <c r="FB36" s="49" t="s">
        <v>665</v>
      </c>
      <c r="FC36" s="49" t="s">
        <v>863</v>
      </c>
      <c r="FD36" s="49" t="s">
        <v>1160</v>
      </c>
      <c r="FE36" s="49" t="str">
        <f t="shared" si="0"/>
        <v>4zgaudOpname</v>
      </c>
      <c r="FF36" s="70">
        <f t="shared" si="1"/>
        <v>344.55</v>
      </c>
      <c r="FG36" s="70">
        <f t="shared" si="3"/>
        <v>2411.85</v>
      </c>
      <c r="FL36" s="95" t="s">
        <v>319</v>
      </c>
      <c r="FM36" s="49">
        <v>2</v>
      </c>
    </row>
    <row r="37" spans="1:169" ht="21.75" thickBot="1">
      <c r="B37" s="331" t="s">
        <v>1406</v>
      </c>
      <c r="H37" s="201"/>
      <c r="I37" s="234">
        <f>D43</f>
        <v>0</v>
      </c>
      <c r="L37" s="482" t="str">
        <f t="shared" ca="1" si="44"/>
        <v xml:space="preserve"> </v>
      </c>
      <c r="M37" s="483"/>
      <c r="N37" s="196">
        <f t="shared" ca="1" si="34"/>
        <v>0</v>
      </c>
      <c r="O37" s="330" t="str">
        <f t="shared" ca="1" si="36"/>
        <v/>
      </c>
      <c r="P37" s="330" t="str">
        <f t="shared" ca="1" si="37"/>
        <v/>
      </c>
      <c r="Q37" s="278"/>
      <c r="R37" s="278"/>
      <c r="S37" s="278"/>
      <c r="U37" s="175">
        <f t="shared" si="38"/>
        <v>0</v>
      </c>
      <c r="V37" s="47">
        <f t="shared" si="39"/>
        <v>0</v>
      </c>
      <c r="W37" s="56">
        <f t="shared" si="41"/>
        <v>0</v>
      </c>
      <c r="X37" s="49">
        <f t="shared" si="42"/>
        <v>0</v>
      </c>
      <c r="AB37" s="69">
        <f ca="1">IF(SUM($I$32:$I$33)-($M$10+$T$20)&lt;=0,SUM($I$32:$I$33),$M$10+$T$20)</f>
        <v>0</v>
      </c>
      <c r="AC37" s="64"/>
      <c r="AD37" s="64"/>
      <c r="AE37" s="56" t="s">
        <v>568</v>
      </c>
      <c r="AF37" s="56" t="s">
        <v>1393</v>
      </c>
      <c r="AG37" s="57"/>
      <c r="AH37" s="64"/>
      <c r="AI37" s="64"/>
      <c r="AJ37" s="64"/>
      <c r="AK37" s="49" t="s">
        <v>787</v>
      </c>
      <c r="AL37" s="49" t="s">
        <v>747</v>
      </c>
      <c r="AM37" s="65"/>
      <c r="AN37" s="65"/>
      <c r="AO37" s="84">
        <v>8</v>
      </c>
      <c r="AP37" s="84" t="s">
        <v>385</v>
      </c>
      <c r="AQ37" s="84"/>
      <c r="AR37" s="84"/>
      <c r="AS37" s="84"/>
      <c r="AT37" s="84"/>
      <c r="AU37" s="84"/>
      <c r="AV37" s="84"/>
      <c r="AW37" s="84"/>
      <c r="AX37" s="84"/>
      <c r="AY37" s="79" t="s">
        <v>495</v>
      </c>
      <c r="AZ37" s="49" t="s">
        <v>248</v>
      </c>
      <c r="BA37" s="120">
        <f t="shared" si="13"/>
        <v>148.93</v>
      </c>
      <c r="BB37" s="121"/>
      <c r="BE37" s="95" t="s">
        <v>311</v>
      </c>
      <c r="BF37" s="123">
        <v>856</v>
      </c>
      <c r="BG37" s="96" t="s">
        <v>357</v>
      </c>
      <c r="BH37" s="124">
        <f t="shared" si="18"/>
        <v>82662</v>
      </c>
      <c r="BI37" s="125">
        <f t="shared" si="16"/>
        <v>1585.2986301369863</v>
      </c>
      <c r="BJ37" s="107"/>
      <c r="BK37" s="107"/>
      <c r="BL37" s="126" t="s">
        <v>307</v>
      </c>
      <c r="BM37" s="89">
        <f>VLOOKUP(BL37,'Ruimte behandeling basis MPT'!$A$2:$H$46,8,FALSE)</f>
        <v>441</v>
      </c>
      <c r="BS37" s="49">
        <v>101</v>
      </c>
      <c r="BT37" s="49" t="s">
        <v>617</v>
      </c>
      <c r="CB37" s="128"/>
      <c r="CC37" s="128"/>
      <c r="CD37" s="128"/>
      <c r="CE37" s="128"/>
      <c r="CF37" s="128"/>
      <c r="CG37" s="128"/>
      <c r="CH37" s="128"/>
      <c r="CI37" s="128"/>
      <c r="CJ37" s="95" t="s">
        <v>311</v>
      </c>
      <c r="CK37" s="123" t="s">
        <v>466</v>
      </c>
      <c r="CL37" s="129" t="s">
        <v>341</v>
      </c>
      <c r="CM37" s="149" t="s">
        <v>313</v>
      </c>
      <c r="CN37" s="150">
        <v>842</v>
      </c>
      <c r="CO37" s="380">
        <v>0</v>
      </c>
      <c r="CP37" s="146">
        <f t="shared" si="19"/>
        <v>0</v>
      </c>
      <c r="CQ37" s="380">
        <v>0</v>
      </c>
      <c r="CR37" s="146">
        <f t="shared" si="20"/>
        <v>0</v>
      </c>
      <c r="CS37" s="380">
        <v>0</v>
      </c>
      <c r="CT37" s="146">
        <f t="shared" si="21"/>
        <v>0</v>
      </c>
      <c r="CU37" s="380">
        <v>0</v>
      </c>
      <c r="CV37" s="146">
        <f t="shared" si="22"/>
        <v>0</v>
      </c>
      <c r="CW37" s="380">
        <v>0</v>
      </c>
      <c r="CX37" s="380">
        <v>0</v>
      </c>
      <c r="CY37" s="380">
        <v>0</v>
      </c>
      <c r="DQ37" s="56"/>
      <c r="DR37" s="56" t="s">
        <v>573</v>
      </c>
      <c r="DS37" s="56" t="s">
        <v>660</v>
      </c>
      <c r="DT37" s="56" t="s">
        <v>672</v>
      </c>
      <c r="DV37" s="95" t="s">
        <v>351</v>
      </c>
      <c r="DW37" s="96" t="s">
        <v>297</v>
      </c>
      <c r="DX37" s="49" t="s">
        <v>432</v>
      </c>
      <c r="DY37" s="114">
        <f t="shared" si="25"/>
        <v>12.5</v>
      </c>
      <c r="DZ37" s="49">
        <v>10</v>
      </c>
      <c r="ER37" s="56" t="str">
        <f t="shared" si="43"/>
        <v>0</v>
      </c>
      <c r="ES37" s="49">
        <f t="shared" si="35"/>
        <v>0</v>
      </c>
      <c r="EW37" s="49" t="s">
        <v>809</v>
      </c>
      <c r="EX37" s="49" t="s">
        <v>899</v>
      </c>
      <c r="FB37" s="49" t="s">
        <v>658</v>
      </c>
      <c r="FC37" s="49" t="s">
        <v>866</v>
      </c>
      <c r="FD37" s="49" t="s">
        <v>1160</v>
      </c>
      <c r="FE37" s="49" t="str">
        <f t="shared" si="0"/>
        <v>1zgvisOpname</v>
      </c>
      <c r="FF37" s="70">
        <f t="shared" si="1"/>
        <v>184.3</v>
      </c>
      <c r="FG37" s="70">
        <f t="shared" si="3"/>
        <v>1290.1000000000001</v>
      </c>
      <c r="FL37" s="95" t="s">
        <v>320</v>
      </c>
      <c r="FM37" s="49">
        <v>2</v>
      </c>
    </row>
    <row r="38" spans="1:169" ht="21.75" thickBot="1">
      <c r="B38" s="331">
        <f>SUMIF(B18:B31,"bggrp",I18:I31)</f>
        <v>0</v>
      </c>
      <c r="C38" s="234">
        <f>IFERROR('Deeltijd verblijf'!M6*125%,0)</f>
        <v>0</v>
      </c>
      <c r="D38" s="201">
        <f>IF(C38&gt;0,B38-C38,0)</f>
        <v>0</v>
      </c>
      <c r="H38" s="201"/>
      <c r="I38" s="227"/>
      <c r="K38" s="233">
        <f>IFERROR(I38/M6,0)</f>
        <v>0</v>
      </c>
      <c r="L38" s="482" t="str">
        <f t="shared" ca="1" si="44"/>
        <v xml:space="preserve"> </v>
      </c>
      <c r="M38" s="483"/>
      <c r="N38" s="196">
        <f t="shared" ca="1" si="34"/>
        <v>0</v>
      </c>
      <c r="O38" s="330" t="str">
        <f t="shared" ca="1" si="36"/>
        <v/>
      </c>
      <c r="P38" s="330" t="str">
        <f t="shared" ca="1" si="37"/>
        <v/>
      </c>
      <c r="Q38" s="278"/>
      <c r="R38" s="278"/>
      <c r="S38" s="278"/>
      <c r="T38" s="177"/>
      <c r="U38" s="175">
        <f t="shared" si="38"/>
        <v>0</v>
      </c>
      <c r="V38" s="47">
        <f t="shared" si="39"/>
        <v>0</v>
      </c>
      <c r="W38" s="56">
        <f t="shared" si="41"/>
        <v>0</v>
      </c>
      <c r="X38" s="49">
        <f t="shared" si="42"/>
        <v>0</v>
      </c>
      <c r="AB38" s="70">
        <f ca="1">IF(BR6&gt;0,BR8+T20,AB37)</f>
        <v>0</v>
      </c>
      <c r="AC38" s="64"/>
      <c r="AD38" s="64"/>
      <c r="AE38" s="56" t="s">
        <v>569</v>
      </c>
      <c r="AF38" s="56" t="s">
        <v>1394</v>
      </c>
      <c r="AG38" s="57"/>
      <c r="AH38" s="64"/>
      <c r="AI38" s="64"/>
      <c r="AJ38" s="64"/>
      <c r="AK38" s="49" t="s">
        <v>788</v>
      </c>
      <c r="AL38" s="49" t="s">
        <v>748</v>
      </c>
      <c r="AM38" s="65"/>
      <c r="AN38" s="65"/>
      <c r="AO38" s="84">
        <v>9</v>
      </c>
      <c r="AP38" s="84" t="s">
        <v>385</v>
      </c>
      <c r="AQ38" s="84"/>
      <c r="AR38" s="84"/>
      <c r="AS38" s="84"/>
      <c r="AT38" s="84"/>
      <c r="AU38" s="84"/>
      <c r="AV38" s="84"/>
      <c r="AW38" s="84"/>
      <c r="AX38" s="84"/>
      <c r="AY38" s="79" t="s">
        <v>487</v>
      </c>
      <c r="AZ38" s="49" t="s">
        <v>250</v>
      </c>
      <c r="BA38" s="120">
        <f t="shared" si="13"/>
        <v>134.22999999999999</v>
      </c>
      <c r="BB38" s="121"/>
      <c r="BE38" s="95" t="s">
        <v>326</v>
      </c>
      <c r="BF38" s="123">
        <v>759</v>
      </c>
      <c r="BG38" s="96" t="s">
        <v>341</v>
      </c>
      <c r="BH38" s="124">
        <f t="shared" si="18"/>
        <v>96108</v>
      </c>
      <c r="BI38" s="125">
        <f t="shared" si="16"/>
        <v>1843.1671232876711</v>
      </c>
      <c r="BJ38" s="107"/>
      <c r="BK38" s="107"/>
      <c r="BL38" s="126" t="s">
        <v>1467</v>
      </c>
      <c r="BM38" s="89" t="e">
        <f>VLOOKUP(BL38,'Ruimte behandeling basis MPT'!$A$2:$H$46,8,FALSE)</f>
        <v>#N/A</v>
      </c>
      <c r="BS38" s="49">
        <v>102</v>
      </c>
      <c r="BT38" s="49" t="s">
        <v>617</v>
      </c>
      <c r="CB38" s="128"/>
      <c r="CC38" s="128"/>
      <c r="CD38" s="128"/>
      <c r="CE38" s="128"/>
      <c r="CF38" s="128"/>
      <c r="CG38" s="128"/>
      <c r="CH38" s="128"/>
      <c r="CI38" s="128"/>
      <c r="CJ38" s="95" t="s">
        <v>317</v>
      </c>
      <c r="CK38" s="123" t="s">
        <v>467</v>
      </c>
      <c r="CL38" s="129" t="s">
        <v>341</v>
      </c>
      <c r="CM38" s="144" t="s">
        <v>314</v>
      </c>
      <c r="CN38" s="145">
        <v>844</v>
      </c>
      <c r="CO38" s="380">
        <v>0</v>
      </c>
      <c r="CP38" s="146">
        <f t="shared" si="19"/>
        <v>0</v>
      </c>
      <c r="CQ38" s="380">
        <v>0</v>
      </c>
      <c r="CR38" s="146">
        <f t="shared" si="20"/>
        <v>0</v>
      </c>
      <c r="CS38" s="380">
        <v>0</v>
      </c>
      <c r="CT38" s="146">
        <f t="shared" si="21"/>
        <v>0</v>
      </c>
      <c r="CU38" s="380">
        <v>0</v>
      </c>
      <c r="CV38" s="146">
        <f t="shared" si="22"/>
        <v>0</v>
      </c>
      <c r="CW38" s="380">
        <v>0</v>
      </c>
      <c r="CX38" s="380">
        <v>0</v>
      </c>
      <c r="CY38" s="380">
        <v>0</v>
      </c>
      <c r="DQ38" s="56"/>
      <c r="DR38" s="56" t="s">
        <v>574</v>
      </c>
      <c r="DS38" s="56" t="s">
        <v>661</v>
      </c>
      <c r="DT38" s="56" t="s">
        <v>674</v>
      </c>
      <c r="DV38" s="95" t="s">
        <v>352</v>
      </c>
      <c r="DW38" s="96" t="s">
        <v>297</v>
      </c>
      <c r="DX38" s="49" t="s">
        <v>432</v>
      </c>
      <c r="DY38" s="114">
        <f t="shared" si="25"/>
        <v>16.25</v>
      </c>
      <c r="DZ38" s="49">
        <v>13</v>
      </c>
      <c r="ER38" s="56" t="str">
        <f t="shared" si="43"/>
        <v>0</v>
      </c>
      <c r="ES38" s="49">
        <f t="shared" si="35"/>
        <v>0</v>
      </c>
      <c r="EW38" s="49" t="s">
        <v>815</v>
      </c>
      <c r="EX38" s="49" t="s">
        <v>905</v>
      </c>
      <c r="FB38" s="49" t="s">
        <v>659</v>
      </c>
      <c r="FC38" s="49" t="s">
        <v>867</v>
      </c>
      <c r="FD38" s="49" t="s">
        <v>1160</v>
      </c>
      <c r="FE38" s="49" t="str">
        <f t="shared" si="0"/>
        <v>2zgvisOpname</v>
      </c>
      <c r="FF38" s="70">
        <f t="shared" si="1"/>
        <v>227.36</v>
      </c>
      <c r="FG38" s="70">
        <f t="shared" si="3"/>
        <v>1591.52</v>
      </c>
      <c r="FL38" s="95" t="s">
        <v>321</v>
      </c>
      <c r="FM38" s="49">
        <v>2</v>
      </c>
    </row>
    <row r="39" spans="1:169" ht="21.75" thickBot="1">
      <c r="B39" s="331"/>
      <c r="H39" s="201"/>
      <c r="I39" s="332">
        <f>IFERROR((N8+N17),0)</f>
        <v>0</v>
      </c>
      <c r="K39" s="233"/>
      <c r="L39" s="203"/>
      <c r="M39" s="204"/>
      <c r="N39" s="204"/>
      <c r="O39" s="205"/>
      <c r="P39" s="198"/>
      <c r="Q39" s="198"/>
      <c r="R39" s="198"/>
      <c r="S39" s="198"/>
      <c r="T39" s="177"/>
      <c r="U39" s="175">
        <f t="shared" si="38"/>
        <v>0</v>
      </c>
      <c r="V39" s="47">
        <f t="shared" si="39"/>
        <v>0</v>
      </c>
      <c r="W39" s="56">
        <f t="shared" si="41"/>
        <v>0</v>
      </c>
      <c r="X39" s="49">
        <f t="shared" si="42"/>
        <v>0</v>
      </c>
      <c r="AB39" s="70"/>
      <c r="AC39" s="64"/>
      <c r="AD39" s="64"/>
      <c r="AE39" s="56" t="s">
        <v>570</v>
      </c>
      <c r="AF39" s="56"/>
      <c r="AG39" s="57"/>
      <c r="AH39" s="64"/>
      <c r="AI39" s="64"/>
      <c r="AJ39" s="64"/>
      <c r="AK39" s="49" t="s">
        <v>789</v>
      </c>
      <c r="AL39" s="49" t="s">
        <v>1566</v>
      </c>
      <c r="AM39" s="65"/>
      <c r="AN39" s="65"/>
      <c r="AO39" s="84"/>
      <c r="AP39" s="84"/>
      <c r="AQ39" s="84"/>
      <c r="AR39" s="84"/>
      <c r="AS39" s="84"/>
      <c r="AT39" s="84"/>
      <c r="AU39" s="84"/>
      <c r="AV39" s="84"/>
      <c r="AW39" s="84"/>
      <c r="AX39" s="84"/>
      <c r="AY39" s="32" t="s">
        <v>1529</v>
      </c>
      <c r="AZ39" s="49" t="s">
        <v>1530</v>
      </c>
      <c r="BA39" s="120">
        <f t="shared" ref="BA39:BA70" si="45">VLOOKUP(AZ39,Tarieven_ZIN1,2,0)</f>
        <v>103.49</v>
      </c>
      <c r="BB39" s="121"/>
      <c r="BE39" s="95"/>
      <c r="BF39" s="123"/>
      <c r="BG39" s="96"/>
      <c r="BH39" s="124"/>
      <c r="BI39" s="125"/>
      <c r="BJ39" s="107"/>
      <c r="BK39" s="107"/>
      <c r="BL39" s="126" t="s">
        <v>1468</v>
      </c>
      <c r="BM39" s="89" t="e">
        <f>VLOOKUP(BL39,'Ruimte behandeling basis MPT'!$A$2:$H$46,8,FALSE)</f>
        <v>#N/A</v>
      </c>
      <c r="CB39" s="128"/>
      <c r="CC39" s="128"/>
      <c r="CD39" s="128"/>
      <c r="CE39" s="128"/>
      <c r="CF39" s="128"/>
      <c r="CG39" s="128"/>
      <c r="CH39" s="128"/>
      <c r="CI39" s="128"/>
      <c r="CJ39" s="95"/>
      <c r="CK39" s="123"/>
      <c r="CL39" s="129"/>
      <c r="CM39" s="144"/>
      <c r="CN39" s="145"/>
      <c r="CO39" s="381"/>
      <c r="CP39" s="382"/>
      <c r="CQ39" s="381"/>
      <c r="CR39" s="146"/>
      <c r="CS39" s="146"/>
      <c r="CT39" s="146"/>
      <c r="CU39" s="146"/>
      <c r="CV39" s="146"/>
      <c r="CW39" s="146"/>
      <c r="CX39" s="146"/>
      <c r="CY39" s="147"/>
      <c r="DQ39" s="56"/>
      <c r="DR39" s="56"/>
      <c r="DS39" s="56"/>
      <c r="DT39" s="56"/>
      <c r="DV39" s="95"/>
      <c r="DW39" s="96"/>
      <c r="DY39" s="114"/>
      <c r="ER39" s="56" t="str">
        <f t="shared" si="43"/>
        <v>0</v>
      </c>
      <c r="EW39" s="49" t="s">
        <v>798</v>
      </c>
      <c r="EX39" s="49" t="s">
        <v>734</v>
      </c>
      <c r="FB39" s="49" t="s">
        <v>660</v>
      </c>
      <c r="FC39" s="49" t="s">
        <v>877</v>
      </c>
      <c r="FD39" s="49" t="s">
        <v>1160</v>
      </c>
      <c r="FE39" s="49" t="str">
        <f t="shared" si="0"/>
        <v>3zgvisOpname</v>
      </c>
      <c r="FF39" s="70">
        <f t="shared" si="1"/>
        <v>280.36</v>
      </c>
      <c r="FG39" s="70">
        <f t="shared" si="3"/>
        <v>1962.52</v>
      </c>
      <c r="FL39" s="95"/>
    </row>
    <row r="40" spans="1:169" ht="21.75" thickBot="1">
      <c r="B40" s="331"/>
      <c r="D40" s="528"/>
      <c r="E40" s="528"/>
      <c r="F40" s="528"/>
      <c r="H40" s="201"/>
      <c r="I40" s="234"/>
      <c r="K40" s="233"/>
      <c r="L40" s="198"/>
      <c r="M40" s="198"/>
      <c r="N40" s="198"/>
      <c r="O40" s="198"/>
      <c r="P40" s="198"/>
      <c r="Q40" s="198"/>
      <c r="R40" s="198"/>
      <c r="S40" s="198"/>
      <c r="T40" s="177"/>
      <c r="U40" s="175">
        <f t="shared" si="38"/>
        <v>0</v>
      </c>
      <c r="V40" s="47">
        <f t="shared" si="39"/>
        <v>0</v>
      </c>
      <c r="W40" s="56">
        <f t="shared" si="41"/>
        <v>0</v>
      </c>
      <c r="X40" s="49">
        <f t="shared" si="42"/>
        <v>0</v>
      </c>
      <c r="AC40" s="64"/>
      <c r="AD40" s="64"/>
      <c r="AE40" s="56" t="s">
        <v>571</v>
      </c>
      <c r="AF40" s="56"/>
      <c r="AG40" s="64"/>
      <c r="AH40" s="64"/>
      <c r="AI40" s="64"/>
      <c r="AJ40" s="64"/>
      <c r="AK40" s="49" t="s">
        <v>1552</v>
      </c>
      <c r="AL40" s="49" t="s">
        <v>1559</v>
      </c>
      <c r="AM40" s="65"/>
      <c r="AN40" s="65"/>
      <c r="AO40" s="84">
        <v>10</v>
      </c>
      <c r="AP40" s="84" t="s">
        <v>386</v>
      </c>
      <c r="AQ40" s="84"/>
      <c r="AR40" s="84"/>
      <c r="AS40" s="84"/>
      <c r="AT40" s="84"/>
      <c r="AU40" s="84"/>
      <c r="AV40" s="84"/>
      <c r="AW40" s="84"/>
      <c r="AX40" s="84"/>
      <c r="AY40" s="79" t="s">
        <v>544</v>
      </c>
      <c r="AZ40" s="49" t="s">
        <v>539</v>
      </c>
      <c r="BA40" s="120">
        <f t="shared" si="45"/>
        <v>181.5</v>
      </c>
      <c r="BB40" s="121"/>
      <c r="BE40" s="95" t="s">
        <v>317</v>
      </c>
      <c r="BF40" s="123">
        <v>750</v>
      </c>
      <c r="BG40" s="96" t="s">
        <v>341</v>
      </c>
      <c r="BH40" s="124">
        <f t="shared" ref="BH40:BH54" si="46">VLOOKUP(BE40,Tarieven_PGB0,13,FALSE)</f>
        <v>18392</v>
      </c>
      <c r="BI40" s="125">
        <f t="shared" si="16"/>
        <v>352.72328767123287</v>
      </c>
      <c r="BJ40" s="107"/>
      <c r="BK40" s="107"/>
      <c r="BL40" s="126" t="s">
        <v>1469</v>
      </c>
      <c r="BM40" s="89" t="e">
        <f>VLOOKUP(BL40,'Ruimte behandeling basis MPT'!$A$2:$H$46,8,FALSE)</f>
        <v>#N/A</v>
      </c>
      <c r="BS40" s="49">
        <v>103</v>
      </c>
      <c r="BT40" s="49" t="s">
        <v>617</v>
      </c>
      <c r="CB40" s="128"/>
      <c r="CC40" s="128"/>
      <c r="CD40" s="128"/>
      <c r="CE40" s="128"/>
      <c r="CF40" s="128"/>
      <c r="CG40" s="128"/>
      <c r="CH40" s="128"/>
      <c r="CI40" s="128"/>
      <c r="CJ40" s="95" t="s">
        <v>318</v>
      </c>
      <c r="CK40" s="123" t="s">
        <v>467</v>
      </c>
      <c r="CL40" s="129" t="s">
        <v>341</v>
      </c>
      <c r="CM40" s="149" t="s">
        <v>315</v>
      </c>
      <c r="CN40" s="150">
        <v>846</v>
      </c>
      <c r="CO40" s="380">
        <v>0</v>
      </c>
      <c r="CP40" s="146">
        <f t="shared" si="19"/>
        <v>0</v>
      </c>
      <c r="CQ40" s="380">
        <v>0</v>
      </c>
      <c r="CR40" s="146">
        <f t="shared" si="20"/>
        <v>0</v>
      </c>
      <c r="CS40" s="380">
        <v>0</v>
      </c>
      <c r="CT40" s="146">
        <f t="shared" si="21"/>
        <v>0</v>
      </c>
      <c r="CU40" s="380">
        <v>0</v>
      </c>
      <c r="CV40" s="146">
        <f t="shared" si="22"/>
        <v>0</v>
      </c>
      <c r="CW40" s="380">
        <v>0</v>
      </c>
      <c r="CX40" s="380">
        <v>0</v>
      </c>
      <c r="CY40" s="380">
        <v>0</v>
      </c>
      <c r="DS40" s="56" t="s">
        <v>662</v>
      </c>
      <c r="DT40" s="56" t="s">
        <v>674</v>
      </c>
      <c r="DV40" s="95" t="s">
        <v>353</v>
      </c>
      <c r="DW40" s="96" t="s">
        <v>297</v>
      </c>
      <c r="DX40" s="49" t="s">
        <v>432</v>
      </c>
      <c r="DY40" s="114">
        <f t="shared" si="25"/>
        <v>19.375</v>
      </c>
      <c r="DZ40" s="49">
        <v>15.5</v>
      </c>
      <c r="ER40" s="56" t="str">
        <f t="shared" si="43"/>
        <v>0</v>
      </c>
      <c r="ES40" s="49">
        <f>IF(OR(B29="verblijfsprestatie",B29="vptprestatie"),1,0)</f>
        <v>0</v>
      </c>
      <c r="EW40" s="49" t="s">
        <v>804</v>
      </c>
      <c r="EX40" s="49" t="s">
        <v>894</v>
      </c>
      <c r="FB40" s="49" t="s">
        <v>661</v>
      </c>
      <c r="FC40" s="49" t="s">
        <v>878</v>
      </c>
      <c r="FD40" s="49" t="s">
        <v>1160</v>
      </c>
      <c r="FE40" s="49" t="str">
        <f t="shared" si="0"/>
        <v>4zgvisOpname</v>
      </c>
      <c r="FF40" s="70">
        <f t="shared" si="1"/>
        <v>361.93</v>
      </c>
      <c r="FG40" s="70">
        <f t="shared" si="3"/>
        <v>2533.5100000000002</v>
      </c>
      <c r="FL40" s="95" t="s">
        <v>322</v>
      </c>
      <c r="FM40" s="49">
        <v>2</v>
      </c>
    </row>
    <row r="41" spans="1:169" ht="21.75" hidden="1" thickBot="1">
      <c r="B41" s="331"/>
      <c r="D41" s="338"/>
      <c r="E41" s="338"/>
      <c r="F41" s="338"/>
      <c r="H41" s="201"/>
      <c r="I41" s="234"/>
      <c r="K41" s="233"/>
      <c r="L41" s="484"/>
      <c r="M41" s="484"/>
      <c r="N41" s="234">
        <f ca="1">D46/7</f>
        <v>0</v>
      </c>
      <c r="O41" s="198"/>
      <c r="P41" s="198"/>
      <c r="Q41" s="198"/>
      <c r="R41" s="198"/>
      <c r="S41" s="198"/>
      <c r="T41" s="177"/>
      <c r="U41" s="175">
        <f t="shared" si="38"/>
        <v>0</v>
      </c>
      <c r="V41" s="47">
        <f t="shared" si="39"/>
        <v>0</v>
      </c>
      <c r="W41" s="56">
        <f t="shared" si="41"/>
        <v>0</v>
      </c>
      <c r="X41" s="49">
        <f t="shared" si="42"/>
        <v>0</v>
      </c>
      <c r="AC41" s="64"/>
      <c r="AD41" s="64"/>
      <c r="AE41" s="56" t="s">
        <v>572</v>
      </c>
      <c r="AF41" s="56"/>
      <c r="AG41" s="64"/>
      <c r="AH41" s="64"/>
      <c r="AI41" s="64"/>
      <c r="AJ41" s="64"/>
      <c r="AK41" s="49" t="s">
        <v>1551</v>
      </c>
      <c r="AL41" s="49" t="s">
        <v>1560</v>
      </c>
      <c r="AM41" s="65"/>
      <c r="AN41" s="65"/>
      <c r="AO41" s="84">
        <v>11</v>
      </c>
      <c r="AP41" s="84" t="s">
        <v>386</v>
      </c>
      <c r="AQ41" s="84"/>
      <c r="AR41" s="84"/>
      <c r="AS41" s="84"/>
      <c r="AT41" s="84"/>
      <c r="AU41" s="84"/>
      <c r="AV41" s="84"/>
      <c r="AW41" s="84"/>
      <c r="AX41" s="84"/>
      <c r="AY41" s="79" t="s">
        <v>545</v>
      </c>
      <c r="AZ41" s="49" t="s">
        <v>540</v>
      </c>
      <c r="BA41" s="120">
        <f t="shared" si="45"/>
        <v>181.5</v>
      </c>
      <c r="BB41" s="121"/>
      <c r="BE41" s="95" t="s">
        <v>318</v>
      </c>
      <c r="BF41" s="123">
        <v>751</v>
      </c>
      <c r="BG41" s="96" t="s">
        <v>341</v>
      </c>
      <c r="BH41" s="124">
        <f t="shared" si="46"/>
        <v>26667</v>
      </c>
      <c r="BI41" s="125">
        <f t="shared" si="16"/>
        <v>511.42191780821918</v>
      </c>
      <c r="BJ41" s="107"/>
      <c r="BK41" s="107"/>
      <c r="BL41" s="126" t="s">
        <v>1470</v>
      </c>
      <c r="BM41" s="89" t="e">
        <f>VLOOKUP(BL41,'Ruimte behandeling basis MPT'!$A$2:$H$46,8,FALSE)</f>
        <v>#N/A</v>
      </c>
      <c r="BS41" s="49">
        <v>104</v>
      </c>
      <c r="BT41" s="49" t="s">
        <v>617</v>
      </c>
      <c r="CB41" s="128"/>
      <c r="CC41" s="128"/>
      <c r="CD41" s="128"/>
      <c r="CE41" s="128"/>
      <c r="CF41" s="128"/>
      <c r="CG41" s="128"/>
      <c r="CH41" s="128"/>
      <c r="CI41" s="128"/>
      <c r="CJ41" s="95" t="s">
        <v>319</v>
      </c>
      <c r="CK41" s="123" t="s">
        <v>467</v>
      </c>
      <c r="CL41" s="129" t="s">
        <v>341</v>
      </c>
      <c r="CM41" s="144" t="s">
        <v>316</v>
      </c>
      <c r="CN41" s="145">
        <v>848</v>
      </c>
      <c r="CO41" s="380">
        <v>0</v>
      </c>
      <c r="CP41" s="146">
        <f t="shared" si="19"/>
        <v>0</v>
      </c>
      <c r="CQ41" s="380">
        <v>0</v>
      </c>
      <c r="CR41" s="146">
        <f t="shared" si="20"/>
        <v>0</v>
      </c>
      <c r="CS41" s="380">
        <v>0</v>
      </c>
      <c r="CT41" s="146">
        <f t="shared" si="21"/>
        <v>0</v>
      </c>
      <c r="CU41" s="380">
        <v>0</v>
      </c>
      <c r="CV41" s="146">
        <f t="shared" si="22"/>
        <v>0</v>
      </c>
      <c r="CW41" s="380">
        <v>0</v>
      </c>
      <c r="CX41" s="380">
        <v>0</v>
      </c>
      <c r="CY41" s="380">
        <v>0</v>
      </c>
      <c r="DS41" s="56" t="s">
        <v>663</v>
      </c>
      <c r="DT41" s="56" t="s">
        <v>672</v>
      </c>
      <c r="DV41" s="95" t="s">
        <v>354</v>
      </c>
      <c r="DW41" s="96" t="s">
        <v>297</v>
      </c>
      <c r="DX41" s="49" t="s">
        <v>432</v>
      </c>
      <c r="DY41" s="114">
        <f t="shared" si="25"/>
        <v>20</v>
      </c>
      <c r="DZ41" s="49">
        <v>16</v>
      </c>
      <c r="ER41" s="56" t="str">
        <f t="shared" si="43"/>
        <v>0</v>
      </c>
      <c r="ES41" s="49">
        <f>IF(OR(B30="verblijfsprestatie",B30="vptprestatie"),1,0)</f>
        <v>0</v>
      </c>
      <c r="EW41" s="49" t="s">
        <v>810</v>
      </c>
      <c r="EX41" s="49" t="s">
        <v>900</v>
      </c>
      <c r="FB41" s="49" t="s">
        <v>662</v>
      </c>
      <c r="FC41" s="49" t="s">
        <v>879</v>
      </c>
      <c r="FD41" s="49" t="s">
        <v>1160</v>
      </c>
      <c r="FE41" s="49" t="str">
        <f t="shared" si="0"/>
        <v>5zgvisOpname</v>
      </c>
      <c r="FF41" s="70">
        <f t="shared" si="1"/>
        <v>399.71</v>
      </c>
      <c r="FG41" s="70">
        <f t="shared" si="3"/>
        <v>2797.97</v>
      </c>
      <c r="FL41" s="95" t="s">
        <v>323</v>
      </c>
      <c r="FM41" s="49">
        <v>2</v>
      </c>
    </row>
    <row r="42" spans="1:169" ht="21.75" hidden="1" thickBot="1">
      <c r="B42" s="331">
        <f>SUMIF(B18:B31,"BHgrp",I18:I31)</f>
        <v>0</v>
      </c>
      <c r="D42" s="528">
        <f>SUM(B42:B43)</f>
        <v>0</v>
      </c>
      <c r="E42" s="528"/>
      <c r="F42" s="528"/>
      <c r="H42" s="253"/>
      <c r="I42" s="255"/>
      <c r="K42" s="233"/>
      <c r="L42" s="484"/>
      <c r="M42" s="484"/>
      <c r="N42" s="234">
        <f ca="1">N41*7</f>
        <v>0</v>
      </c>
      <c r="O42" s="198"/>
      <c r="P42" s="198"/>
      <c r="Q42" s="198"/>
      <c r="R42" s="198"/>
      <c r="S42" s="198"/>
      <c r="T42" s="177"/>
      <c r="U42" s="175">
        <f t="shared" si="38"/>
        <v>0</v>
      </c>
      <c r="V42" s="47">
        <f t="shared" si="39"/>
        <v>0</v>
      </c>
      <c r="W42" s="56">
        <f t="shared" si="41"/>
        <v>0</v>
      </c>
      <c r="X42" s="49">
        <f t="shared" si="42"/>
        <v>0</v>
      </c>
      <c r="AC42" s="64"/>
      <c r="AD42" s="64"/>
      <c r="AE42" s="56" t="s">
        <v>573</v>
      </c>
      <c r="AF42" s="56"/>
      <c r="AG42" s="64"/>
      <c r="AH42" s="64"/>
      <c r="AI42" s="64"/>
      <c r="AJ42" s="64"/>
      <c r="AK42" s="49" t="s">
        <v>1550</v>
      </c>
      <c r="AL42" s="49" t="s">
        <v>1561</v>
      </c>
      <c r="AM42" s="65"/>
      <c r="AN42" s="65"/>
      <c r="AO42" s="84">
        <v>12</v>
      </c>
      <c r="AP42" s="84" t="s">
        <v>386</v>
      </c>
      <c r="AQ42" s="84"/>
      <c r="AR42" s="84"/>
      <c r="AS42" s="84"/>
      <c r="AT42" s="84"/>
      <c r="AU42" s="84"/>
      <c r="AV42" s="84"/>
      <c r="AW42" s="84"/>
      <c r="AX42" s="84"/>
      <c r="AY42" s="79" t="s">
        <v>1605</v>
      </c>
      <c r="AZ42" s="49" t="s">
        <v>1606</v>
      </c>
      <c r="BA42" s="120">
        <f t="shared" si="45"/>
        <v>337.53</v>
      </c>
      <c r="BB42" s="121"/>
      <c r="BE42" s="95" t="s">
        <v>319</v>
      </c>
      <c r="BF42" s="123">
        <v>752</v>
      </c>
      <c r="BG42" s="96" t="s">
        <v>341</v>
      </c>
      <c r="BH42" s="124">
        <f t="shared" si="46"/>
        <v>32463</v>
      </c>
      <c r="BI42" s="125">
        <f t="shared" ref="BI42:BI54" si="47">BH42/365*7</f>
        <v>622.57808219178082</v>
      </c>
      <c r="BJ42" s="107"/>
      <c r="BK42" s="107"/>
      <c r="BL42" s="126" t="s">
        <v>1471</v>
      </c>
      <c r="BM42" s="89" t="e">
        <f>VLOOKUP(BL42,'Ruimte behandeling basis MPT'!$A$2:$H$46,8,FALSE)</f>
        <v>#N/A</v>
      </c>
      <c r="BS42" s="49">
        <v>105</v>
      </c>
      <c r="BT42" s="49" t="s">
        <v>617</v>
      </c>
      <c r="CB42" s="128"/>
      <c r="CC42" s="128"/>
      <c r="CD42" s="128"/>
      <c r="CE42" s="128"/>
      <c r="CF42" s="128"/>
      <c r="CG42" s="128"/>
      <c r="CH42" s="128"/>
      <c r="CI42" s="128"/>
      <c r="CJ42" s="95" t="s">
        <v>320</v>
      </c>
      <c r="CK42" s="123" t="s">
        <v>467</v>
      </c>
      <c r="CL42" s="129" t="s">
        <v>341</v>
      </c>
      <c r="CM42" s="149" t="s">
        <v>308</v>
      </c>
      <c r="CN42" s="150">
        <v>850</v>
      </c>
      <c r="CO42" s="380">
        <v>0</v>
      </c>
      <c r="CP42" s="146">
        <f t="shared" si="19"/>
        <v>0</v>
      </c>
      <c r="CQ42" s="380">
        <v>0</v>
      </c>
      <c r="CR42" s="146">
        <f t="shared" si="20"/>
        <v>0</v>
      </c>
      <c r="CS42" s="380">
        <v>0</v>
      </c>
      <c r="CT42" s="146">
        <f t="shared" si="21"/>
        <v>0</v>
      </c>
      <c r="CU42" s="380">
        <v>0</v>
      </c>
      <c r="CV42" s="146">
        <f t="shared" si="22"/>
        <v>0</v>
      </c>
      <c r="CW42" s="380">
        <v>0</v>
      </c>
      <c r="CX42" s="380">
        <v>0</v>
      </c>
      <c r="CY42" s="380">
        <v>0</v>
      </c>
      <c r="DS42" s="56" t="s">
        <v>671</v>
      </c>
      <c r="DT42" s="56" t="s">
        <v>673</v>
      </c>
      <c r="DV42" s="95" t="s">
        <v>355</v>
      </c>
      <c r="DW42" s="96" t="s">
        <v>297</v>
      </c>
      <c r="DX42" s="49" t="s">
        <v>432</v>
      </c>
      <c r="DY42" s="114">
        <f t="shared" si="25"/>
        <v>28.75</v>
      </c>
      <c r="DZ42" s="49">
        <v>23</v>
      </c>
      <c r="ER42" s="56" t="str">
        <f t="shared" si="43"/>
        <v>0</v>
      </c>
      <c r="ES42" s="49">
        <f>IF(OR(B31="verblijfsprestatie",B31="vptprestatie"),1,0)</f>
        <v>0</v>
      </c>
      <c r="EW42" s="49" t="s">
        <v>816</v>
      </c>
      <c r="EX42" s="49" t="s">
        <v>906</v>
      </c>
      <c r="FB42" s="49" t="s">
        <v>1467</v>
      </c>
      <c r="FC42" s="49" t="s">
        <v>1546</v>
      </c>
      <c r="FD42" s="49" t="s">
        <v>1160</v>
      </c>
      <c r="FE42" s="49" t="str">
        <f>CONCATENATE(FB42,FD42)</f>
        <v>1GGZ-WOpname</v>
      </c>
      <c r="FF42" s="70">
        <f t="shared" si="1"/>
        <v>242.61</v>
      </c>
      <c r="FG42" s="70">
        <f t="shared" si="3"/>
        <v>1698.27</v>
      </c>
      <c r="FL42" s="95" t="s">
        <v>324</v>
      </c>
      <c r="FM42" s="49">
        <v>2</v>
      </c>
    </row>
    <row r="43" spans="1:169" ht="21.75" hidden="1" thickBot="1">
      <c r="A43" s="201"/>
      <c r="B43" s="331">
        <f>SUMIF(B18:B31,"Bhind",I18:I31)</f>
        <v>0</v>
      </c>
      <c r="D43" s="234">
        <f>D42-M15</f>
        <v>0</v>
      </c>
      <c r="H43" s="253"/>
      <c r="I43" s="255"/>
      <c r="K43" s="233"/>
      <c r="L43" s="198"/>
      <c r="M43" s="198"/>
      <c r="N43" s="198"/>
      <c r="O43" s="198"/>
      <c r="P43" s="198"/>
      <c r="Q43" s="198"/>
      <c r="R43" s="198"/>
      <c r="S43" s="198"/>
      <c r="T43" s="177"/>
      <c r="U43" s="175">
        <f t="shared" si="38"/>
        <v>0</v>
      </c>
      <c r="V43" s="47">
        <f t="shared" si="39"/>
        <v>0</v>
      </c>
      <c r="W43" s="56">
        <f t="shared" si="41"/>
        <v>0</v>
      </c>
      <c r="X43" s="49">
        <f t="shared" si="42"/>
        <v>0</v>
      </c>
      <c r="AC43" s="64"/>
      <c r="AD43" s="64"/>
      <c r="AE43" s="56" t="s">
        <v>574</v>
      </c>
      <c r="AF43" s="64"/>
      <c r="AG43" s="64"/>
      <c r="AH43" s="64"/>
      <c r="AI43" s="64"/>
      <c r="AJ43" s="64"/>
      <c r="AK43" s="49" t="s">
        <v>1545</v>
      </c>
      <c r="AL43" s="49" t="s">
        <v>1562</v>
      </c>
      <c r="AM43" s="65"/>
      <c r="AN43" s="65"/>
      <c r="AO43" s="84">
        <v>13</v>
      </c>
      <c r="AP43" s="84" t="s">
        <v>387</v>
      </c>
      <c r="AQ43" s="84"/>
      <c r="AR43" s="84"/>
      <c r="AS43" s="84"/>
      <c r="AT43" s="84"/>
      <c r="AU43" s="84"/>
      <c r="AV43" s="84"/>
      <c r="AW43" s="84"/>
      <c r="AX43" s="84"/>
      <c r="AY43" s="79" t="s">
        <v>546</v>
      </c>
      <c r="AZ43" s="49" t="s">
        <v>2</v>
      </c>
      <c r="BA43" s="120">
        <f t="shared" si="45"/>
        <v>45.87</v>
      </c>
      <c r="BB43" s="121"/>
      <c r="BE43" s="95" t="s">
        <v>320</v>
      </c>
      <c r="BF43" s="123">
        <v>753</v>
      </c>
      <c r="BG43" s="96" t="s">
        <v>341</v>
      </c>
      <c r="BH43" s="124">
        <f t="shared" si="46"/>
        <v>43494</v>
      </c>
      <c r="BI43" s="125">
        <f t="shared" si="47"/>
        <v>834.13150684931509</v>
      </c>
      <c r="BJ43" s="107"/>
      <c r="BK43" s="107"/>
      <c r="BL43" s="126" t="s">
        <v>308</v>
      </c>
      <c r="BM43" s="89">
        <f>VLOOKUP(BL43,'Ruimte behandeling basis MPT'!$A$2:$H$46,8,FALSE)</f>
        <v>0</v>
      </c>
      <c r="BS43" s="49">
        <v>106</v>
      </c>
      <c r="BT43" s="49" t="s">
        <v>617</v>
      </c>
      <c r="CB43" s="128"/>
      <c r="CC43" s="128"/>
      <c r="CD43" s="128"/>
      <c r="CE43" s="128"/>
      <c r="CF43" s="128"/>
      <c r="CG43" s="128"/>
      <c r="CH43" s="128"/>
      <c r="CI43" s="128"/>
      <c r="CJ43" s="95" t="s">
        <v>321</v>
      </c>
      <c r="CK43" s="123" t="s">
        <v>467</v>
      </c>
      <c r="CL43" s="129" t="s">
        <v>341</v>
      </c>
      <c r="CM43" s="144" t="s">
        <v>309</v>
      </c>
      <c r="CN43" s="145">
        <v>852</v>
      </c>
      <c r="CO43" s="380">
        <v>0</v>
      </c>
      <c r="CP43" s="146">
        <f t="shared" si="19"/>
        <v>0</v>
      </c>
      <c r="CQ43" s="380">
        <v>0</v>
      </c>
      <c r="CR43" s="146">
        <f t="shared" si="20"/>
        <v>0</v>
      </c>
      <c r="CS43" s="380">
        <v>0</v>
      </c>
      <c r="CT43" s="146">
        <f t="shared" si="21"/>
        <v>0</v>
      </c>
      <c r="CU43" s="380">
        <v>0</v>
      </c>
      <c r="CV43" s="146">
        <f t="shared" si="22"/>
        <v>0</v>
      </c>
      <c r="CW43" s="380">
        <v>0</v>
      </c>
      <c r="CX43" s="380">
        <v>0</v>
      </c>
      <c r="CY43" s="380">
        <v>0</v>
      </c>
      <c r="DS43" s="56" t="s">
        <v>664</v>
      </c>
      <c r="DT43" s="56" t="s">
        <v>674</v>
      </c>
      <c r="DV43" s="95" t="s">
        <v>356</v>
      </c>
      <c r="DW43" s="96" t="s">
        <v>297</v>
      </c>
      <c r="DX43" s="49" t="s">
        <v>432</v>
      </c>
      <c r="DY43" s="114">
        <f t="shared" si="25"/>
        <v>33.125</v>
      </c>
      <c r="DZ43" s="49">
        <v>26.5</v>
      </c>
      <c r="ER43" s="56" t="str">
        <f t="shared" si="43"/>
        <v>0</v>
      </c>
      <c r="EW43" s="49" t="s">
        <v>799</v>
      </c>
      <c r="EX43" s="49" t="s">
        <v>735</v>
      </c>
      <c r="FB43" s="49" t="s">
        <v>1468</v>
      </c>
      <c r="FC43" s="49" t="s">
        <v>1547</v>
      </c>
      <c r="FD43" s="49" t="s">
        <v>1160</v>
      </c>
      <c r="FE43" s="49" t="str">
        <f t="shared" ref="FE43:FE46" si="48">CONCATENATE(FB43,FD43)</f>
        <v>2GGZ-WOpname</v>
      </c>
      <c r="FF43" s="70">
        <f t="shared" si="1"/>
        <v>256.75</v>
      </c>
      <c r="FG43" s="70">
        <f t="shared" si="3"/>
        <v>1797.25</v>
      </c>
      <c r="FL43" s="95" t="s">
        <v>430</v>
      </c>
      <c r="FM43" s="49">
        <v>2</v>
      </c>
    </row>
    <row r="44" spans="1:169" ht="21.75" hidden="1" thickBot="1">
      <c r="B44" s="331"/>
      <c r="D44" s="234">
        <f ca="1">IFERROR(IF($B$43="restant",$G$44,$E$45-$I$56-$I$40-$I$42),0)</f>
        <v>0</v>
      </c>
      <c r="G44" s="234">
        <f ca="1">IF(I33=0,I45,I44)-I39</f>
        <v>0</v>
      </c>
      <c r="I44" s="199">
        <f ca="1">I45+IF(M44&lt;0,0,M44)</f>
        <v>0</v>
      </c>
      <c r="L44" s="1"/>
      <c r="M44" s="6">
        <f>T20-I33</f>
        <v>0</v>
      </c>
      <c r="N44" s="25" t="e">
        <f ca="1">IF(SUM($I$32:$I$33)-($BR$11+IF($I$33&gt;0,$T$20,0))&lt;=0,SUM($I$32:$I$33),$BR$11+IF($I$33&gt;0,$T$20,0))</f>
        <v>#N/A</v>
      </c>
      <c r="O44" s="6" t="e">
        <f ca="1">SUM(M44:N44)</f>
        <v>#N/A</v>
      </c>
      <c r="P44" s="1"/>
      <c r="Q44" s="1"/>
      <c r="R44" s="1"/>
      <c r="S44" s="1"/>
      <c r="T44" s="177"/>
      <c r="U44" s="175">
        <f t="shared" si="38"/>
        <v>0</v>
      </c>
      <c r="V44" s="47">
        <f t="shared" si="39"/>
        <v>0</v>
      </c>
      <c r="W44" s="56">
        <f t="shared" si="41"/>
        <v>0</v>
      </c>
      <c r="X44" s="49">
        <f t="shared" si="42"/>
        <v>0</v>
      </c>
      <c r="AC44" s="64"/>
      <c r="AD44" s="64"/>
      <c r="AE44" s="56" t="s">
        <v>1760</v>
      </c>
      <c r="AF44" s="64"/>
      <c r="AG44" s="64"/>
      <c r="AH44" s="64"/>
      <c r="AI44" s="64"/>
      <c r="AJ44" s="64"/>
      <c r="AK44" s="49" t="s">
        <v>1544</v>
      </c>
      <c r="AL44" s="49" t="s">
        <v>1563</v>
      </c>
      <c r="AM44" s="65"/>
      <c r="AN44" s="65"/>
      <c r="AO44" s="84">
        <v>14</v>
      </c>
      <c r="AP44" s="84" t="s">
        <v>387</v>
      </c>
      <c r="AQ44" s="84"/>
      <c r="AR44" s="84"/>
      <c r="AS44" s="84"/>
      <c r="AT44" s="84"/>
      <c r="AU44" s="84"/>
      <c r="AV44" s="84"/>
      <c r="AW44" s="84"/>
      <c r="AX44" s="84"/>
      <c r="AY44" s="79" t="s">
        <v>547</v>
      </c>
      <c r="AZ44" s="49" t="s">
        <v>259</v>
      </c>
      <c r="BA44" s="120">
        <f t="shared" si="45"/>
        <v>65.98</v>
      </c>
      <c r="BB44" s="121"/>
      <c r="BE44" s="95" t="s">
        <v>321</v>
      </c>
      <c r="BF44" s="123">
        <v>754</v>
      </c>
      <c r="BG44" s="96" t="s">
        <v>341</v>
      </c>
      <c r="BH44" s="124">
        <f t="shared" si="46"/>
        <v>59013</v>
      </c>
      <c r="BI44" s="125">
        <f t="shared" si="47"/>
        <v>1131.7561643835616</v>
      </c>
      <c r="BJ44" s="107"/>
      <c r="BK44" s="107"/>
      <c r="BL44" s="126" t="s">
        <v>309</v>
      </c>
      <c r="BM44" s="89">
        <f>VLOOKUP(BL44,'Ruimte behandeling basis MPT'!$A$2:$H$46,8,FALSE)</f>
        <v>27.229999999999905</v>
      </c>
      <c r="BS44" s="49">
        <v>107</v>
      </c>
      <c r="BT44" s="49" t="s">
        <v>617</v>
      </c>
      <c r="CB44" s="128"/>
      <c r="CC44" s="128"/>
      <c r="CD44" s="128"/>
      <c r="CE44" s="128"/>
      <c r="CF44" s="128"/>
      <c r="CG44" s="128"/>
      <c r="CH44" s="128"/>
      <c r="CI44" s="128"/>
      <c r="CJ44" s="95" t="s">
        <v>322</v>
      </c>
      <c r="CK44" s="123" t="s">
        <v>467</v>
      </c>
      <c r="CL44" s="129" t="s">
        <v>341</v>
      </c>
      <c r="CM44" s="149" t="s">
        <v>310</v>
      </c>
      <c r="CN44" s="150">
        <v>854</v>
      </c>
      <c r="CO44" s="380">
        <v>0</v>
      </c>
      <c r="CP44" s="146">
        <f t="shared" si="19"/>
        <v>0</v>
      </c>
      <c r="CQ44" s="380">
        <v>0</v>
      </c>
      <c r="CR44" s="146">
        <f t="shared" si="20"/>
        <v>0</v>
      </c>
      <c r="CS44" s="380">
        <v>0</v>
      </c>
      <c r="CT44" s="146">
        <f t="shared" si="21"/>
        <v>0</v>
      </c>
      <c r="CU44" s="380">
        <v>0</v>
      </c>
      <c r="CV44" s="146">
        <f t="shared" si="22"/>
        <v>0</v>
      </c>
      <c r="CW44" s="380">
        <v>0</v>
      </c>
      <c r="CX44" s="380">
        <v>0</v>
      </c>
      <c r="CY44" s="380">
        <v>0</v>
      </c>
      <c r="DS44" s="56" t="s">
        <v>665</v>
      </c>
      <c r="DT44" s="56" t="s">
        <v>672</v>
      </c>
      <c r="DV44" s="95" t="s">
        <v>327</v>
      </c>
      <c r="DW44" s="96" t="s">
        <v>297</v>
      </c>
      <c r="DX44" s="49" t="s">
        <v>432</v>
      </c>
      <c r="DY44" s="114">
        <f t="shared" si="25"/>
        <v>8.125</v>
      </c>
      <c r="DZ44" s="49">
        <v>6.5</v>
      </c>
      <c r="ER44" s="56" t="str">
        <f t="shared" si="43"/>
        <v>0</v>
      </c>
      <c r="EW44" s="49" t="s">
        <v>805</v>
      </c>
      <c r="EX44" s="49" t="s">
        <v>895</v>
      </c>
      <c r="FB44" s="49" t="s">
        <v>1469</v>
      </c>
      <c r="FC44" s="49" t="s">
        <v>1548</v>
      </c>
      <c r="FD44" s="49" t="s">
        <v>1160</v>
      </c>
      <c r="FE44" s="49" t="str">
        <f t="shared" si="48"/>
        <v>3GGZ-WOpname</v>
      </c>
      <c r="FF44" s="70">
        <f t="shared" si="1"/>
        <v>269.04000000000002</v>
      </c>
      <c r="FG44" s="70">
        <f t="shared" si="3"/>
        <v>1883.2800000000002</v>
      </c>
      <c r="FL44" s="95" t="s">
        <v>335</v>
      </c>
      <c r="FM44" s="49">
        <v>2</v>
      </c>
    </row>
    <row r="45" spans="1:169" ht="21.75" hidden="1" thickBot="1">
      <c r="B45" s="331"/>
      <c r="E45" s="234">
        <f ca="1">I35</f>
        <v>0</v>
      </c>
      <c r="I45" s="199">
        <f ca="1">IF(AND(G53=1,I33=0),M6-E45,IF(AND(G53=1,I33&gt;0),M6-E45-G46,T1-E45))</f>
        <v>0</v>
      </c>
      <c r="L45" s="6"/>
      <c r="M45" s="1"/>
      <c r="N45" s="1"/>
      <c r="O45" s="1"/>
      <c r="P45" s="1"/>
      <c r="Q45" s="1">
        <f>IF(D42=0,1,0)</f>
        <v>1</v>
      </c>
      <c r="R45" s="6">
        <f ca="1">I35-I40-I41</f>
        <v>0</v>
      </c>
      <c r="S45" s="1"/>
      <c r="AB45" s="70">
        <f>IF(BN12=0,0,IF(BN12&lt;0,0,SUM($I$32:$I$33)-$I$38))</f>
        <v>0</v>
      </c>
      <c r="AC45" s="64"/>
      <c r="AD45" s="64"/>
      <c r="AE45" s="56" t="s">
        <v>1759</v>
      </c>
      <c r="AF45" s="64"/>
      <c r="AG45" s="64"/>
      <c r="AH45" s="64"/>
      <c r="AI45" s="64"/>
      <c r="AJ45" s="64"/>
      <c r="AK45" s="49" t="s">
        <v>1546</v>
      </c>
      <c r="AL45" s="49" t="s">
        <v>1564</v>
      </c>
      <c r="AM45" s="65"/>
      <c r="AN45" s="65"/>
      <c r="AO45" s="84">
        <v>15</v>
      </c>
      <c r="AP45" s="84" t="s">
        <v>387</v>
      </c>
      <c r="AQ45" s="84"/>
      <c r="AR45" s="84"/>
      <c r="AS45" s="84"/>
      <c r="AT45" s="84"/>
      <c r="AU45" s="84"/>
      <c r="AV45" s="84"/>
      <c r="AW45" s="84"/>
      <c r="AX45" s="84"/>
      <c r="AY45" s="79" t="s">
        <v>548</v>
      </c>
      <c r="AZ45" s="49" t="s">
        <v>272</v>
      </c>
      <c r="BA45" s="120">
        <f t="shared" si="45"/>
        <v>63.63</v>
      </c>
      <c r="BB45" s="121"/>
      <c r="BE45" s="95" t="s">
        <v>322</v>
      </c>
      <c r="BF45" s="123">
        <v>755</v>
      </c>
      <c r="BG45" s="96" t="s">
        <v>341</v>
      </c>
      <c r="BH45" s="124">
        <f t="shared" si="46"/>
        <v>59013</v>
      </c>
      <c r="BI45" s="125">
        <f t="shared" si="47"/>
        <v>1131.7561643835616</v>
      </c>
      <c r="BJ45" s="107"/>
      <c r="BK45" s="107"/>
      <c r="BL45" s="126" t="s">
        <v>310</v>
      </c>
      <c r="BM45" s="89">
        <f>VLOOKUP(BL45,'Ruimte behandeling basis MPT'!$A$2:$H$46,8,FALSE)</f>
        <v>42.210000000000207</v>
      </c>
      <c r="BS45" s="49">
        <v>108</v>
      </c>
      <c r="BT45" s="49" t="s">
        <v>617</v>
      </c>
      <c r="CB45" s="128"/>
      <c r="CC45" s="128"/>
      <c r="CD45" s="128"/>
      <c r="CE45" s="128"/>
      <c r="CF45" s="128"/>
      <c r="CG45" s="128"/>
      <c r="CH45" s="128"/>
      <c r="CI45" s="128"/>
      <c r="CJ45" s="95" t="s">
        <v>323</v>
      </c>
      <c r="CK45" s="123" t="s">
        <v>467</v>
      </c>
      <c r="CL45" s="129" t="s">
        <v>341</v>
      </c>
      <c r="CM45" s="144" t="s">
        <v>311</v>
      </c>
      <c r="CN45" s="145">
        <v>856</v>
      </c>
      <c r="CO45" s="380">
        <v>0</v>
      </c>
      <c r="CP45" s="146">
        <f t="shared" si="19"/>
        <v>0</v>
      </c>
      <c r="CQ45" s="380">
        <v>0</v>
      </c>
      <c r="CR45" s="146">
        <f t="shared" si="20"/>
        <v>0</v>
      </c>
      <c r="CS45" s="380">
        <v>0</v>
      </c>
      <c r="CT45" s="146">
        <f t="shared" si="21"/>
        <v>0</v>
      </c>
      <c r="CU45" s="380">
        <v>0</v>
      </c>
      <c r="CV45" s="146">
        <f t="shared" si="22"/>
        <v>0</v>
      </c>
      <c r="CW45" s="380">
        <v>0</v>
      </c>
      <c r="CX45" s="380">
        <v>0</v>
      </c>
      <c r="CY45" s="380">
        <v>0</v>
      </c>
      <c r="DS45" s="56" t="s">
        <v>675</v>
      </c>
      <c r="DT45" s="56" t="s">
        <v>379</v>
      </c>
      <c r="DV45" s="95" t="s">
        <v>328</v>
      </c>
      <c r="DW45" s="96" t="s">
        <v>297</v>
      </c>
      <c r="DX45" s="49" t="s">
        <v>432</v>
      </c>
      <c r="DY45" s="114">
        <f t="shared" si="25"/>
        <v>11.875</v>
      </c>
      <c r="DZ45" s="49">
        <v>9.5</v>
      </c>
      <c r="ER45" s="56" t="str">
        <f t="shared" si="43"/>
        <v>0Totale omvang ZIN</v>
      </c>
      <c r="EW45" s="49" t="s">
        <v>811</v>
      </c>
      <c r="EX45" s="49" t="s">
        <v>901</v>
      </c>
      <c r="FB45" s="49" t="s">
        <v>1470</v>
      </c>
      <c r="FC45" s="49" t="s">
        <v>1549</v>
      </c>
      <c r="FD45" s="49" t="s">
        <v>1160</v>
      </c>
      <c r="FE45" s="49" t="str">
        <f t="shared" si="48"/>
        <v>4GGZ-WOpname</v>
      </c>
      <c r="FF45" s="70">
        <f t="shared" si="1"/>
        <v>422.56</v>
      </c>
      <c r="FG45" s="70">
        <f t="shared" si="3"/>
        <v>2957.92</v>
      </c>
      <c r="FL45" s="95" t="s">
        <v>336</v>
      </c>
      <c r="FM45" s="49">
        <v>2</v>
      </c>
    </row>
    <row r="46" spans="1:169" ht="19.5" hidden="1" thickBot="1">
      <c r="B46" s="341">
        <f ca="1">E45-I38</f>
        <v>0</v>
      </c>
      <c r="D46" s="234">
        <f ca="1">IF($D$50&gt;=0,$D$50,IF(SUM($I$38:$I$42)&lt;($M$6+$D$48),$M$6+$D$48-$I$38-$I$39-$I$41-$I$40-$I$42,IF($D$47-$D$49&gt;0,$D$47-$D$49,$D$49-$D$47)))</f>
        <v>0</v>
      </c>
      <c r="G46" s="201">
        <f>IF(G47&gt;0,G47,H47)</f>
        <v>0</v>
      </c>
      <c r="I46" s="199"/>
      <c r="J46" s="199"/>
      <c r="K46" s="199"/>
      <c r="L46" s="1"/>
      <c r="M46" s="2">
        <f ca="1">M6-I32</f>
        <v>0</v>
      </c>
      <c r="Q46" s="39">
        <f>IFERROR(IF(D42= "Gespecialiseerde verpleging",10,IF(D42="extra budget voor behandeling",1,IF(Q24="meerzorg",3,IF(D42="toeslag beademing",2,IF(AND(D42=0,Q24="overig"),3,5))))),0)</f>
        <v>5</v>
      </c>
      <c r="R46" s="39">
        <f>IF(Q48=1,V56,IF(Q48=2,V57,IF(Q48=5,0,IF(Q48=6,V54,V53))))</f>
        <v>0</v>
      </c>
      <c r="AC46" s="64"/>
      <c r="AD46" s="64"/>
      <c r="AE46" s="56" t="s">
        <v>1761</v>
      </c>
      <c r="AF46" s="64"/>
      <c r="AG46" s="64"/>
      <c r="AH46" s="64"/>
      <c r="AI46" s="64"/>
      <c r="AJ46" s="64"/>
      <c r="AK46" s="49" t="s">
        <v>1547</v>
      </c>
      <c r="AL46" s="49" t="s">
        <v>1565</v>
      </c>
      <c r="AM46" s="65"/>
      <c r="AN46" s="65"/>
      <c r="AO46" s="84">
        <v>16</v>
      </c>
      <c r="AP46" s="84" t="s">
        <v>388</v>
      </c>
      <c r="AQ46" s="84"/>
      <c r="AR46" s="84"/>
      <c r="AS46" s="84"/>
      <c r="AT46" s="84"/>
      <c r="AU46" s="84"/>
      <c r="AV46" s="84"/>
      <c r="AW46" s="84"/>
      <c r="AX46" s="84"/>
      <c r="AY46" s="79" t="s">
        <v>471</v>
      </c>
      <c r="AZ46" s="49" t="s">
        <v>249</v>
      </c>
      <c r="BA46" s="120">
        <f t="shared" si="45"/>
        <v>76.02</v>
      </c>
      <c r="BB46" s="121"/>
      <c r="BE46" s="95" t="s">
        <v>323</v>
      </c>
      <c r="BF46" s="123">
        <v>756</v>
      </c>
      <c r="BG46" s="96" t="s">
        <v>341</v>
      </c>
      <c r="BH46" s="124">
        <f t="shared" si="46"/>
        <v>73922</v>
      </c>
      <c r="BI46" s="125">
        <f t="shared" si="47"/>
        <v>1417.6821917808218</v>
      </c>
      <c r="BJ46" s="107"/>
      <c r="BK46" s="107"/>
      <c r="BL46" s="126" t="s">
        <v>311</v>
      </c>
      <c r="BM46" s="89">
        <f>VLOOKUP(BL46,'Ruimte behandeling basis MPT'!$A$2:$H$46,8,FALSE)</f>
        <v>189.42000000000002</v>
      </c>
      <c r="BS46" s="49">
        <v>109</v>
      </c>
      <c r="BT46" s="49" t="s">
        <v>617</v>
      </c>
      <c r="CB46" s="128"/>
      <c r="CC46" s="128"/>
      <c r="CD46" s="128"/>
      <c r="CE46" s="128"/>
      <c r="CF46" s="128"/>
      <c r="CG46" s="128"/>
      <c r="CH46" s="128"/>
      <c r="CI46" s="128"/>
      <c r="CJ46" s="95" t="s">
        <v>324</v>
      </c>
      <c r="CK46" s="123" t="s">
        <v>467</v>
      </c>
      <c r="CL46" s="129" t="s">
        <v>341</v>
      </c>
      <c r="CM46" s="144" t="s">
        <v>317</v>
      </c>
      <c r="CN46" s="145">
        <v>750</v>
      </c>
      <c r="CO46" s="380">
        <v>0</v>
      </c>
      <c r="CP46" s="146">
        <f t="shared" si="19"/>
        <v>0</v>
      </c>
      <c r="CQ46" s="380">
        <v>0</v>
      </c>
      <c r="CR46" s="146">
        <f t="shared" si="20"/>
        <v>0</v>
      </c>
      <c r="CS46" s="380">
        <v>0</v>
      </c>
      <c r="CT46" s="146">
        <f t="shared" si="21"/>
        <v>0</v>
      </c>
      <c r="CU46" s="380">
        <v>0</v>
      </c>
      <c r="CV46" s="146">
        <f t="shared" si="22"/>
        <v>0</v>
      </c>
      <c r="CW46" s="380">
        <v>0</v>
      </c>
      <c r="CX46" s="380">
        <v>0</v>
      </c>
      <c r="CY46" s="380">
        <v>0</v>
      </c>
      <c r="DS46" s="56" t="s">
        <v>676</v>
      </c>
      <c r="DT46" s="56" t="s">
        <v>379</v>
      </c>
      <c r="DV46" s="95" t="s">
        <v>329</v>
      </c>
      <c r="DW46" s="96" t="s">
        <v>297</v>
      </c>
      <c r="DX46" s="49" t="s">
        <v>432</v>
      </c>
      <c r="DY46" s="114">
        <f t="shared" si="25"/>
        <v>15.625</v>
      </c>
      <c r="DZ46" s="49">
        <v>12.5</v>
      </c>
      <c r="ER46" s="56"/>
      <c r="EW46" s="49" t="s">
        <v>817</v>
      </c>
      <c r="EX46" s="49" t="s">
        <v>907</v>
      </c>
      <c r="FB46" s="49" t="s">
        <v>1471</v>
      </c>
      <c r="FC46" s="49" t="s">
        <v>1543</v>
      </c>
      <c r="FD46" s="49" t="s">
        <v>1160</v>
      </c>
      <c r="FE46" s="49" t="str">
        <f t="shared" si="48"/>
        <v>5GGZ-WOpname</v>
      </c>
      <c r="FF46" s="70">
        <f t="shared" si="1"/>
        <v>495.44</v>
      </c>
      <c r="FG46" s="70">
        <f t="shared" si="3"/>
        <v>3468.08</v>
      </c>
      <c r="FL46" s="95" t="s">
        <v>337</v>
      </c>
      <c r="FM46" s="49">
        <v>2</v>
      </c>
    </row>
    <row r="47" spans="1:169" ht="19.5" hidden="1" thickBot="1">
      <c r="D47" s="234">
        <f ca="1">I35</f>
        <v>0</v>
      </c>
      <c r="F47" s="201" t="s">
        <v>708</v>
      </c>
      <c r="G47" s="234">
        <f>T20-I33</f>
        <v>0</v>
      </c>
      <c r="H47" s="199">
        <f>I33-T20</f>
        <v>0</v>
      </c>
      <c r="I47" s="200" t="e">
        <f ca="1">IF($G$55=1,$N$44-$G$47,$N$44)</f>
        <v>#N/A</v>
      </c>
      <c r="L47" s="1"/>
      <c r="M47" s="2">
        <f>T20-I33</f>
        <v>0</v>
      </c>
      <c r="Q47" s="39">
        <f>IFERROR(IF(D42="palliatief terminale zorg",1,IF(D42="Extra overbruggingszorg (urgent of actief plaatsen)",2,0)),0)</f>
        <v>0</v>
      </c>
      <c r="T47" s="49" t="s">
        <v>1294</v>
      </c>
      <c r="U47" s="49" t="s">
        <v>1294</v>
      </c>
      <c r="V47" s="70">
        <f ca="1">SUM($I$32:$I$33)-$I$38-$I$41</f>
        <v>0</v>
      </c>
      <c r="W47" s="70">
        <f>$M$6*25%</f>
        <v>0</v>
      </c>
      <c r="X47" s="70">
        <f ca="1">V47-W47</f>
        <v>0</v>
      </c>
      <c r="Y47" s="70">
        <f ca="1">IF(X47&gt;0,W47,V47)</f>
        <v>0</v>
      </c>
      <c r="Z47" s="114"/>
      <c r="AC47" s="64"/>
      <c r="AD47" s="64"/>
      <c r="AE47" s="56" t="s">
        <v>1762</v>
      </c>
      <c r="AF47" s="64"/>
      <c r="AG47" s="64"/>
      <c r="AH47" s="64"/>
      <c r="AI47" s="64"/>
      <c r="AJ47" s="64"/>
      <c r="AK47" s="49" t="s">
        <v>1548</v>
      </c>
      <c r="AL47" s="49" t="s">
        <v>1558</v>
      </c>
      <c r="AM47" s="65"/>
      <c r="AN47" s="65"/>
      <c r="AO47" s="84">
        <v>17</v>
      </c>
      <c r="AP47" s="84" t="s">
        <v>388</v>
      </c>
      <c r="AQ47" s="84"/>
      <c r="AR47" s="84"/>
      <c r="AS47" s="84"/>
      <c r="AT47" s="84"/>
      <c r="AU47" s="84"/>
      <c r="AV47" s="84"/>
      <c r="AW47" s="84"/>
      <c r="AX47" s="84"/>
      <c r="AY47" s="79" t="s">
        <v>1607</v>
      </c>
      <c r="AZ47" s="49" t="s">
        <v>1608</v>
      </c>
      <c r="BA47" s="120">
        <f t="shared" si="45"/>
        <v>95.66</v>
      </c>
      <c r="BB47" s="121"/>
      <c r="BE47" s="95" t="s">
        <v>324</v>
      </c>
      <c r="BF47" s="123">
        <v>757</v>
      </c>
      <c r="BG47" s="96" t="s">
        <v>341</v>
      </c>
      <c r="BH47" s="124">
        <f t="shared" si="46"/>
        <v>88224</v>
      </c>
      <c r="BI47" s="125">
        <f t="shared" si="47"/>
        <v>1691.9671232876713</v>
      </c>
      <c r="BJ47" s="107"/>
      <c r="BK47" s="107"/>
      <c r="BL47" s="126" t="s">
        <v>312</v>
      </c>
      <c r="BM47" s="89">
        <f>VLOOKUP(BL47,'Ruimte behandeling basis MPT'!$A$2:$H$46,8,FALSE)</f>
        <v>0</v>
      </c>
      <c r="BS47" s="49">
        <v>600</v>
      </c>
      <c r="BT47" s="49" t="s">
        <v>681</v>
      </c>
      <c r="CB47" s="128"/>
      <c r="CC47" s="128"/>
      <c r="CD47" s="128"/>
      <c r="CE47" s="128"/>
      <c r="CF47" s="128"/>
      <c r="CG47" s="128"/>
      <c r="CH47" s="128"/>
      <c r="CI47" s="128"/>
      <c r="CJ47" s="95" t="s">
        <v>430</v>
      </c>
      <c r="CK47" s="123" t="s">
        <v>467</v>
      </c>
      <c r="CL47" s="129" t="s">
        <v>341</v>
      </c>
      <c r="CM47" s="144" t="s">
        <v>318</v>
      </c>
      <c r="CN47" s="145">
        <v>751</v>
      </c>
      <c r="CO47" s="380">
        <v>0</v>
      </c>
      <c r="CP47" s="146">
        <f t="shared" si="19"/>
        <v>0</v>
      </c>
      <c r="CQ47" s="380">
        <v>0</v>
      </c>
      <c r="CR47" s="146">
        <f t="shared" si="20"/>
        <v>0</v>
      </c>
      <c r="CS47" s="380">
        <v>0</v>
      </c>
      <c r="CT47" s="146">
        <f t="shared" si="21"/>
        <v>0</v>
      </c>
      <c r="CU47" s="380">
        <v>0</v>
      </c>
      <c r="CV47" s="146">
        <f t="shared" si="22"/>
        <v>0</v>
      </c>
      <c r="CW47" s="380">
        <v>0</v>
      </c>
      <c r="CX47" s="380">
        <v>0</v>
      </c>
      <c r="CY47" s="380">
        <v>0</v>
      </c>
      <c r="DS47" s="56" t="s">
        <v>677</v>
      </c>
      <c r="DT47" s="56" t="s">
        <v>379</v>
      </c>
      <c r="DV47" s="95" t="s">
        <v>330</v>
      </c>
      <c r="DW47" s="96" t="s">
        <v>297</v>
      </c>
      <c r="DX47" s="49" t="s">
        <v>432</v>
      </c>
      <c r="DY47" s="114">
        <f t="shared" si="25"/>
        <v>18.75</v>
      </c>
      <c r="DZ47" s="49">
        <v>15</v>
      </c>
      <c r="EW47" s="49" t="s">
        <v>818</v>
      </c>
      <c r="EX47" s="49" t="s">
        <v>736</v>
      </c>
      <c r="FB47" s="49" t="s">
        <v>640</v>
      </c>
      <c r="FC47" s="49" t="s">
        <v>718</v>
      </c>
      <c r="FD47" s="49" t="s">
        <v>16</v>
      </c>
      <c r="FE47" s="49" t="str">
        <f t="shared" si="0"/>
        <v>1vvVPT</v>
      </c>
      <c r="FF47" s="70">
        <f t="shared" ref="FF47:FF91" si="49">VLOOKUP(FC47,Tarieven_VPT1,7,FALSE)</f>
        <v>82.56</v>
      </c>
      <c r="FG47" s="70">
        <f t="shared" ref="FG47:FG90" si="50">FF47*7</f>
        <v>577.92000000000007</v>
      </c>
      <c r="FL47" s="95" t="s">
        <v>338</v>
      </c>
      <c r="FM47" s="49">
        <v>2</v>
      </c>
    </row>
    <row r="48" spans="1:169" ht="19.5" hidden="1" thickBot="1">
      <c r="D48" s="201">
        <f>IF(I33=0,0,M15)</f>
        <v>0</v>
      </c>
      <c r="E48" s="201">
        <f>IF(OR(Q24&lt;&gt;"",Q24&lt;&gt;"Nee"),1,2)</f>
        <v>1</v>
      </c>
      <c r="F48" s="201" t="s">
        <v>709</v>
      </c>
      <c r="G48" s="201">
        <f>IF(T20=0,0,1)</f>
        <v>0</v>
      </c>
      <c r="I48" s="199" t="e">
        <f ca="1">IF(M10-I47&gt;0,E45,I47)</f>
        <v>#N/A</v>
      </c>
      <c r="J48" s="199"/>
      <c r="K48" s="199"/>
      <c r="L48" s="1"/>
      <c r="M48" s="2">
        <f ca="1">E45-T1</f>
        <v>0</v>
      </c>
      <c r="P48" s="39" t="s">
        <v>607</v>
      </c>
      <c r="Q48" s="39">
        <f>SUM(Q46:Q47)</f>
        <v>5</v>
      </c>
      <c r="T48" s="49" t="s">
        <v>1294</v>
      </c>
      <c r="V48" s="70">
        <f ca="1">SUM($I$32:$I$33)-$I$38-$I$41</f>
        <v>0</v>
      </c>
      <c r="W48" s="70">
        <f>$M$6*25%</f>
        <v>0</v>
      </c>
      <c r="X48" s="70">
        <f ca="1">V48-W48</f>
        <v>0</v>
      </c>
      <c r="Y48" s="70">
        <f ca="1">IF(X48&gt;0,W48,V48)</f>
        <v>0</v>
      </c>
      <c r="Z48" s="114"/>
      <c r="AC48" s="64"/>
      <c r="AD48" s="71"/>
      <c r="AE48" s="56"/>
      <c r="AF48" s="64"/>
      <c r="AG48" s="64"/>
      <c r="AH48" s="64"/>
      <c r="AI48" s="64"/>
      <c r="AJ48" s="64"/>
      <c r="AK48" s="49" t="s">
        <v>1549</v>
      </c>
      <c r="AL48" s="49" t="s">
        <v>1557</v>
      </c>
      <c r="AM48" s="65"/>
      <c r="AN48" s="65"/>
      <c r="AO48" s="84">
        <v>18</v>
      </c>
      <c r="AP48" s="84" t="s">
        <v>388</v>
      </c>
      <c r="AQ48" s="84"/>
      <c r="AR48" s="84"/>
      <c r="AS48" s="84"/>
      <c r="AT48" s="84"/>
      <c r="AU48" s="84"/>
      <c r="AV48" s="84"/>
      <c r="AW48" s="84"/>
      <c r="AX48" s="84"/>
      <c r="AY48" s="79" t="s">
        <v>550</v>
      </c>
      <c r="AZ48" s="49" t="s">
        <v>264</v>
      </c>
      <c r="BA48" s="120">
        <f t="shared" si="45"/>
        <v>43.76</v>
      </c>
      <c r="BB48" s="121"/>
      <c r="BE48" s="95" t="s">
        <v>430</v>
      </c>
      <c r="BF48" s="123">
        <v>191</v>
      </c>
      <c r="BG48" s="96" t="s">
        <v>341</v>
      </c>
      <c r="BH48" s="124">
        <f t="shared" si="46"/>
        <v>56574</v>
      </c>
      <c r="BI48" s="125">
        <f t="shared" si="47"/>
        <v>1084.9808219178083</v>
      </c>
      <c r="BJ48" s="107"/>
      <c r="BK48" s="107"/>
      <c r="BL48" s="126" t="s">
        <v>313</v>
      </c>
      <c r="BM48" s="89">
        <f>VLOOKUP(BL48,'Ruimte behandeling basis MPT'!$A$2:$H$46,8,FALSE)</f>
        <v>0</v>
      </c>
      <c r="BS48" s="49">
        <v>601</v>
      </c>
      <c r="BT48" s="49" t="s">
        <v>681</v>
      </c>
      <c r="CB48" s="128"/>
      <c r="CC48" s="128"/>
      <c r="CD48" s="128"/>
      <c r="CE48" s="128"/>
      <c r="CF48" s="128"/>
      <c r="CG48" s="128"/>
      <c r="CH48" s="128"/>
      <c r="CI48" s="128"/>
      <c r="CJ48" s="95" t="s">
        <v>326</v>
      </c>
      <c r="CK48" s="123" t="s">
        <v>467</v>
      </c>
      <c r="CL48" s="129" t="s">
        <v>341</v>
      </c>
      <c r="CM48" s="144" t="s">
        <v>319</v>
      </c>
      <c r="CN48" s="145">
        <v>752</v>
      </c>
      <c r="CO48" s="380">
        <v>0</v>
      </c>
      <c r="CP48" s="146">
        <f t="shared" si="19"/>
        <v>0</v>
      </c>
      <c r="CQ48" s="380">
        <v>0</v>
      </c>
      <c r="CR48" s="146">
        <f t="shared" si="20"/>
        <v>0</v>
      </c>
      <c r="CS48" s="380">
        <v>0</v>
      </c>
      <c r="CT48" s="146">
        <f t="shared" si="21"/>
        <v>0</v>
      </c>
      <c r="CU48" s="380">
        <v>0</v>
      </c>
      <c r="CV48" s="146">
        <f t="shared" si="22"/>
        <v>0</v>
      </c>
      <c r="CW48" s="380">
        <v>0</v>
      </c>
      <c r="CX48" s="380">
        <v>0</v>
      </c>
      <c r="CY48" s="380">
        <v>0</v>
      </c>
      <c r="DS48" s="56" t="s">
        <v>678</v>
      </c>
      <c r="DT48" s="56" t="s">
        <v>379</v>
      </c>
      <c r="DV48" s="95" t="s">
        <v>331</v>
      </c>
      <c r="DW48" s="96" t="s">
        <v>297</v>
      </c>
      <c r="DX48" s="49" t="s">
        <v>465</v>
      </c>
      <c r="DY48" s="114">
        <f t="shared" si="25"/>
        <v>23.125</v>
      </c>
      <c r="DZ48" s="49">
        <v>18.5</v>
      </c>
      <c r="ER48" s="355" t="s">
        <v>1539</v>
      </c>
      <c r="ES48" s="358" t="s">
        <v>1566</v>
      </c>
      <c r="EW48" s="49" t="s">
        <v>819</v>
      </c>
      <c r="EX48" s="49" t="s">
        <v>737</v>
      </c>
      <c r="FB48" s="49" t="s">
        <v>642</v>
      </c>
      <c r="FC48" s="49" t="s">
        <v>719</v>
      </c>
      <c r="FD48" s="49" t="s">
        <v>16</v>
      </c>
      <c r="FE48" s="49" t="str">
        <f t="shared" si="0"/>
        <v>2vvVPT</v>
      </c>
      <c r="FF48" s="70">
        <f t="shared" si="49"/>
        <v>109.09</v>
      </c>
      <c r="FG48" s="70">
        <f t="shared" si="50"/>
        <v>763.63</v>
      </c>
      <c r="FL48" s="95" t="s">
        <v>339</v>
      </c>
      <c r="FM48" s="49">
        <v>2</v>
      </c>
    </row>
    <row r="49" spans="2:169" ht="19.5" hidden="1" thickBot="1">
      <c r="D49" s="234">
        <f>D48+M17+FS8+M8</f>
        <v>0</v>
      </c>
      <c r="I49" s="199" t="e">
        <f ca="1">IF(M6-I48&lt;0,M6,I48)</f>
        <v>#N/A</v>
      </c>
      <c r="L49" s="1"/>
      <c r="M49" s="39">
        <f>IF(I33=0,1,0)</f>
        <v>1</v>
      </c>
      <c r="T49" s="49" t="s">
        <v>1294</v>
      </c>
      <c r="V49" s="70">
        <f ca="1">SUM($I$32:$I$33)-$I$38-$I$41</f>
        <v>0</v>
      </c>
      <c r="W49" s="70">
        <f>$M$6*25%</f>
        <v>0</v>
      </c>
      <c r="X49" s="70">
        <f ca="1">V49-W49</f>
        <v>0</v>
      </c>
      <c r="Y49" s="70">
        <f ca="1">IF(X50&gt;0,W50,V50)</f>
        <v>0</v>
      </c>
      <c r="Z49" s="114"/>
      <c r="AC49" s="64"/>
      <c r="AD49" s="71"/>
      <c r="AE49" s="64"/>
      <c r="AF49" s="64"/>
      <c r="AG49" s="64"/>
      <c r="AH49" s="64"/>
      <c r="AI49" s="64"/>
      <c r="AJ49" s="64"/>
      <c r="AK49" s="49" t="s">
        <v>1543</v>
      </c>
      <c r="AL49" s="49" t="s">
        <v>749</v>
      </c>
      <c r="AM49" s="65"/>
      <c r="AN49" s="65"/>
      <c r="AO49" s="84">
        <v>19</v>
      </c>
      <c r="AP49" s="84" t="s">
        <v>388</v>
      </c>
      <c r="AQ49" s="84"/>
      <c r="AR49" s="84"/>
      <c r="AS49" s="84"/>
      <c r="AT49" s="84"/>
      <c r="AU49" s="84"/>
      <c r="AV49" s="84"/>
      <c r="AW49" s="84"/>
      <c r="AX49" s="84"/>
      <c r="AY49" s="79" t="s">
        <v>551</v>
      </c>
      <c r="AZ49" s="49" t="s">
        <v>274</v>
      </c>
      <c r="BA49" s="120">
        <f t="shared" si="45"/>
        <v>61.56</v>
      </c>
      <c r="BB49" s="121"/>
      <c r="BE49" s="95" t="s">
        <v>335</v>
      </c>
      <c r="BF49" s="123">
        <v>780</v>
      </c>
      <c r="BG49" s="96" t="s">
        <v>341</v>
      </c>
      <c r="BH49" s="124">
        <f t="shared" si="46"/>
        <v>34453</v>
      </c>
      <c r="BI49" s="125">
        <f t="shared" si="47"/>
        <v>660.74246575342465</v>
      </c>
      <c r="BJ49" s="107"/>
      <c r="BK49" s="107"/>
      <c r="BL49" s="126" t="s">
        <v>314</v>
      </c>
      <c r="BM49" s="89">
        <f>VLOOKUP(BL49,'Ruimte behandeling basis MPT'!$A$2:$H$46,8,FALSE)</f>
        <v>105.90999999999997</v>
      </c>
      <c r="BS49" s="49">
        <v>602</v>
      </c>
      <c r="BT49" s="49" t="s">
        <v>681</v>
      </c>
      <c r="CB49" s="128"/>
      <c r="CC49" s="128"/>
      <c r="CD49" s="128"/>
      <c r="CE49" s="128"/>
      <c r="CF49" s="128"/>
      <c r="CG49" s="128"/>
      <c r="CH49" s="128"/>
      <c r="CI49" s="128"/>
      <c r="CJ49" s="95" t="s">
        <v>335</v>
      </c>
      <c r="CK49" s="123" t="s">
        <v>467</v>
      </c>
      <c r="CL49" s="129" t="s">
        <v>341</v>
      </c>
      <c r="CM49" s="144" t="s">
        <v>320</v>
      </c>
      <c r="CN49" s="145">
        <v>753</v>
      </c>
      <c r="CO49" s="380">
        <v>0</v>
      </c>
      <c r="CP49" s="146">
        <f t="shared" si="19"/>
        <v>0</v>
      </c>
      <c r="CQ49" s="380">
        <v>0</v>
      </c>
      <c r="CR49" s="146">
        <f t="shared" si="20"/>
        <v>0</v>
      </c>
      <c r="CS49" s="380">
        <v>0</v>
      </c>
      <c r="CT49" s="146">
        <f t="shared" si="21"/>
        <v>0</v>
      </c>
      <c r="CU49" s="380">
        <v>0</v>
      </c>
      <c r="CV49" s="146">
        <f t="shared" si="22"/>
        <v>0</v>
      </c>
      <c r="CW49" s="380">
        <v>0</v>
      </c>
      <c r="CX49" s="380">
        <v>0</v>
      </c>
      <c r="CY49" s="380">
        <v>0</v>
      </c>
      <c r="DS49" s="56" t="s">
        <v>679</v>
      </c>
      <c r="DT49" s="56" t="s">
        <v>379</v>
      </c>
      <c r="DV49" s="95" t="s">
        <v>332</v>
      </c>
      <c r="DW49" s="96" t="s">
        <v>297</v>
      </c>
      <c r="DX49" s="49" t="s">
        <v>432</v>
      </c>
      <c r="DY49" s="114">
        <f t="shared" si="25"/>
        <v>23.75</v>
      </c>
      <c r="DZ49" s="49">
        <v>19</v>
      </c>
      <c r="ER49" s="355" t="s">
        <v>1542</v>
      </c>
      <c r="ES49" s="358" t="s">
        <v>1563</v>
      </c>
      <c r="EW49" s="49" t="s">
        <v>820</v>
      </c>
      <c r="EX49" s="49" t="s">
        <v>738</v>
      </c>
      <c r="FB49" s="49" t="s">
        <v>641</v>
      </c>
      <c r="FC49" s="49" t="s">
        <v>880</v>
      </c>
      <c r="FD49" s="49" t="s">
        <v>16</v>
      </c>
      <c r="FE49" s="49" t="str">
        <f t="shared" si="0"/>
        <v>3vvVPT</v>
      </c>
      <c r="FF49" s="70">
        <f t="shared" si="49"/>
        <v>169.76</v>
      </c>
      <c r="FG49" s="70">
        <f t="shared" si="50"/>
        <v>1188.32</v>
      </c>
      <c r="FL49" s="95" t="s">
        <v>340</v>
      </c>
      <c r="FM49" s="49">
        <v>2</v>
      </c>
    </row>
    <row r="50" spans="2:169" ht="19.5" hidden="1" thickBot="1">
      <c r="D50" s="201">
        <f ca="1">IF(B43="overschrijding",D49-D47,D47-D49-I40-I42)</f>
        <v>0</v>
      </c>
      <c r="E50" s="201">
        <f t="shared" ref="E50:E62" si="51">IF($E$20=E19,3,0)</f>
        <v>3</v>
      </c>
      <c r="I50" s="199">
        <f>IF($T$20-$I$33&gt;0,$I$33,$T$20)</f>
        <v>0</v>
      </c>
      <c r="M50" s="39">
        <f ca="1">IF(M46&lt;0,1,0)</f>
        <v>0</v>
      </c>
      <c r="Q50" s="2"/>
      <c r="R50" s="2"/>
      <c r="T50" s="50" t="s">
        <v>1294</v>
      </c>
      <c r="U50" s="50" t="s">
        <v>614</v>
      </c>
      <c r="V50" s="70">
        <f ca="1">SUM($I$32:$I$33)-$I$38-$I$41</f>
        <v>0</v>
      </c>
      <c r="W50" s="70">
        <f>$M$6*25%</f>
        <v>0</v>
      </c>
      <c r="X50" s="70">
        <f ca="1">V50-W50</f>
        <v>0</v>
      </c>
      <c r="Y50" s="70">
        <f ca="1">IF(X51&gt;0,W51,V51)</f>
        <v>0</v>
      </c>
      <c r="Z50" s="114"/>
      <c r="AC50" s="64"/>
      <c r="AD50" s="71"/>
      <c r="AE50" s="64"/>
      <c r="AF50" s="64"/>
      <c r="AG50" s="64"/>
      <c r="AH50" s="64"/>
      <c r="AI50" s="64"/>
      <c r="AJ50" s="64"/>
      <c r="AK50" s="49" t="s">
        <v>1542</v>
      </c>
      <c r="AL50" s="49" t="s">
        <v>752</v>
      </c>
      <c r="AM50" s="65"/>
      <c r="AN50" s="65"/>
      <c r="AO50" s="84">
        <v>20</v>
      </c>
      <c r="AP50" s="84" t="s">
        <v>389</v>
      </c>
      <c r="AQ50" s="84"/>
      <c r="AR50" s="84"/>
      <c r="AS50" s="84"/>
      <c r="AT50" s="84"/>
      <c r="AU50" s="84"/>
      <c r="AV50" s="84"/>
      <c r="AW50" s="84"/>
      <c r="AX50" s="84"/>
      <c r="AY50" s="79" t="s">
        <v>552</v>
      </c>
      <c r="AZ50" s="49" t="s">
        <v>284</v>
      </c>
      <c r="BA50" s="120">
        <f t="shared" si="45"/>
        <v>105.09</v>
      </c>
      <c r="BB50" s="121"/>
      <c r="BE50" s="95" t="s">
        <v>336</v>
      </c>
      <c r="BF50" s="123">
        <v>781</v>
      </c>
      <c r="BG50" s="96" t="s">
        <v>341</v>
      </c>
      <c r="BH50" s="124">
        <f t="shared" si="46"/>
        <v>49362</v>
      </c>
      <c r="BI50" s="125">
        <f t="shared" si="47"/>
        <v>946.66849315068498</v>
      </c>
      <c r="BJ50" s="107"/>
      <c r="BK50" s="107"/>
      <c r="BL50" s="126" t="s">
        <v>315</v>
      </c>
      <c r="BM50" s="89">
        <f>VLOOKUP(BL50,'Ruimte behandeling basis MPT'!$A$2:$H$46,8,FALSE)</f>
        <v>156.66000000000017</v>
      </c>
      <c r="BS50" s="49">
        <v>603</v>
      </c>
      <c r="BT50" s="49" t="s">
        <v>681</v>
      </c>
      <c r="CB50" s="128"/>
      <c r="CC50" s="128"/>
      <c r="CD50" s="128"/>
      <c r="CE50" s="128"/>
      <c r="CF50" s="128"/>
      <c r="CG50" s="128"/>
      <c r="CH50" s="128"/>
      <c r="CI50" s="128"/>
      <c r="CJ50" s="95" t="s">
        <v>336</v>
      </c>
      <c r="CK50" s="123" t="s">
        <v>467</v>
      </c>
      <c r="CL50" s="129" t="s">
        <v>341</v>
      </c>
      <c r="CM50" s="144" t="s">
        <v>321</v>
      </c>
      <c r="CN50" s="145">
        <v>754</v>
      </c>
      <c r="CO50" s="380">
        <v>0</v>
      </c>
      <c r="CP50" s="146">
        <f t="shared" si="19"/>
        <v>0</v>
      </c>
      <c r="CQ50" s="380">
        <v>0</v>
      </c>
      <c r="CR50" s="146">
        <f t="shared" si="20"/>
        <v>0</v>
      </c>
      <c r="CS50" s="380">
        <v>0</v>
      </c>
      <c r="CT50" s="146">
        <f t="shared" si="21"/>
        <v>0</v>
      </c>
      <c r="CU50" s="380">
        <v>0</v>
      </c>
      <c r="CV50" s="146">
        <f t="shared" si="22"/>
        <v>0</v>
      </c>
      <c r="CW50" s="380">
        <v>0</v>
      </c>
      <c r="CX50" s="380">
        <v>0</v>
      </c>
      <c r="CY50" s="380">
        <v>0</v>
      </c>
      <c r="DS50" s="56" t="s">
        <v>657</v>
      </c>
      <c r="DT50" s="56" t="s">
        <v>379</v>
      </c>
      <c r="DV50" s="95" t="s">
        <v>333</v>
      </c>
      <c r="DW50" s="96" t="s">
        <v>297</v>
      </c>
      <c r="DX50" s="49" t="s">
        <v>465</v>
      </c>
      <c r="DY50" s="114">
        <f t="shared" si="25"/>
        <v>30</v>
      </c>
      <c r="DZ50" s="174">
        <v>24</v>
      </c>
      <c r="ER50" s="355" t="s">
        <v>1552</v>
      </c>
      <c r="ES50" s="358" t="s">
        <v>1559</v>
      </c>
      <c r="EW50" s="49" t="s">
        <v>821</v>
      </c>
      <c r="EX50" s="49" t="s">
        <v>739</v>
      </c>
      <c r="FB50" s="49" t="s">
        <v>643</v>
      </c>
      <c r="FC50" s="49" t="s">
        <v>881</v>
      </c>
      <c r="FD50" s="49" t="s">
        <v>16</v>
      </c>
      <c r="FE50" s="49" t="str">
        <f t="shared" si="0"/>
        <v>4vvVPT</v>
      </c>
      <c r="FF50" s="70">
        <f t="shared" si="49"/>
        <v>148.24</v>
      </c>
      <c r="FG50" s="70">
        <f t="shared" si="50"/>
        <v>1037.68</v>
      </c>
    </row>
    <row r="51" spans="2:169" ht="19.5" hidden="1" thickBot="1">
      <c r="D51" s="201">
        <f t="shared" ref="D51:D63" si="52">IF($E$19=E19,2,0)</f>
        <v>2</v>
      </c>
      <c r="E51" s="201">
        <f t="shared" si="51"/>
        <v>3</v>
      </c>
      <c r="G51" s="201">
        <f>IF(OR(G47&gt;0,G47&lt;0),1,100)</f>
        <v>100</v>
      </c>
      <c r="I51" s="199" t="e">
        <f ca="1">IF(I49-M6=0,I49+I50,I49)</f>
        <v>#N/A</v>
      </c>
      <c r="M51" s="39">
        <f>IF(M47&lt;0,3,4)</f>
        <v>4</v>
      </c>
      <c r="O51" s="2">
        <f ca="1">I35-M6-FS8-T26</f>
        <v>0</v>
      </c>
      <c r="T51" s="50" t="s">
        <v>1294</v>
      </c>
      <c r="U51" s="50" t="s">
        <v>615</v>
      </c>
      <c r="V51" s="70">
        <f ca="1">SUM($I$32:$I$33)-$I$38-$I$41</f>
        <v>0</v>
      </c>
      <c r="W51" s="70">
        <f>$M$6*25%</f>
        <v>0</v>
      </c>
      <c r="X51" s="70">
        <f ca="1">V51-W51</f>
        <v>0</v>
      </c>
      <c r="Y51" s="70">
        <f ca="1">Y50</f>
        <v>0</v>
      </c>
      <c r="AC51" s="64"/>
      <c r="AD51" s="71"/>
      <c r="AE51" s="64"/>
      <c r="AF51" s="64"/>
      <c r="AG51" s="64"/>
      <c r="AH51" s="72"/>
      <c r="AI51" s="64"/>
      <c r="AJ51" s="64"/>
      <c r="AK51" s="49" t="s">
        <v>1541</v>
      </c>
      <c r="AL51" s="49" t="s">
        <v>751</v>
      </c>
      <c r="AM51" s="65"/>
      <c r="AN51" s="65"/>
      <c r="AO51" s="84">
        <v>21</v>
      </c>
      <c r="AP51" s="84" t="s">
        <v>389</v>
      </c>
      <c r="AQ51" s="84"/>
      <c r="AR51" s="84"/>
      <c r="AS51" s="84"/>
      <c r="AT51" s="84"/>
      <c r="AU51" s="84"/>
      <c r="AV51" s="84"/>
      <c r="AW51" s="84"/>
      <c r="AX51" s="84"/>
      <c r="AY51" s="79" t="s">
        <v>553</v>
      </c>
      <c r="AZ51" s="49" t="s">
        <v>286</v>
      </c>
      <c r="BA51" s="120">
        <f t="shared" si="45"/>
        <v>82</v>
      </c>
      <c r="BB51" s="121"/>
      <c r="BE51" s="95" t="s">
        <v>337</v>
      </c>
      <c r="BF51" s="123">
        <v>782</v>
      </c>
      <c r="BG51" s="96" t="s">
        <v>341</v>
      </c>
      <c r="BH51" s="124">
        <f t="shared" si="46"/>
        <v>58608</v>
      </c>
      <c r="BI51" s="125">
        <f t="shared" si="47"/>
        <v>1123.9890410958906</v>
      </c>
      <c r="BJ51" s="107"/>
      <c r="BK51" s="107"/>
      <c r="BL51" s="126" t="s">
        <v>316</v>
      </c>
      <c r="BM51" s="89">
        <f>VLOOKUP(BL51,'Ruimte behandeling basis MPT'!$A$2:$H$46,8,FALSE)</f>
        <v>199.98999999999995</v>
      </c>
      <c r="BS51" s="49">
        <v>604</v>
      </c>
      <c r="BT51" s="49" t="s">
        <v>681</v>
      </c>
      <c r="CB51" s="128"/>
      <c r="CC51" s="128"/>
      <c r="CD51" s="128"/>
      <c r="CE51" s="128"/>
      <c r="CF51" s="128"/>
      <c r="CG51" s="128"/>
      <c r="CH51" s="128"/>
      <c r="CI51" s="128"/>
      <c r="CJ51" s="95" t="s">
        <v>337</v>
      </c>
      <c r="CK51" s="123" t="s">
        <v>467</v>
      </c>
      <c r="CL51" s="129" t="s">
        <v>341</v>
      </c>
      <c r="CM51" s="144" t="s">
        <v>322</v>
      </c>
      <c r="CN51" s="145">
        <v>755</v>
      </c>
      <c r="CO51" s="380">
        <v>0</v>
      </c>
      <c r="CP51" s="146">
        <f t="shared" si="19"/>
        <v>0</v>
      </c>
      <c r="CQ51" s="380">
        <v>0</v>
      </c>
      <c r="CR51" s="146">
        <f t="shared" si="20"/>
        <v>0</v>
      </c>
      <c r="CS51" s="380">
        <v>0</v>
      </c>
      <c r="CT51" s="146">
        <f t="shared" si="21"/>
        <v>0</v>
      </c>
      <c r="CU51" s="380">
        <v>0</v>
      </c>
      <c r="CV51" s="146">
        <f t="shared" si="22"/>
        <v>0</v>
      </c>
      <c r="CW51" s="380">
        <v>0</v>
      </c>
      <c r="CX51" s="380">
        <v>0</v>
      </c>
      <c r="CY51" s="380">
        <v>0</v>
      </c>
      <c r="DV51" s="95" t="s">
        <v>334</v>
      </c>
      <c r="DW51" s="96" t="s">
        <v>297</v>
      </c>
      <c r="DX51" s="49" t="s">
        <v>465</v>
      </c>
      <c r="DY51" s="114">
        <f t="shared" si="25"/>
        <v>28.75</v>
      </c>
      <c r="DZ51" s="174">
        <v>23</v>
      </c>
      <c r="ER51" s="355" t="s">
        <v>1546</v>
      </c>
      <c r="ES51" s="358" t="s">
        <v>1564</v>
      </c>
      <c r="EW51" s="49" t="s">
        <v>822</v>
      </c>
      <c r="EX51" s="49" t="s">
        <v>740</v>
      </c>
      <c r="FB51" s="49" t="s">
        <v>644</v>
      </c>
      <c r="FC51" s="49" t="s">
        <v>882</v>
      </c>
      <c r="FD51" s="49" t="s">
        <v>16</v>
      </c>
      <c r="FE51" s="49" t="str">
        <f t="shared" si="0"/>
        <v>5vvVPT</v>
      </c>
      <c r="FF51" s="70">
        <f t="shared" si="49"/>
        <v>283.83</v>
      </c>
      <c r="FG51" s="70">
        <f t="shared" si="50"/>
        <v>1986.81</v>
      </c>
    </row>
    <row r="52" spans="2:169" ht="19.5" hidden="1" thickBot="1">
      <c r="B52" s="201">
        <f t="shared" ref="B52:B64" si="53">IF($E$18=E19,1,0)</f>
        <v>1</v>
      </c>
      <c r="D52" s="201">
        <f t="shared" si="52"/>
        <v>2</v>
      </c>
      <c r="E52" s="201">
        <f t="shared" si="51"/>
        <v>3</v>
      </c>
      <c r="I52" s="199">
        <f>IF(M8&gt;0,M6-M8,0)</f>
        <v>0</v>
      </c>
      <c r="J52" s="199"/>
      <c r="K52" s="199"/>
      <c r="M52" s="39">
        <f ca="1">SUM(M49:M51)</f>
        <v>5</v>
      </c>
      <c r="T52" s="49">
        <v>10</v>
      </c>
      <c r="U52" s="49" t="s">
        <v>367</v>
      </c>
      <c r="V52" s="70">
        <f ca="1">$D$111-$I$38-$I$40-$I$39-I40</f>
        <v>0</v>
      </c>
      <c r="AC52" s="64"/>
      <c r="AD52" s="74"/>
      <c r="AE52" s="64"/>
      <c r="AF52" s="64"/>
      <c r="AG52" s="64"/>
      <c r="AH52" s="73"/>
      <c r="AI52" s="64"/>
      <c r="AJ52" s="64"/>
      <c r="AK52" s="49" t="s">
        <v>1553</v>
      </c>
      <c r="AL52" s="49" t="s">
        <v>750</v>
      </c>
      <c r="AM52" s="65"/>
      <c r="AN52" s="65"/>
      <c r="AO52" s="84">
        <v>22</v>
      </c>
      <c r="AP52" s="84" t="s">
        <v>389</v>
      </c>
      <c r="AQ52" s="84"/>
      <c r="AR52" s="84"/>
      <c r="AS52" s="84"/>
      <c r="AT52" s="84"/>
      <c r="AU52" s="84"/>
      <c r="AV52" s="84"/>
      <c r="AW52" s="84"/>
      <c r="AX52" s="84"/>
      <c r="AY52" s="79" t="s">
        <v>554</v>
      </c>
      <c r="AZ52" s="49" t="s">
        <v>265</v>
      </c>
      <c r="BA52" s="120">
        <f t="shared" si="45"/>
        <v>100.9</v>
      </c>
      <c r="BB52" s="121"/>
      <c r="BE52" s="95" t="s">
        <v>338</v>
      </c>
      <c r="BF52" s="123">
        <v>783</v>
      </c>
      <c r="BG52" s="96" t="s">
        <v>341</v>
      </c>
      <c r="BH52" s="124">
        <f t="shared" si="46"/>
        <v>76035</v>
      </c>
      <c r="BI52" s="125">
        <f t="shared" si="47"/>
        <v>1458.2054794520548</v>
      </c>
      <c r="BJ52" s="107"/>
      <c r="BK52" s="107"/>
      <c r="BL52" s="182"/>
      <c r="BM52" s="89"/>
      <c r="BS52" s="49">
        <v>605</v>
      </c>
      <c r="BT52" s="49" t="s">
        <v>682</v>
      </c>
      <c r="CB52" s="128"/>
      <c r="CC52" s="128"/>
      <c r="CD52" s="128"/>
      <c r="CE52" s="128"/>
      <c r="CF52" s="128"/>
      <c r="CG52" s="128"/>
      <c r="CH52" s="128"/>
      <c r="CI52" s="128"/>
      <c r="CJ52" s="95" t="s">
        <v>338</v>
      </c>
      <c r="CK52" s="123" t="s">
        <v>467</v>
      </c>
      <c r="CL52" s="129" t="s">
        <v>341</v>
      </c>
      <c r="CM52" s="144" t="s">
        <v>323</v>
      </c>
      <c r="CN52" s="145">
        <v>756</v>
      </c>
      <c r="CO52" s="380">
        <v>0</v>
      </c>
      <c r="CP52" s="146">
        <f t="shared" si="19"/>
        <v>0</v>
      </c>
      <c r="CQ52" s="380">
        <v>0</v>
      </c>
      <c r="CR52" s="146">
        <f t="shared" si="20"/>
        <v>0</v>
      </c>
      <c r="CS52" s="380">
        <v>0</v>
      </c>
      <c r="CT52" s="146">
        <f t="shared" si="21"/>
        <v>0</v>
      </c>
      <c r="CU52" s="380">
        <v>0</v>
      </c>
      <c r="CV52" s="146">
        <f t="shared" si="22"/>
        <v>0</v>
      </c>
      <c r="CW52" s="380">
        <v>0</v>
      </c>
      <c r="CX52" s="380">
        <v>0</v>
      </c>
      <c r="CY52" s="380">
        <v>0</v>
      </c>
      <c r="DV52" s="95" t="s">
        <v>301</v>
      </c>
      <c r="DW52" s="96" t="s">
        <v>297</v>
      </c>
      <c r="DX52" s="49" t="s">
        <v>432</v>
      </c>
      <c r="DY52" s="114">
        <f t="shared" si="25"/>
        <v>11.25</v>
      </c>
      <c r="DZ52" s="49">
        <v>9</v>
      </c>
      <c r="ER52" s="355" t="s">
        <v>1556</v>
      </c>
      <c r="ES52" s="358" t="s">
        <v>1560</v>
      </c>
      <c r="EW52" s="49" t="s">
        <v>823</v>
      </c>
      <c r="EX52" s="49" t="s">
        <v>741</v>
      </c>
      <c r="FB52" s="49" t="s">
        <v>645</v>
      </c>
      <c r="FC52" s="49" t="s">
        <v>883</v>
      </c>
      <c r="FD52" s="49" t="s">
        <v>16</v>
      </c>
      <c r="FE52" s="49" t="str">
        <f t="shared" si="0"/>
        <v>6vvVPT</v>
      </c>
      <c r="FF52" s="70">
        <f t="shared" si="49"/>
        <v>254.23</v>
      </c>
      <c r="FG52" s="70">
        <f t="shared" si="50"/>
        <v>1779.61</v>
      </c>
    </row>
    <row r="53" spans="2:169" ht="19.5" hidden="1" thickBot="1">
      <c r="B53" s="201">
        <f t="shared" si="53"/>
        <v>1</v>
      </c>
      <c r="D53" s="201">
        <f t="shared" si="52"/>
        <v>2</v>
      </c>
      <c r="E53" s="201">
        <f t="shared" si="51"/>
        <v>3</v>
      </c>
      <c r="G53" s="201">
        <f>IF(G48+G51=2,1,0)</f>
        <v>0</v>
      </c>
      <c r="I53" s="198">
        <f>IF(T20-I33&gt;0,I52,T1-FS8)</f>
        <v>0</v>
      </c>
      <c r="M53" s="39">
        <f ca="1">IF(M52=5,M44,M48)</f>
        <v>0</v>
      </c>
      <c r="T53" s="49">
        <v>3</v>
      </c>
      <c r="U53" s="49" t="s">
        <v>1743</v>
      </c>
      <c r="V53" s="70">
        <f ca="1">$D$111-$I$38-$I$40-$I$39-I41</f>
        <v>0</v>
      </c>
      <c r="AC53" s="64"/>
      <c r="AE53" s="64"/>
      <c r="AF53" s="64"/>
      <c r="AG53" s="72"/>
      <c r="AH53" s="73"/>
      <c r="AI53" s="64"/>
      <c r="AJ53" s="64"/>
      <c r="AK53" s="49" t="s">
        <v>1554</v>
      </c>
      <c r="AL53" s="49" t="s">
        <v>753</v>
      </c>
      <c r="AM53" s="65"/>
      <c r="AN53" s="65"/>
      <c r="AO53" s="84">
        <v>23</v>
      </c>
      <c r="AP53" s="84" t="s">
        <v>389</v>
      </c>
      <c r="AQ53" s="84"/>
      <c r="AR53" s="84"/>
      <c r="AS53" s="84"/>
      <c r="AT53" s="84"/>
      <c r="AU53" s="84"/>
      <c r="AV53" s="84"/>
      <c r="AW53" s="84"/>
      <c r="AX53" s="84"/>
      <c r="AY53" s="79" t="s">
        <v>555</v>
      </c>
      <c r="AZ53" s="49" t="s">
        <v>280</v>
      </c>
      <c r="BA53" s="120">
        <f t="shared" si="45"/>
        <v>150.16</v>
      </c>
      <c r="BB53" s="121"/>
      <c r="BE53" s="95" t="s">
        <v>339</v>
      </c>
      <c r="BF53" s="123">
        <v>784</v>
      </c>
      <c r="BG53" s="96" t="s">
        <v>341</v>
      </c>
      <c r="BH53" s="124">
        <f t="shared" si="46"/>
        <v>76035</v>
      </c>
      <c r="BI53" s="125">
        <f t="shared" si="47"/>
        <v>1458.2054794520548</v>
      </c>
      <c r="BJ53" s="107"/>
      <c r="BK53" s="107"/>
      <c r="BL53" s="182"/>
      <c r="BM53" s="89"/>
      <c r="BS53" s="49">
        <v>606</v>
      </c>
      <c r="BT53" s="49" t="s">
        <v>681</v>
      </c>
      <c r="CB53" s="128"/>
      <c r="CC53" s="128"/>
      <c r="CD53" s="128"/>
      <c r="CE53" s="128"/>
      <c r="CF53" s="128"/>
      <c r="CG53" s="128"/>
      <c r="CH53" s="128"/>
      <c r="CI53" s="128"/>
      <c r="CJ53" s="95" t="s">
        <v>339</v>
      </c>
      <c r="CK53" s="123" t="s">
        <v>467</v>
      </c>
      <c r="CL53" s="129" t="s">
        <v>341</v>
      </c>
      <c r="CM53" s="144" t="s">
        <v>324</v>
      </c>
      <c r="CN53" s="145">
        <v>757</v>
      </c>
      <c r="CO53" s="380">
        <v>0</v>
      </c>
      <c r="CP53" s="146">
        <f t="shared" si="19"/>
        <v>0</v>
      </c>
      <c r="CQ53" s="380">
        <v>0</v>
      </c>
      <c r="CR53" s="146">
        <f t="shared" si="20"/>
        <v>0</v>
      </c>
      <c r="CS53" s="380">
        <v>0</v>
      </c>
      <c r="CT53" s="146">
        <f t="shared" si="21"/>
        <v>0</v>
      </c>
      <c r="CU53" s="380">
        <v>0</v>
      </c>
      <c r="CV53" s="146">
        <f t="shared" si="22"/>
        <v>0</v>
      </c>
      <c r="CW53" s="380">
        <v>0</v>
      </c>
      <c r="CX53" s="380">
        <v>0</v>
      </c>
      <c r="CY53" s="380">
        <v>0</v>
      </c>
      <c r="DV53" s="95" t="s">
        <v>302</v>
      </c>
      <c r="DW53" s="96" t="s">
        <v>297</v>
      </c>
      <c r="DX53" s="49" t="s">
        <v>432</v>
      </c>
      <c r="DY53" s="114">
        <f t="shared" si="25"/>
        <v>18.125</v>
      </c>
      <c r="DZ53" s="49">
        <v>14.5</v>
      </c>
      <c r="ER53" s="355" t="s">
        <v>1541</v>
      </c>
      <c r="ES53" s="358" t="s">
        <v>1565</v>
      </c>
      <c r="EW53" s="49" t="s">
        <v>824</v>
      </c>
      <c r="EX53" s="49" t="s">
        <v>742</v>
      </c>
      <c r="FB53" s="49" t="s">
        <v>646</v>
      </c>
      <c r="FC53" s="49" t="s">
        <v>884</v>
      </c>
      <c r="FD53" s="49" t="s">
        <v>16</v>
      </c>
      <c r="FE53" s="49" t="str">
        <f t="shared" si="0"/>
        <v>7vvVPT</v>
      </c>
      <c r="FF53" s="70">
        <f t="shared" si="49"/>
        <v>348.08</v>
      </c>
      <c r="FG53" s="70">
        <f t="shared" si="50"/>
        <v>2436.56</v>
      </c>
    </row>
    <row r="54" spans="2:169" ht="19.5" hidden="1" thickBot="1">
      <c r="B54" s="201">
        <f t="shared" si="53"/>
        <v>1</v>
      </c>
      <c r="D54" s="201">
        <f t="shared" si="52"/>
        <v>2</v>
      </c>
      <c r="E54" s="201">
        <f t="shared" si="51"/>
        <v>3</v>
      </c>
      <c r="G54" s="201">
        <f ca="1">IF(M10-E45&gt;=0,1,0)</f>
        <v>1</v>
      </c>
      <c r="I54" s="198" t="e">
        <f ca="1">IF(M8&gt;0,I53,I51)</f>
        <v>#N/A</v>
      </c>
      <c r="M54" s="39">
        <f ca="1">IF(I38+D46&gt;E45,E45-I38,M53)</f>
        <v>0</v>
      </c>
      <c r="T54" s="49">
        <v>3</v>
      </c>
      <c r="U54" s="49" t="s">
        <v>607</v>
      </c>
      <c r="V54" s="70">
        <f ca="1">$D$111-$I$38-$I$40-$I$39-I41</f>
        <v>0</v>
      </c>
      <c r="AC54" s="64"/>
      <c r="AE54" s="64"/>
      <c r="AF54" s="64"/>
      <c r="AG54" s="73"/>
      <c r="AH54" s="73"/>
      <c r="AI54" s="64"/>
      <c r="AJ54" s="64"/>
      <c r="AK54" s="49" t="s">
        <v>1555</v>
      </c>
      <c r="AL54" s="49" t="s">
        <v>754</v>
      </c>
      <c r="AM54" s="65"/>
      <c r="AN54" s="65"/>
      <c r="AO54" s="84">
        <v>24</v>
      </c>
      <c r="AP54" s="84" t="s">
        <v>389</v>
      </c>
      <c r="AQ54" s="84"/>
      <c r="AR54" s="84"/>
      <c r="AS54" s="84"/>
      <c r="AT54" s="84"/>
      <c r="AU54" s="84"/>
      <c r="AV54" s="84"/>
      <c r="AW54" s="84"/>
      <c r="AX54" s="84"/>
      <c r="AY54" s="79" t="s">
        <v>472</v>
      </c>
      <c r="AZ54" s="49" t="s">
        <v>242</v>
      </c>
      <c r="BA54" s="120">
        <f t="shared" si="45"/>
        <v>173.67</v>
      </c>
      <c r="BB54" s="121"/>
      <c r="BE54" s="95" t="s">
        <v>340</v>
      </c>
      <c r="BF54" s="123">
        <v>790</v>
      </c>
      <c r="BG54" s="96" t="s">
        <v>341</v>
      </c>
      <c r="BH54" s="124">
        <f t="shared" si="46"/>
        <v>68381</v>
      </c>
      <c r="BI54" s="125">
        <f t="shared" si="47"/>
        <v>1311.4164383561645</v>
      </c>
      <c r="BJ54" s="107"/>
      <c r="BK54" s="107"/>
      <c r="BL54" s="182"/>
      <c r="BM54" s="89"/>
      <c r="BS54" s="49">
        <v>607</v>
      </c>
      <c r="BT54" s="49" t="s">
        <v>681</v>
      </c>
      <c r="CB54" s="128"/>
      <c r="CC54" s="128"/>
      <c r="CD54" s="128"/>
      <c r="CE54" s="128"/>
      <c r="CF54" s="128"/>
      <c r="CG54" s="128"/>
      <c r="CH54" s="128"/>
      <c r="CI54" s="128"/>
      <c r="CJ54" s="95" t="s">
        <v>340</v>
      </c>
      <c r="CK54" s="123" t="s">
        <v>467</v>
      </c>
      <c r="CL54" s="129" t="s">
        <v>341</v>
      </c>
      <c r="CM54" s="144" t="s">
        <v>349</v>
      </c>
      <c r="CN54" s="145">
        <v>191</v>
      </c>
      <c r="CO54" s="380">
        <v>0</v>
      </c>
      <c r="CP54" s="146">
        <f t="shared" si="19"/>
        <v>0</v>
      </c>
      <c r="CQ54" s="380">
        <v>0</v>
      </c>
      <c r="CR54" s="146">
        <f t="shared" si="20"/>
        <v>0</v>
      </c>
      <c r="CS54" s="380">
        <v>0</v>
      </c>
      <c r="CT54" s="146">
        <f t="shared" si="21"/>
        <v>0</v>
      </c>
      <c r="CU54" s="380">
        <v>0</v>
      </c>
      <c r="CV54" s="146">
        <f t="shared" si="22"/>
        <v>0</v>
      </c>
      <c r="CW54" s="380">
        <v>0</v>
      </c>
      <c r="CX54" s="380">
        <v>0</v>
      </c>
      <c r="CY54" s="380">
        <v>0</v>
      </c>
      <c r="DV54" s="95" t="s">
        <v>303</v>
      </c>
      <c r="DW54" s="96" t="s">
        <v>297</v>
      </c>
      <c r="DX54" s="49" t="s">
        <v>432</v>
      </c>
      <c r="DY54" s="114">
        <f t="shared" si="25"/>
        <v>18.125</v>
      </c>
      <c r="DZ54" s="49">
        <v>14.5</v>
      </c>
      <c r="ER54" s="355" t="s">
        <v>1551</v>
      </c>
      <c r="ES54" s="358" t="s">
        <v>1561</v>
      </c>
      <c r="EW54" s="49" t="s">
        <v>826</v>
      </c>
      <c r="EX54" s="49" t="s">
        <v>908</v>
      </c>
      <c r="FB54" s="49" t="s">
        <v>647</v>
      </c>
      <c r="FC54" s="49" t="s">
        <v>885</v>
      </c>
      <c r="FD54" s="49" t="s">
        <v>16</v>
      </c>
      <c r="FE54" s="49" t="str">
        <f t="shared" si="0"/>
        <v>8vvVPT</v>
      </c>
      <c r="FF54" s="70">
        <f t="shared" si="49"/>
        <v>448.18</v>
      </c>
      <c r="FG54" s="70">
        <f t="shared" si="50"/>
        <v>3137.26</v>
      </c>
    </row>
    <row r="55" spans="2:169" ht="19.5" hidden="1" thickBot="1">
      <c r="B55" s="201">
        <f t="shared" si="53"/>
        <v>1</v>
      </c>
      <c r="D55" s="201">
        <f t="shared" si="52"/>
        <v>2</v>
      </c>
      <c r="E55" s="201">
        <f t="shared" si="51"/>
        <v>3</v>
      </c>
      <c r="G55" s="201">
        <f ca="1">SUM(G53:G54)</f>
        <v>1</v>
      </c>
      <c r="I55" s="198" t="e">
        <f ca="1">IF(L62=2,I50,I54)</f>
        <v>#N/A</v>
      </c>
      <c r="M55" s="39">
        <f ca="1">IF(D46+I38&gt;E45,6,0)</f>
        <v>0</v>
      </c>
      <c r="T55" s="49">
        <v>3</v>
      </c>
      <c r="U55" s="50" t="s">
        <v>608</v>
      </c>
      <c r="V55" s="70">
        <f ca="1">$D$111-$I$38-$I$40-$I$39-I41</f>
        <v>0</v>
      </c>
      <c r="AB55" s="70">
        <f ca="1">E45-I38-I40</f>
        <v>0</v>
      </c>
      <c r="AC55" s="64"/>
      <c r="AE55" s="64"/>
      <c r="AF55" s="64"/>
      <c r="AG55" s="73"/>
      <c r="AH55" s="73"/>
      <c r="AI55" s="64"/>
      <c r="AJ55" s="64"/>
      <c r="AK55" s="49" t="s">
        <v>1539</v>
      </c>
      <c r="AL55" s="49" t="s">
        <v>755</v>
      </c>
      <c r="AM55" s="65"/>
      <c r="AN55" s="65"/>
      <c r="AO55" s="84">
        <v>25</v>
      </c>
      <c r="AP55" s="84" t="s">
        <v>389</v>
      </c>
      <c r="AQ55" s="84"/>
      <c r="AR55" s="84"/>
      <c r="AS55" s="84"/>
      <c r="AT55" s="84"/>
      <c r="AU55" s="84"/>
      <c r="AV55" s="84"/>
      <c r="AW55" s="84"/>
      <c r="AX55" s="84"/>
      <c r="AY55" s="79" t="s">
        <v>491</v>
      </c>
      <c r="AZ55" s="49" t="s">
        <v>288</v>
      </c>
      <c r="BA55" s="120">
        <f t="shared" si="45"/>
        <v>150.16</v>
      </c>
      <c r="BB55" s="121"/>
      <c r="BI55" s="147"/>
      <c r="BJ55" s="107"/>
      <c r="BK55" s="107"/>
      <c r="BL55" s="182"/>
      <c r="BM55" s="89"/>
      <c r="BS55" s="49">
        <v>608</v>
      </c>
      <c r="BT55" s="49" t="s">
        <v>681</v>
      </c>
      <c r="CB55" s="128"/>
      <c r="CC55" s="128"/>
      <c r="CD55" s="128"/>
      <c r="CE55" s="128"/>
      <c r="CF55" s="128"/>
      <c r="CG55" s="128"/>
      <c r="CH55" s="128"/>
      <c r="CI55" s="128"/>
      <c r="CK55" s="183"/>
      <c r="CM55" s="144" t="s">
        <v>326</v>
      </c>
      <c r="CN55" s="145">
        <v>759</v>
      </c>
      <c r="CO55" s="380">
        <v>0</v>
      </c>
      <c r="CP55" s="146">
        <f t="shared" si="19"/>
        <v>0</v>
      </c>
      <c r="CQ55" s="380">
        <v>0</v>
      </c>
      <c r="CR55" s="146">
        <f t="shared" si="20"/>
        <v>0</v>
      </c>
      <c r="CS55" s="380">
        <v>0</v>
      </c>
      <c r="CT55" s="146">
        <f t="shared" si="21"/>
        <v>0</v>
      </c>
      <c r="CU55" s="380">
        <v>0</v>
      </c>
      <c r="CV55" s="146">
        <f t="shared" si="22"/>
        <v>0</v>
      </c>
      <c r="CW55" s="380">
        <v>0</v>
      </c>
      <c r="CX55" s="380">
        <v>0</v>
      </c>
      <c r="CY55" s="380">
        <v>0</v>
      </c>
      <c r="DV55" s="95" t="s">
        <v>304</v>
      </c>
      <c r="DW55" s="96" t="s">
        <v>297</v>
      </c>
      <c r="DX55" s="49" t="s">
        <v>432</v>
      </c>
      <c r="DY55" s="114">
        <f t="shared" si="25"/>
        <v>21.875</v>
      </c>
      <c r="DZ55" s="49">
        <v>17.5</v>
      </c>
      <c r="ER55" s="355" t="s">
        <v>1547</v>
      </c>
      <c r="ES55" s="358" t="s">
        <v>1558</v>
      </c>
      <c r="EW55" s="49" t="s">
        <v>825</v>
      </c>
      <c r="EX55" s="49" t="s">
        <v>743</v>
      </c>
      <c r="FB55" s="49" t="s">
        <v>430</v>
      </c>
      <c r="FC55" s="49" t="s">
        <v>886</v>
      </c>
      <c r="FD55" s="49" t="s">
        <v>16</v>
      </c>
      <c r="FE55" s="49" t="str">
        <f t="shared" si="0"/>
        <v>9vvbVPT</v>
      </c>
      <c r="FF55" s="70">
        <f t="shared" si="49"/>
        <v>300.43</v>
      </c>
      <c r="FG55" s="70">
        <f t="shared" si="50"/>
        <v>2103.0100000000002</v>
      </c>
    </row>
    <row r="56" spans="2:169" ht="19.5" hidden="1" thickBot="1">
      <c r="B56" s="201">
        <f t="shared" si="53"/>
        <v>1</v>
      </c>
      <c r="D56" s="201">
        <f t="shared" si="52"/>
        <v>2</v>
      </c>
      <c r="E56" s="201">
        <f t="shared" si="51"/>
        <v>3</v>
      </c>
      <c r="F56" s="201" t="e">
        <f>als</f>
        <v>#NAME?</v>
      </c>
      <c r="I56" s="198" t="e">
        <f ca="1">IF(E45-O57&gt;0,O57,I55)</f>
        <v>#N/A</v>
      </c>
      <c r="T56" s="49">
        <v>1</v>
      </c>
      <c r="U56" s="178" t="s">
        <v>609</v>
      </c>
      <c r="V56" s="179">
        <f ca="1">IF(W60=3,V59,IF(W60=4,U59,0))</f>
        <v>0</v>
      </c>
      <c r="Y56" s="49" t="s">
        <v>496</v>
      </c>
      <c r="Z56" s="49">
        <f>BQ12</f>
        <v>0</v>
      </c>
      <c r="AA56" s="49">
        <f>IFERROR(VLOOKUP(Q23,Y56:Z57,2),0)</f>
        <v>0</v>
      </c>
      <c r="AC56" s="64"/>
      <c r="AE56" s="64"/>
      <c r="AF56" s="72"/>
      <c r="AG56" s="73"/>
      <c r="AH56" s="76"/>
      <c r="AI56" s="64"/>
      <c r="AJ56" s="64"/>
      <c r="AK56" s="49" t="s">
        <v>1556</v>
      </c>
      <c r="AL56" s="49" t="s">
        <v>756</v>
      </c>
      <c r="AM56" s="65"/>
      <c r="AN56" s="65"/>
      <c r="AO56" s="84"/>
      <c r="AP56" s="84"/>
      <c r="AQ56" s="84"/>
      <c r="AR56" s="84"/>
      <c r="AS56" s="84"/>
      <c r="AT56" s="84"/>
      <c r="AU56" s="84"/>
      <c r="AV56" s="84"/>
      <c r="AW56" s="84"/>
      <c r="AX56" s="84"/>
      <c r="AY56" s="79" t="s">
        <v>556</v>
      </c>
      <c r="AZ56" s="49" t="s">
        <v>245</v>
      </c>
      <c r="BA56" s="120">
        <f t="shared" si="45"/>
        <v>126.79</v>
      </c>
      <c r="BB56" s="121"/>
      <c r="BI56" s="147"/>
      <c r="BJ56" s="107"/>
      <c r="BK56" s="107"/>
      <c r="BL56" s="182"/>
      <c r="BM56" s="89"/>
      <c r="BS56" s="49">
        <v>609</v>
      </c>
      <c r="BT56" s="49" t="s">
        <v>681</v>
      </c>
      <c r="CB56" s="84"/>
      <c r="CC56" s="84"/>
      <c r="CD56" s="84"/>
      <c r="CE56" s="84"/>
      <c r="CF56" s="84"/>
      <c r="CG56" s="84"/>
      <c r="CH56" s="84"/>
      <c r="CI56" s="84"/>
      <c r="DV56" s="95" t="s">
        <v>305</v>
      </c>
      <c r="DW56" s="96" t="s">
        <v>297</v>
      </c>
      <c r="DX56" s="49" t="s">
        <v>465</v>
      </c>
      <c r="DY56" s="114">
        <f t="shared" si="25"/>
        <v>28.75</v>
      </c>
      <c r="DZ56" s="174">
        <v>23</v>
      </c>
      <c r="ER56" s="355" t="s">
        <v>1537</v>
      </c>
      <c r="ES56" s="358" t="s">
        <v>1562</v>
      </c>
      <c r="EW56" s="49" t="s">
        <v>827</v>
      </c>
      <c r="EX56" s="49" t="s">
        <v>909</v>
      </c>
      <c r="FB56" s="49" t="s">
        <v>649</v>
      </c>
      <c r="FC56" s="49" t="s">
        <v>887</v>
      </c>
      <c r="FD56" s="49" t="s">
        <v>16</v>
      </c>
      <c r="FE56" s="49" t="str">
        <f t="shared" si="0"/>
        <v>10vvVPT</v>
      </c>
      <c r="FF56" s="70">
        <f t="shared" si="49"/>
        <v>512.1</v>
      </c>
      <c r="FG56" s="70">
        <f t="shared" si="50"/>
        <v>3584.7000000000003</v>
      </c>
    </row>
    <row r="57" spans="2:169" ht="19.5" hidden="1" thickBot="1">
      <c r="B57" s="201">
        <f t="shared" si="53"/>
        <v>1</v>
      </c>
      <c r="D57" s="201">
        <f t="shared" si="52"/>
        <v>2</v>
      </c>
      <c r="E57" s="201">
        <f t="shared" si="51"/>
        <v>3</v>
      </c>
      <c r="G57" s="201">
        <f>IF(T20-I33&gt;=0,1,0)</f>
        <v>1</v>
      </c>
      <c r="O57" s="2">
        <f>IF(I33=0,M17,M17-M15)</f>
        <v>0</v>
      </c>
      <c r="Q57" s="2">
        <f ca="1">E45-I38</f>
        <v>0</v>
      </c>
      <c r="T57" s="49">
        <v>2</v>
      </c>
      <c r="U57" s="180" t="s">
        <v>616</v>
      </c>
      <c r="V57" s="181">
        <f ca="1">IF(AB55&gt;AA56,AA56,AB55)</f>
        <v>0</v>
      </c>
      <c r="Y57" s="49" t="s">
        <v>497</v>
      </c>
      <c r="Z57" s="49">
        <f>BQ13</f>
        <v>0</v>
      </c>
      <c r="AC57" s="64"/>
      <c r="AE57" s="64"/>
      <c r="AF57" s="73"/>
      <c r="AG57" s="73"/>
      <c r="AI57" s="65"/>
      <c r="AJ57" s="64"/>
      <c r="AK57" s="49" t="s">
        <v>1537</v>
      </c>
      <c r="AL57" s="49" t="s">
        <v>757</v>
      </c>
      <c r="AM57" s="65"/>
      <c r="AN57" s="65"/>
      <c r="AO57" s="84"/>
      <c r="AP57" s="84"/>
      <c r="AQ57" s="84"/>
      <c r="AR57" s="84"/>
      <c r="AS57" s="84"/>
      <c r="AT57" s="84"/>
      <c r="AU57" s="84"/>
      <c r="AV57" s="84"/>
      <c r="AW57" s="84"/>
      <c r="AX57" s="84"/>
      <c r="AY57" s="79" t="s">
        <v>468</v>
      </c>
      <c r="AZ57" s="49" t="s">
        <v>239</v>
      </c>
      <c r="BA57" s="120">
        <f t="shared" si="45"/>
        <v>123.79</v>
      </c>
      <c r="BB57" s="121"/>
      <c r="BI57" s="147"/>
      <c r="BJ57" s="107"/>
      <c r="BK57" s="107"/>
      <c r="BL57" s="182"/>
      <c r="BM57" s="89"/>
      <c r="BS57" s="49">
        <v>610</v>
      </c>
      <c r="BT57" s="49" t="s">
        <v>681</v>
      </c>
      <c r="CB57" s="84"/>
      <c r="CC57" s="84"/>
      <c r="CD57" s="84"/>
      <c r="CE57" s="84"/>
      <c r="CF57" s="84"/>
      <c r="CG57" s="84"/>
      <c r="CH57" s="84"/>
      <c r="CI57" s="84"/>
      <c r="CJ57" s="49" t="e">
        <f>VLOOKUP(G10,CJ7:CL54,2,FALSE)</f>
        <v>#N/A</v>
      </c>
      <c r="DV57" s="95" t="s">
        <v>306</v>
      </c>
      <c r="DW57" s="96" t="s">
        <v>297</v>
      </c>
      <c r="DX57" s="49" t="s">
        <v>465</v>
      </c>
      <c r="DY57" s="114">
        <f t="shared" si="25"/>
        <v>28.75</v>
      </c>
      <c r="DZ57" s="174">
        <v>23</v>
      </c>
      <c r="ER57" s="355" t="s">
        <v>1553</v>
      </c>
      <c r="ES57" s="358" t="s">
        <v>1557</v>
      </c>
      <c r="EW57" s="49" t="s">
        <v>828</v>
      </c>
      <c r="EX57" s="49" t="s">
        <v>744</v>
      </c>
      <c r="FB57" s="49" t="s">
        <v>632</v>
      </c>
      <c r="FC57" s="49" t="s">
        <v>888</v>
      </c>
      <c r="FD57" s="49" t="s">
        <v>16</v>
      </c>
      <c r="FE57" s="49" t="str">
        <f t="shared" si="0"/>
        <v>1vgVPT</v>
      </c>
      <c r="FF57" s="70">
        <f t="shared" si="49"/>
        <v>111.5</v>
      </c>
      <c r="FG57" s="70">
        <f t="shared" si="50"/>
        <v>780.5</v>
      </c>
    </row>
    <row r="58" spans="2:169" ht="19.5" hidden="1" thickBot="1">
      <c r="B58" s="201">
        <f t="shared" si="53"/>
        <v>1</v>
      </c>
      <c r="D58" s="201">
        <f t="shared" si="52"/>
        <v>2</v>
      </c>
      <c r="E58" s="201">
        <f t="shared" si="51"/>
        <v>3</v>
      </c>
      <c r="G58" s="201">
        <f ca="1">IF(M6-I35&lt;0,3,4)</f>
        <v>4</v>
      </c>
      <c r="V58" s="184">
        <f ca="1">M10-I32</f>
        <v>0</v>
      </c>
      <c r="W58" s="56">
        <f ca="1">IF(V58&lt;1,1,2)</f>
        <v>1</v>
      </c>
      <c r="AC58" s="77"/>
      <c r="AE58" s="64"/>
      <c r="AF58" s="73"/>
      <c r="AG58" s="76"/>
      <c r="AI58" s="65"/>
      <c r="AJ58" s="77"/>
      <c r="AK58" s="49" t="s">
        <v>1538</v>
      </c>
      <c r="AL58" s="65"/>
      <c r="AM58" s="65"/>
      <c r="AN58" s="65"/>
      <c r="AO58" s="84"/>
      <c r="AP58" s="84"/>
      <c r="AQ58" s="84"/>
      <c r="AR58" s="84"/>
      <c r="AS58" s="84"/>
      <c r="AT58" s="84"/>
      <c r="AU58" s="84"/>
      <c r="AV58" s="84"/>
      <c r="AW58" s="84"/>
      <c r="AX58" s="84"/>
      <c r="AY58" s="79" t="s">
        <v>469</v>
      </c>
      <c r="AZ58" s="49" t="s">
        <v>238</v>
      </c>
      <c r="BA58" s="120">
        <f t="shared" si="45"/>
        <v>173.67</v>
      </c>
      <c r="BB58" s="121"/>
      <c r="BI58" s="147"/>
      <c r="BJ58" s="107"/>
      <c r="BK58" s="107"/>
      <c r="BL58" s="182"/>
      <c r="BM58" s="89"/>
      <c r="BS58" s="49">
        <v>611</v>
      </c>
      <c r="BT58" s="49" t="s">
        <v>681</v>
      </c>
      <c r="CB58" s="84"/>
      <c r="CC58" s="84"/>
      <c r="CD58" s="84"/>
      <c r="CE58" s="84"/>
      <c r="CF58" s="84"/>
      <c r="CG58" s="84"/>
      <c r="CH58" s="84"/>
      <c r="CI58" s="84"/>
      <c r="CP58" s="49" t="s">
        <v>458</v>
      </c>
      <c r="DV58" s="95" t="s">
        <v>307</v>
      </c>
      <c r="DW58" s="96" t="s">
        <v>297</v>
      </c>
      <c r="DX58" s="49" t="s">
        <v>465</v>
      </c>
      <c r="DY58" s="114">
        <f t="shared" si="25"/>
        <v>32.5</v>
      </c>
      <c r="DZ58" s="174">
        <v>26</v>
      </c>
      <c r="ER58" s="355" t="s">
        <v>1550</v>
      </c>
      <c r="ES58" s="358"/>
      <c r="EW58" s="49" t="s">
        <v>833</v>
      </c>
      <c r="EX58" s="49" t="s">
        <v>910</v>
      </c>
      <c r="FB58" s="49" t="s">
        <v>633</v>
      </c>
      <c r="FC58" s="49" t="s">
        <v>889</v>
      </c>
      <c r="FD58" s="49" t="s">
        <v>16</v>
      </c>
      <c r="FE58" s="49" t="str">
        <f t="shared" si="0"/>
        <v>2vgVPT</v>
      </c>
      <c r="FF58" s="70">
        <f t="shared" si="49"/>
        <v>124.85</v>
      </c>
      <c r="FG58" s="70">
        <f t="shared" si="50"/>
        <v>873.94999999999993</v>
      </c>
    </row>
    <row r="59" spans="2:169" ht="19.5" hidden="1" thickBot="1">
      <c r="B59" s="201">
        <f t="shared" si="53"/>
        <v>1</v>
      </c>
      <c r="D59" s="201">
        <f t="shared" si="52"/>
        <v>2</v>
      </c>
      <c r="E59" s="201">
        <f t="shared" si="51"/>
        <v>3</v>
      </c>
      <c r="G59" s="201">
        <f ca="1">G58+G57</f>
        <v>5</v>
      </c>
      <c r="T59" s="49">
        <f ca="1">IF(U59&lt;V59,U59,V59)</f>
        <v>0</v>
      </c>
      <c r="U59" s="70">
        <f ca="1">IF(U60&gt;0,U60,U61)</f>
        <v>0</v>
      </c>
      <c r="V59" s="184">
        <f>I33</f>
        <v>0</v>
      </c>
      <c r="W59" s="56">
        <f>IF(V59&lt;1,1,2)</f>
        <v>1</v>
      </c>
      <c r="AE59" s="64"/>
      <c r="AF59" s="73"/>
      <c r="AI59" s="65"/>
      <c r="AK59" s="49" t="s">
        <v>1540</v>
      </c>
      <c r="AL59" s="65"/>
      <c r="AM59" s="65"/>
      <c r="AN59" s="78"/>
      <c r="AY59" s="79" t="s">
        <v>470</v>
      </c>
      <c r="AZ59" s="49" t="s">
        <v>243</v>
      </c>
      <c r="BA59" s="120">
        <f t="shared" si="45"/>
        <v>206.57</v>
      </c>
      <c r="BB59" s="121"/>
      <c r="BI59" s="147"/>
      <c r="BJ59" s="107"/>
      <c r="BK59" s="107"/>
      <c r="BL59" s="182"/>
      <c r="BM59" s="89"/>
      <c r="BS59" s="49">
        <v>612</v>
      </c>
      <c r="BT59" s="49" t="s">
        <v>681</v>
      </c>
      <c r="CM59" s="49" t="s">
        <v>342</v>
      </c>
      <c r="CN59" s="70" t="e">
        <f>VLOOKUP($G$10,$CM$8:$CX$55,4,FALSE)</f>
        <v>#N/A</v>
      </c>
      <c r="CP59" s="379">
        <v>0</v>
      </c>
      <c r="CQ59" s="70">
        <f>IFERROR(VLOOKUP(H12,$CM$59:$CN$62,2,FALSE),0)</f>
        <v>0</v>
      </c>
      <c r="CR59" s="70">
        <f>IFERROR(VLOOKUP(I14,$CM$59:$CN$62,2,FALSE),0)</f>
        <v>0</v>
      </c>
      <c r="CS59" s="70">
        <f>IFERROR(VLOOKUP(J14,$CM$59:$CN$62,2,FALSE),0)</f>
        <v>0</v>
      </c>
      <c r="CT59" s="70"/>
      <c r="DV59" s="95" t="s">
        <v>312</v>
      </c>
      <c r="DW59" s="96" t="s">
        <v>297</v>
      </c>
      <c r="DX59" s="49" t="s">
        <v>432</v>
      </c>
      <c r="DY59" s="114">
        <f t="shared" si="25"/>
        <v>8.125</v>
      </c>
      <c r="DZ59" s="49">
        <v>6.5</v>
      </c>
      <c r="ER59" s="355" t="s">
        <v>1548</v>
      </c>
      <c r="EW59" s="49" t="s">
        <v>838</v>
      </c>
      <c r="EX59" s="49" t="s">
        <v>915</v>
      </c>
      <c r="FB59" s="49" t="s">
        <v>634</v>
      </c>
      <c r="FC59" s="49" t="s">
        <v>902</v>
      </c>
      <c r="FD59" s="49" t="s">
        <v>16</v>
      </c>
      <c r="FE59" s="49" t="str">
        <f t="shared" si="0"/>
        <v>3vgVPT</v>
      </c>
      <c r="FF59" s="70">
        <f t="shared" si="49"/>
        <v>179.98</v>
      </c>
      <c r="FG59" s="70">
        <f t="shared" si="50"/>
        <v>1259.8599999999999</v>
      </c>
    </row>
    <row r="60" spans="2:169" ht="19.5" hidden="1" thickBot="1">
      <c r="B60" s="201">
        <f t="shared" si="53"/>
        <v>1</v>
      </c>
      <c r="D60" s="201">
        <f t="shared" si="52"/>
        <v>2</v>
      </c>
      <c r="E60" s="201">
        <f t="shared" si="51"/>
        <v>3</v>
      </c>
      <c r="G60" s="201">
        <f ca="1">IF(G59=4,I45,I44)</f>
        <v>0</v>
      </c>
      <c r="J60" s="198" t="s">
        <v>710</v>
      </c>
      <c r="L60" s="39">
        <f ca="1">IF(I32=0,1,0)</f>
        <v>1</v>
      </c>
      <c r="U60" s="70">
        <f ca="1">$M$17-($I$32+$I$33)</f>
        <v>0</v>
      </c>
      <c r="V60" s="56"/>
      <c r="W60" s="56">
        <f ca="1">SUM(W58:W59)</f>
        <v>2</v>
      </c>
      <c r="AE60" s="64"/>
      <c r="AF60" s="73"/>
      <c r="AI60" s="65"/>
      <c r="AK60" s="49" t="s">
        <v>790</v>
      </c>
      <c r="AL60" s="65"/>
      <c r="AM60" s="65"/>
      <c r="AY60" s="79" t="s">
        <v>557</v>
      </c>
      <c r="AZ60" s="49" t="s">
        <v>282</v>
      </c>
      <c r="BA60" s="120">
        <f t="shared" si="45"/>
        <v>62.52</v>
      </c>
      <c r="BB60" s="121"/>
      <c r="BI60" s="147"/>
      <c r="BJ60" s="107"/>
      <c r="BK60" s="107"/>
      <c r="BL60" s="182"/>
      <c r="BM60" s="89"/>
      <c r="BS60" s="49">
        <v>613</v>
      </c>
      <c r="BT60" s="49" t="s">
        <v>681</v>
      </c>
      <c r="CJ60" s="49" t="s">
        <v>466</v>
      </c>
      <c r="CK60" s="49" t="s">
        <v>467</v>
      </c>
      <c r="CM60" s="49" t="s">
        <v>343</v>
      </c>
      <c r="CN60" s="70" t="e">
        <f>VLOOKUP($G$10,$CM$8:$CX$55,6,FALSE)</f>
        <v>#N/A</v>
      </c>
      <c r="CP60" s="70">
        <f t="shared" ref="CP60:CS62" si="54">IFERROR(VLOOKUP(G16,$CM$59:$CN$62,2,FALSE),0)</f>
        <v>0</v>
      </c>
      <c r="CQ60" s="70">
        <f t="shared" si="54"/>
        <v>0</v>
      </c>
      <c r="CR60" s="70">
        <f t="shared" si="54"/>
        <v>0</v>
      </c>
      <c r="CS60" s="70">
        <f t="shared" si="54"/>
        <v>0</v>
      </c>
      <c r="CT60" s="70"/>
      <c r="DV60" s="95" t="s">
        <v>313</v>
      </c>
      <c r="DW60" s="96" t="s">
        <v>297</v>
      </c>
      <c r="DX60" s="49" t="s">
        <v>432</v>
      </c>
      <c r="DY60" s="114">
        <f t="shared" si="25"/>
        <v>14.375</v>
      </c>
      <c r="DZ60" s="49">
        <v>11.5</v>
      </c>
      <c r="ER60" s="355" t="s">
        <v>1538</v>
      </c>
      <c r="EW60" s="49" t="s">
        <v>843</v>
      </c>
      <c r="EX60" s="49" t="s">
        <v>920</v>
      </c>
      <c r="FB60" s="49" t="s">
        <v>635</v>
      </c>
      <c r="FC60" s="49" t="s">
        <v>903</v>
      </c>
      <c r="FD60" s="49" t="s">
        <v>16</v>
      </c>
      <c r="FE60" s="49" t="str">
        <f t="shared" si="0"/>
        <v>4vgVPT</v>
      </c>
      <c r="FF60" s="70">
        <f t="shared" si="49"/>
        <v>209.08</v>
      </c>
      <c r="FG60" s="70">
        <f t="shared" si="50"/>
        <v>1463.5600000000002</v>
      </c>
    </row>
    <row r="61" spans="2:169" ht="19.5" hidden="1" thickBot="1">
      <c r="B61" s="201">
        <f t="shared" si="53"/>
        <v>1</v>
      </c>
      <c r="D61" s="201">
        <f t="shared" si="52"/>
        <v>2</v>
      </c>
      <c r="E61" s="201">
        <f t="shared" si="51"/>
        <v>3</v>
      </c>
      <c r="J61" s="198" t="s">
        <v>711</v>
      </c>
      <c r="L61" s="39">
        <f>IF($T$20-$I$33&gt;0,1,0)</f>
        <v>0</v>
      </c>
      <c r="U61" s="70">
        <f ca="1">($I$32+$I$33)-M17</f>
        <v>0</v>
      </c>
      <c r="AE61" s="64"/>
      <c r="AF61" s="76"/>
      <c r="AI61" s="78"/>
      <c r="AK61" s="49" t="s">
        <v>791</v>
      </c>
      <c r="AL61" s="65"/>
      <c r="AM61" s="65"/>
      <c r="AY61" s="79" t="s">
        <v>558</v>
      </c>
      <c r="AZ61" s="49" t="s">
        <v>260</v>
      </c>
      <c r="BA61" s="120">
        <f t="shared" si="45"/>
        <v>73.19</v>
      </c>
      <c r="BB61" s="121"/>
      <c r="BI61" s="147"/>
      <c r="BJ61" s="107"/>
      <c r="BK61" s="107"/>
      <c r="BL61" s="182"/>
      <c r="BM61" s="89"/>
      <c r="BS61" s="49">
        <v>614</v>
      </c>
      <c r="BT61" s="49" t="s">
        <v>681</v>
      </c>
      <c r="CJ61" s="49" t="s">
        <v>465</v>
      </c>
      <c r="CK61" s="49" t="s">
        <v>390</v>
      </c>
      <c r="CM61" s="49" t="s">
        <v>378</v>
      </c>
      <c r="CN61" s="70" t="e">
        <f>VLOOKUP($G$10,$CM$8:$CX$55,8,FALSE)</f>
        <v>#N/A</v>
      </c>
      <c r="CP61" s="70">
        <f t="shared" si="54"/>
        <v>0</v>
      </c>
      <c r="CQ61" s="70">
        <f t="shared" si="54"/>
        <v>0</v>
      </c>
      <c r="CR61" s="70">
        <f t="shared" si="54"/>
        <v>0</v>
      </c>
      <c r="CS61" s="70">
        <f t="shared" si="54"/>
        <v>0</v>
      </c>
      <c r="CT61" s="70"/>
      <c r="DV61" s="95" t="s">
        <v>314</v>
      </c>
      <c r="DW61" s="96" t="s">
        <v>297</v>
      </c>
      <c r="DX61" s="49" t="s">
        <v>432</v>
      </c>
      <c r="DY61" s="114">
        <f t="shared" si="25"/>
        <v>20</v>
      </c>
      <c r="DZ61" s="49">
        <v>16</v>
      </c>
      <c r="ER61" s="355" t="s">
        <v>1554</v>
      </c>
      <c r="EW61" s="49" t="s">
        <v>829</v>
      </c>
      <c r="EX61" s="49" t="s">
        <v>745</v>
      </c>
      <c r="FB61" s="49" t="s">
        <v>636</v>
      </c>
      <c r="FC61" s="49" t="s">
        <v>904</v>
      </c>
      <c r="FD61" s="49" t="s">
        <v>16</v>
      </c>
      <c r="FE61" s="49" t="str">
        <f t="shared" si="0"/>
        <v>5vgVPT</v>
      </c>
      <c r="FF61" s="70">
        <f t="shared" si="49"/>
        <v>287.67</v>
      </c>
      <c r="FG61" s="70">
        <f t="shared" si="50"/>
        <v>2013.69</v>
      </c>
    </row>
    <row r="62" spans="2:169" ht="19.5" hidden="1" thickBot="1">
      <c r="B62" s="201">
        <f t="shared" si="53"/>
        <v>1</v>
      </c>
      <c r="D62" s="201">
        <f t="shared" si="52"/>
        <v>2</v>
      </c>
      <c r="E62" s="201">
        <f t="shared" si="51"/>
        <v>3</v>
      </c>
      <c r="L62" s="39">
        <f ca="1">SUM(L60:L61)</f>
        <v>1</v>
      </c>
      <c r="AE62" s="72"/>
      <c r="AK62" s="49" t="s">
        <v>792</v>
      </c>
      <c r="AL62" s="65"/>
      <c r="AM62" s="65"/>
      <c r="AY62" s="79" t="s">
        <v>559</v>
      </c>
      <c r="AZ62" s="49" t="s">
        <v>271</v>
      </c>
      <c r="BA62" s="120">
        <f t="shared" si="45"/>
        <v>80.16</v>
      </c>
      <c r="BB62" s="121"/>
      <c r="BI62" s="147"/>
      <c r="BJ62" s="107"/>
      <c r="BK62" s="107"/>
      <c r="BL62" s="182"/>
      <c r="BM62" s="89"/>
      <c r="BS62" s="49">
        <v>615</v>
      </c>
      <c r="BT62" s="49" t="s">
        <v>681</v>
      </c>
      <c r="CJ62" s="49" t="s">
        <v>432</v>
      </c>
      <c r="CM62" s="49" t="s">
        <v>379</v>
      </c>
      <c r="CN62" s="70" t="e">
        <f>VLOOKUP($G$10,$CM$8:$CX$55,10,FALSE)</f>
        <v>#N/A</v>
      </c>
      <c r="CP62" s="70">
        <f t="shared" si="54"/>
        <v>0</v>
      </c>
      <c r="CQ62" s="70">
        <f t="shared" si="54"/>
        <v>0</v>
      </c>
      <c r="CR62" s="70">
        <f t="shared" si="54"/>
        <v>0</v>
      </c>
      <c r="CS62" s="70">
        <f t="shared" si="54"/>
        <v>0</v>
      </c>
      <c r="CT62" s="70"/>
      <c r="DV62" s="95" t="s">
        <v>315</v>
      </c>
      <c r="DW62" s="96" t="s">
        <v>297</v>
      </c>
      <c r="DX62" s="49" t="s">
        <v>432</v>
      </c>
      <c r="DY62" s="114">
        <f t="shared" si="25"/>
        <v>28.75</v>
      </c>
      <c r="DZ62" s="49">
        <v>23</v>
      </c>
      <c r="ER62" s="355" t="s">
        <v>1545</v>
      </c>
      <c r="EW62" s="49" t="s">
        <v>834</v>
      </c>
      <c r="EX62" s="49" t="s">
        <v>911</v>
      </c>
      <c r="FB62" s="49" t="s">
        <v>637</v>
      </c>
      <c r="FC62" s="49" t="s">
        <v>905</v>
      </c>
      <c r="FD62" s="49" t="s">
        <v>16</v>
      </c>
      <c r="FE62" s="49" t="str">
        <f t="shared" si="0"/>
        <v>6vgVPT</v>
      </c>
      <c r="FF62" s="70">
        <f t="shared" si="49"/>
        <v>245.49</v>
      </c>
      <c r="FG62" s="70">
        <f t="shared" si="50"/>
        <v>1718.43</v>
      </c>
    </row>
    <row r="63" spans="2:169" ht="19.5" hidden="1" thickBot="1">
      <c r="B63" s="201">
        <f t="shared" si="53"/>
        <v>1</v>
      </c>
      <c r="D63" s="201">
        <f t="shared" si="52"/>
        <v>2</v>
      </c>
      <c r="N63" s="39">
        <f>IF(I33&gt;P65,P65,I33)</f>
        <v>0</v>
      </c>
      <c r="W63" s="49" t="s">
        <v>358</v>
      </c>
      <c r="AE63" s="75"/>
      <c r="AK63" s="49" t="s">
        <v>793</v>
      </c>
      <c r="AL63" s="65"/>
      <c r="AM63" s="65"/>
      <c r="AY63" s="79" t="s">
        <v>560</v>
      </c>
      <c r="AZ63" s="49" t="s">
        <v>289</v>
      </c>
      <c r="BA63" s="120">
        <f t="shared" si="45"/>
        <v>89.48</v>
      </c>
      <c r="BB63" s="121"/>
      <c r="BI63" s="147"/>
      <c r="BJ63" s="107"/>
      <c r="BK63" s="107"/>
      <c r="BL63" s="182"/>
      <c r="BM63" s="89"/>
      <c r="BS63" s="49">
        <v>616</v>
      </c>
      <c r="BT63" s="49" t="s">
        <v>681</v>
      </c>
      <c r="CP63" s="70"/>
      <c r="CQ63" s="70"/>
      <c r="CR63" s="70"/>
      <c r="CS63" s="70"/>
      <c r="CT63" s="70"/>
      <c r="DV63" s="95" t="s">
        <v>316</v>
      </c>
      <c r="DW63" s="96" t="s">
        <v>297</v>
      </c>
      <c r="DX63" s="49" t="s">
        <v>465</v>
      </c>
      <c r="DY63" s="114">
        <f t="shared" si="25"/>
        <v>32.5</v>
      </c>
      <c r="DZ63" s="185">
        <v>26</v>
      </c>
      <c r="ER63" s="355" t="s">
        <v>1549</v>
      </c>
      <c r="EW63" s="49" t="s">
        <v>839</v>
      </c>
      <c r="EX63" s="49" t="s">
        <v>916</v>
      </c>
      <c r="FB63" s="49" t="s">
        <v>638</v>
      </c>
      <c r="FC63" s="49" t="s">
        <v>906</v>
      </c>
      <c r="FD63" s="49" t="s">
        <v>16</v>
      </c>
      <c r="FE63" s="49" t="str">
        <f t="shared" si="0"/>
        <v>7vgVPT</v>
      </c>
      <c r="FF63" s="70">
        <f t="shared" si="49"/>
        <v>283.93</v>
      </c>
      <c r="FG63" s="70">
        <f t="shared" si="50"/>
        <v>1987.51</v>
      </c>
    </row>
    <row r="64" spans="2:169" ht="19.5" hidden="1" thickBot="1">
      <c r="B64" s="201">
        <f t="shared" si="53"/>
        <v>1</v>
      </c>
      <c r="D64" s="201">
        <f>IF(E19="",1,0)</f>
        <v>1</v>
      </c>
      <c r="N64" s="39">
        <f>IF(AND(I40=0,I33&gt;1),I33,0)</f>
        <v>0</v>
      </c>
      <c r="P64" s="2"/>
      <c r="W64" s="49">
        <f t="shared" ref="W64:W77" si="55">IFERROR(VLOOKUP(D18,Tarieven_ZIN_Logeren,3,0),0)</f>
        <v>0</v>
      </c>
      <c r="AE64" s="75"/>
      <c r="AK64" s="49" t="s">
        <v>794</v>
      </c>
      <c r="AL64" s="65"/>
      <c r="AM64" s="65"/>
      <c r="AY64" s="79" t="s">
        <v>561</v>
      </c>
      <c r="AZ64" s="49" t="s">
        <v>268</v>
      </c>
      <c r="BA64" s="120">
        <f t="shared" si="45"/>
        <v>103.58</v>
      </c>
      <c r="BB64" s="121"/>
      <c r="BI64" s="147"/>
      <c r="BJ64" s="107"/>
      <c r="BK64" s="107"/>
      <c r="BL64" s="182"/>
      <c r="BM64" s="89"/>
      <c r="BS64" s="49">
        <v>617</v>
      </c>
      <c r="BT64" s="49" t="s">
        <v>681</v>
      </c>
      <c r="DV64" s="95" t="s">
        <v>308</v>
      </c>
      <c r="DW64" s="96" t="s">
        <v>297</v>
      </c>
      <c r="DX64" s="49" t="s">
        <v>432</v>
      </c>
      <c r="DY64" s="114">
        <f t="shared" si="25"/>
        <v>15.625</v>
      </c>
      <c r="DZ64" s="49">
        <v>12.5</v>
      </c>
      <c r="ER64" s="355" t="s">
        <v>1540</v>
      </c>
      <c r="EW64" s="49" t="s">
        <v>844</v>
      </c>
      <c r="EX64" s="49" t="s">
        <v>921</v>
      </c>
      <c r="FB64" s="49" t="s">
        <v>639</v>
      </c>
      <c r="FC64" s="49" t="s">
        <v>907</v>
      </c>
      <c r="FD64" s="49" t="s">
        <v>16</v>
      </c>
      <c r="FE64" s="49" t="str">
        <f t="shared" si="0"/>
        <v>8vgVPT</v>
      </c>
      <c r="FF64" s="70">
        <f t="shared" si="49"/>
        <v>352.29</v>
      </c>
      <c r="FG64" s="70">
        <f t="shared" si="50"/>
        <v>2466.0300000000002</v>
      </c>
    </row>
    <row r="65" spans="2:163" ht="19.5" hidden="1" thickBot="1">
      <c r="B65" s="201">
        <f>IF(E18="",1,0)</f>
        <v>1</v>
      </c>
      <c r="H65" s="202"/>
      <c r="P65" s="2">
        <f>IF($T$20-$I$33&gt;0,$I$33,$T$20)</f>
        <v>0</v>
      </c>
      <c r="R65" s="39">
        <f>IF(B18="Deeltijd_verblijf",$I$6-F18,0)</f>
        <v>0</v>
      </c>
      <c r="W65" s="49">
        <f t="shared" si="55"/>
        <v>0</v>
      </c>
      <c r="AE65" s="75"/>
      <c r="AK65" s="49" t="s">
        <v>795</v>
      </c>
      <c r="AL65" s="65"/>
      <c r="AM65" s="65"/>
      <c r="AY65" s="79" t="s">
        <v>562</v>
      </c>
      <c r="AZ65" s="49" t="s">
        <v>287</v>
      </c>
      <c r="BA65" s="120">
        <f t="shared" si="45"/>
        <v>124.58</v>
      </c>
      <c r="BB65" s="121"/>
      <c r="BI65" s="147"/>
      <c r="BJ65" s="107"/>
      <c r="BK65" s="107"/>
      <c r="BL65" s="182"/>
      <c r="BM65" s="89"/>
      <c r="BS65" s="49">
        <v>618</v>
      </c>
      <c r="BT65" s="49" t="s">
        <v>681</v>
      </c>
      <c r="DV65" s="95" t="s">
        <v>309</v>
      </c>
      <c r="DW65" s="96" t="s">
        <v>297</v>
      </c>
      <c r="DX65" s="49" t="s">
        <v>432</v>
      </c>
      <c r="DY65" s="114">
        <f t="shared" si="25"/>
        <v>36.875</v>
      </c>
      <c r="DZ65" s="49">
        <v>29.5</v>
      </c>
      <c r="ER65" s="355" t="s">
        <v>1555</v>
      </c>
      <c r="EW65" s="49" t="s">
        <v>830</v>
      </c>
      <c r="EX65" s="49" t="s">
        <v>746</v>
      </c>
      <c r="FB65" s="49" t="s">
        <v>1467</v>
      </c>
      <c r="FC65" s="49" t="s">
        <v>1563</v>
      </c>
      <c r="FD65" s="49" t="s">
        <v>16</v>
      </c>
      <c r="FE65" s="49" t="str">
        <f t="shared" si="0"/>
        <v>1GGZ-WVPT</v>
      </c>
      <c r="FF65" s="70">
        <f t="shared" si="49"/>
        <v>171.74</v>
      </c>
      <c r="FG65" s="70">
        <f t="shared" ref="FG65:FG69" si="56">FF65*7</f>
        <v>1202.18</v>
      </c>
    </row>
    <row r="66" spans="2:163" ht="19.5" hidden="1" thickBot="1">
      <c r="H66" s="202"/>
      <c r="N66" s="39">
        <f>IF(N65=2,N64,N63)</f>
        <v>0</v>
      </c>
      <c r="R66" s="355">
        <f t="shared" ref="R66:R80" si="57">IF(B19="Deeltijd_verblijf",$I$6-F19,0)</f>
        <v>0</v>
      </c>
      <c r="W66" s="49">
        <f t="shared" si="55"/>
        <v>0</v>
      </c>
      <c r="AE66" s="75"/>
      <c r="AK66" s="49" t="s">
        <v>796</v>
      </c>
      <c r="AL66" s="65"/>
      <c r="AM66" s="65"/>
      <c r="AY66" s="79" t="s">
        <v>1609</v>
      </c>
      <c r="AZ66" s="49" t="s">
        <v>1610</v>
      </c>
      <c r="BA66" s="120">
        <f>VLOOKUP(AZ66,Tarieven_ZIN1,2,0)</f>
        <v>112.15</v>
      </c>
      <c r="BB66" s="121"/>
      <c r="BI66" s="147"/>
      <c r="BJ66" s="107"/>
      <c r="BK66" s="107"/>
      <c r="BL66" s="182"/>
      <c r="BM66" s="89"/>
      <c r="BS66" s="49">
        <v>619</v>
      </c>
      <c r="BT66" s="49" t="s">
        <v>681</v>
      </c>
      <c r="DV66" s="95" t="s">
        <v>310</v>
      </c>
      <c r="DW66" s="96" t="s">
        <v>297</v>
      </c>
      <c r="DX66" s="49" t="s">
        <v>465</v>
      </c>
      <c r="DY66" s="114">
        <f t="shared" si="25"/>
        <v>43.75</v>
      </c>
      <c r="DZ66" s="185">
        <v>35</v>
      </c>
      <c r="EN66" s="56" t="s">
        <v>1597</v>
      </c>
      <c r="ER66" s="355" t="s">
        <v>1544</v>
      </c>
      <c r="EW66" s="49" t="s">
        <v>835</v>
      </c>
      <c r="EX66" s="49" t="s">
        <v>912</v>
      </c>
      <c r="FB66" s="49" t="s">
        <v>1468</v>
      </c>
      <c r="FC66" s="49" t="s">
        <v>1564</v>
      </c>
      <c r="FD66" s="49" t="s">
        <v>16</v>
      </c>
      <c r="FE66" s="49" t="str">
        <f t="shared" si="0"/>
        <v>2GGZ-WVPT</v>
      </c>
      <c r="FF66" s="70">
        <f t="shared" si="49"/>
        <v>201.58</v>
      </c>
      <c r="FG66" s="70">
        <f t="shared" si="56"/>
        <v>1411.0600000000002</v>
      </c>
    </row>
    <row r="67" spans="2:163" ht="19.5" hidden="1" thickBot="1">
      <c r="B67" s="201">
        <f t="shared" ref="B67:B76" si="58">IF($E$21=E22,4,0)</f>
        <v>4</v>
      </c>
      <c r="C67" s="201">
        <f t="shared" ref="C67:C75" si="59">IF($E$22=E23,5,0)</f>
        <v>5</v>
      </c>
      <c r="D67" s="201">
        <f t="shared" ref="D67:D74" si="60">IF($E$23=E24,6,0)</f>
        <v>6</v>
      </c>
      <c r="E67" s="201">
        <f t="shared" ref="E67:E73" si="61">IF($E$24=E25,7,0)</f>
        <v>7</v>
      </c>
      <c r="H67" s="202"/>
      <c r="N67" s="39">
        <f>IF(N66&gt;P65,P65,N66)</f>
        <v>0</v>
      </c>
      <c r="R67" s="355">
        <f t="shared" si="57"/>
        <v>0</v>
      </c>
      <c r="W67" s="49">
        <f t="shared" si="55"/>
        <v>0</v>
      </c>
      <c r="AE67" s="75"/>
      <c r="AK67" s="49" t="s">
        <v>797</v>
      </c>
      <c r="AL67" s="78"/>
      <c r="AM67" s="78"/>
      <c r="BA67" s="120">
        <f>IFERROR(VLOOKUP(AZ67,Tarieven_ZIN1,2,0),0)</f>
        <v>0</v>
      </c>
      <c r="BB67" s="121"/>
      <c r="BI67" s="147"/>
      <c r="BJ67" s="107"/>
      <c r="BK67" s="107"/>
      <c r="BL67" s="182"/>
      <c r="BM67" s="89"/>
      <c r="BS67" s="49">
        <v>620</v>
      </c>
      <c r="BT67" s="49" t="s">
        <v>681</v>
      </c>
      <c r="DV67" s="95" t="s">
        <v>311</v>
      </c>
      <c r="DW67" s="96" t="s">
        <v>297</v>
      </c>
      <c r="DX67" s="49" t="s">
        <v>432</v>
      </c>
      <c r="DY67" s="114">
        <f t="shared" si="25"/>
        <v>26.25</v>
      </c>
      <c r="DZ67" s="49">
        <v>21</v>
      </c>
      <c r="ER67" s="355" t="s">
        <v>1543</v>
      </c>
      <c r="EW67" s="49" t="s">
        <v>840</v>
      </c>
      <c r="EX67" s="49" t="s">
        <v>917</v>
      </c>
      <c r="FB67" s="49" t="s">
        <v>1469</v>
      </c>
      <c r="FC67" s="49" t="s">
        <v>1565</v>
      </c>
      <c r="FD67" s="49" t="s">
        <v>16</v>
      </c>
      <c r="FE67" s="49" t="str">
        <f t="shared" si="0"/>
        <v>3GGZ-WVPT</v>
      </c>
      <c r="FF67" s="70">
        <f t="shared" si="49"/>
        <v>215.16</v>
      </c>
      <c r="FG67" s="70">
        <f t="shared" si="56"/>
        <v>1506.12</v>
      </c>
    </row>
    <row r="68" spans="2:163" ht="19.5" hidden="1" thickBot="1">
      <c r="B68" s="201">
        <f t="shared" si="58"/>
        <v>4</v>
      </c>
      <c r="C68" s="201">
        <f t="shared" si="59"/>
        <v>5</v>
      </c>
      <c r="D68" s="201">
        <f t="shared" si="60"/>
        <v>6</v>
      </c>
      <c r="E68" s="201">
        <f t="shared" si="61"/>
        <v>7</v>
      </c>
      <c r="H68" s="202"/>
      <c r="R68" s="355">
        <f t="shared" si="57"/>
        <v>0</v>
      </c>
      <c r="W68" s="49">
        <f t="shared" si="55"/>
        <v>0</v>
      </c>
      <c r="AK68" s="49" t="s">
        <v>798</v>
      </c>
      <c r="AY68" s="79" t="s">
        <v>1493</v>
      </c>
      <c r="AZ68" s="49" t="s">
        <v>1567</v>
      </c>
      <c r="BA68" s="120">
        <f t="shared" si="45"/>
        <v>60.8</v>
      </c>
      <c r="BB68" s="121"/>
      <c r="BI68" s="147"/>
      <c r="BJ68" s="107"/>
      <c r="BK68" s="107"/>
      <c r="BL68" s="182"/>
      <c r="BM68" s="89"/>
      <c r="BS68" s="49">
        <v>621</v>
      </c>
      <c r="BT68" s="49" t="s">
        <v>681</v>
      </c>
      <c r="DV68" s="95" t="s">
        <v>326</v>
      </c>
      <c r="DW68" s="96" t="s">
        <v>341</v>
      </c>
      <c r="DX68" s="49" t="s">
        <v>432</v>
      </c>
      <c r="DY68" s="114">
        <f t="shared" si="25"/>
        <v>35.625</v>
      </c>
      <c r="DZ68" s="49">
        <v>28.5</v>
      </c>
      <c r="EW68" s="49" t="s">
        <v>845</v>
      </c>
      <c r="EX68" s="49" t="s">
        <v>922</v>
      </c>
      <c r="FB68" s="49" t="s">
        <v>1470</v>
      </c>
      <c r="FC68" s="49" t="s">
        <v>1558</v>
      </c>
      <c r="FD68" s="49" t="s">
        <v>16</v>
      </c>
      <c r="FE68" s="49" t="str">
        <f t="shared" si="0"/>
        <v>4GGZ-WVPT</v>
      </c>
      <c r="FF68" s="70">
        <f t="shared" si="49"/>
        <v>261.13</v>
      </c>
      <c r="FG68" s="70">
        <f t="shared" si="56"/>
        <v>1827.9099999999999</v>
      </c>
    </row>
    <row r="69" spans="2:163" ht="19.5" hidden="1" thickBot="1">
      <c r="B69" s="201">
        <f t="shared" si="58"/>
        <v>4</v>
      </c>
      <c r="C69" s="201">
        <f t="shared" si="59"/>
        <v>5</v>
      </c>
      <c r="D69" s="201">
        <f t="shared" si="60"/>
        <v>6</v>
      </c>
      <c r="E69" s="201">
        <f t="shared" si="61"/>
        <v>7</v>
      </c>
      <c r="H69" s="202">
        <f ca="1">I32+I33</f>
        <v>0</v>
      </c>
      <c r="R69" s="355">
        <f t="shared" si="57"/>
        <v>0</v>
      </c>
      <c r="W69" s="49">
        <f t="shared" si="55"/>
        <v>0</v>
      </c>
      <c r="AK69" s="49" t="s">
        <v>799</v>
      </c>
      <c r="AY69" s="79" t="s">
        <v>1492</v>
      </c>
      <c r="AZ69" s="49" t="s">
        <v>1588</v>
      </c>
      <c r="BA69" s="120">
        <f t="shared" si="45"/>
        <v>69.430000000000007</v>
      </c>
      <c r="BB69" s="121"/>
      <c r="BI69" s="147"/>
      <c r="BJ69" s="107"/>
      <c r="BK69" s="107"/>
      <c r="BL69" s="182"/>
      <c r="BM69" s="89"/>
      <c r="BS69" s="49">
        <v>622</v>
      </c>
      <c r="BT69" s="49" t="s">
        <v>681</v>
      </c>
      <c r="DV69" s="95" t="s">
        <v>317</v>
      </c>
      <c r="DW69" s="96" t="s">
        <v>341</v>
      </c>
      <c r="DX69" s="49" t="s">
        <v>432</v>
      </c>
      <c r="DY69" s="114">
        <f t="shared" si="25"/>
        <v>5.625</v>
      </c>
      <c r="DZ69" s="49">
        <v>4.5</v>
      </c>
      <c r="EW69" s="49" t="s">
        <v>831</v>
      </c>
      <c r="EX69" s="49" t="s">
        <v>747</v>
      </c>
      <c r="FB69" s="49" t="s">
        <v>1471</v>
      </c>
      <c r="FC69" s="49" t="s">
        <v>1557</v>
      </c>
      <c r="FD69" s="49" t="s">
        <v>16</v>
      </c>
      <c r="FE69" s="49" t="str">
        <f t="shared" si="0"/>
        <v>5GGZ-WVPT</v>
      </c>
      <c r="FF69" s="70">
        <f t="shared" si="49"/>
        <v>353.99</v>
      </c>
      <c r="FG69" s="70">
        <f t="shared" si="56"/>
        <v>2477.9300000000003</v>
      </c>
    </row>
    <row r="70" spans="2:163" ht="19.5" hidden="1" thickBot="1">
      <c r="B70" s="201">
        <f t="shared" si="58"/>
        <v>4</v>
      </c>
      <c r="C70" s="201">
        <f t="shared" si="59"/>
        <v>5</v>
      </c>
      <c r="D70" s="201">
        <f t="shared" si="60"/>
        <v>6</v>
      </c>
      <c r="E70" s="201">
        <f t="shared" si="61"/>
        <v>7</v>
      </c>
      <c r="H70" s="202">
        <f ca="1">IF(H69&gt;M6-M8,1,2)</f>
        <v>2</v>
      </c>
      <c r="R70" s="355">
        <f t="shared" si="57"/>
        <v>0</v>
      </c>
      <c r="W70" s="49">
        <f t="shared" si="55"/>
        <v>0</v>
      </c>
      <c r="AK70" s="49" t="s">
        <v>800</v>
      </c>
      <c r="AY70" s="79" t="s">
        <v>1491</v>
      </c>
      <c r="AZ70" s="49" t="s">
        <v>1589</v>
      </c>
      <c r="BA70" s="120">
        <f t="shared" si="45"/>
        <v>59.45</v>
      </c>
      <c r="BB70" s="121"/>
      <c r="BI70" s="147"/>
      <c r="BJ70" s="107"/>
      <c r="BK70" s="107"/>
      <c r="BL70" s="182"/>
      <c r="BM70" s="89"/>
      <c r="BS70" s="49">
        <v>623</v>
      </c>
      <c r="BT70" s="49" t="s">
        <v>681</v>
      </c>
      <c r="DV70" s="95" t="s">
        <v>318</v>
      </c>
      <c r="DW70" s="96" t="s">
        <v>341</v>
      </c>
      <c r="DX70" s="49" t="s">
        <v>432</v>
      </c>
      <c r="DY70" s="114">
        <f t="shared" si="25"/>
        <v>8.75</v>
      </c>
      <c r="DZ70" s="49">
        <v>7</v>
      </c>
      <c r="EW70" s="49" t="s">
        <v>836</v>
      </c>
      <c r="EX70" s="49" t="s">
        <v>913</v>
      </c>
      <c r="FB70" s="49" t="s">
        <v>675</v>
      </c>
      <c r="FC70" s="49" t="s">
        <v>736</v>
      </c>
      <c r="FD70" s="49" t="s">
        <v>16</v>
      </c>
      <c r="FE70" s="49" t="str">
        <f t="shared" si="0"/>
        <v>1lvgVPT</v>
      </c>
      <c r="FF70" s="70">
        <f t="shared" si="49"/>
        <v>210.55</v>
      </c>
      <c r="FG70" s="70">
        <f t="shared" si="50"/>
        <v>1473.8500000000001</v>
      </c>
    </row>
    <row r="71" spans="2:163" ht="19.5" hidden="1" thickBot="1">
      <c r="B71" s="201">
        <f t="shared" si="58"/>
        <v>4</v>
      </c>
      <c r="C71" s="201">
        <f t="shared" si="59"/>
        <v>5</v>
      </c>
      <c r="D71" s="201">
        <f t="shared" si="60"/>
        <v>6</v>
      </c>
      <c r="E71" s="201">
        <f t="shared" si="61"/>
        <v>7</v>
      </c>
      <c r="H71" s="202">
        <f ca="1">IF(I32&gt;M6-M8,5,6)</f>
        <v>6</v>
      </c>
      <c r="J71" s="198">
        <v>6</v>
      </c>
      <c r="K71" s="199">
        <f>M6-M8</f>
        <v>0</v>
      </c>
      <c r="R71" s="355">
        <f t="shared" si="57"/>
        <v>0</v>
      </c>
      <c r="W71" s="49">
        <f t="shared" si="55"/>
        <v>0</v>
      </c>
      <c r="AK71" s="49" t="s">
        <v>801</v>
      </c>
      <c r="AY71" s="79" t="s">
        <v>1490</v>
      </c>
      <c r="AZ71" s="49" t="s">
        <v>1590</v>
      </c>
      <c r="BA71" s="120">
        <f t="shared" ref="BA71:BA102" si="62">VLOOKUP(AZ71,Tarieven_ZIN1,2,0)</f>
        <v>75.14</v>
      </c>
      <c r="BB71" s="121"/>
      <c r="BI71" s="147"/>
      <c r="BJ71" s="107"/>
      <c r="BK71" s="107"/>
      <c r="BL71" s="182"/>
      <c r="BM71" s="89"/>
      <c r="BS71" s="49">
        <v>624</v>
      </c>
      <c r="BT71" s="49" t="s">
        <v>681</v>
      </c>
      <c r="DV71" s="95" t="s">
        <v>319</v>
      </c>
      <c r="DW71" s="96" t="s">
        <v>341</v>
      </c>
      <c r="DX71" s="49" t="s">
        <v>432</v>
      </c>
      <c r="DY71" s="114">
        <f t="shared" si="25"/>
        <v>13.75</v>
      </c>
      <c r="DZ71" s="49">
        <v>11</v>
      </c>
      <c r="EW71" s="49" t="s">
        <v>841</v>
      </c>
      <c r="EX71" s="49" t="s">
        <v>918</v>
      </c>
      <c r="FB71" s="49" t="s">
        <v>676</v>
      </c>
      <c r="FC71" s="49" t="s">
        <v>737</v>
      </c>
      <c r="FD71" s="49" t="s">
        <v>16</v>
      </c>
      <c r="FE71" s="49" t="str">
        <f t="shared" si="0"/>
        <v>2lvgVPT</v>
      </c>
      <c r="FF71" s="70">
        <f t="shared" si="49"/>
        <v>260.69</v>
      </c>
      <c r="FG71" s="70">
        <f t="shared" si="50"/>
        <v>1824.83</v>
      </c>
    </row>
    <row r="72" spans="2:163" ht="19.5" hidden="1" thickBot="1">
      <c r="B72" s="201">
        <f t="shared" si="58"/>
        <v>4</v>
      </c>
      <c r="C72" s="201">
        <f t="shared" si="59"/>
        <v>5</v>
      </c>
      <c r="D72" s="201">
        <f t="shared" si="60"/>
        <v>6</v>
      </c>
      <c r="E72" s="201">
        <f t="shared" si="61"/>
        <v>7</v>
      </c>
      <c r="H72" s="202"/>
      <c r="J72" s="198">
        <v>7</v>
      </c>
      <c r="K72" s="199">
        <f>M6-M8</f>
        <v>0</v>
      </c>
      <c r="R72" s="355">
        <f t="shared" si="57"/>
        <v>0</v>
      </c>
      <c r="W72" s="49">
        <f t="shared" si="55"/>
        <v>0</v>
      </c>
      <c r="AK72" s="49" t="s">
        <v>802</v>
      </c>
      <c r="AY72" s="79" t="s">
        <v>1489</v>
      </c>
      <c r="AZ72" s="49" t="s">
        <v>1591</v>
      </c>
      <c r="BA72" s="120">
        <f t="shared" si="62"/>
        <v>96.78</v>
      </c>
      <c r="BB72" s="121"/>
      <c r="BI72" s="147"/>
      <c r="BJ72" s="107"/>
      <c r="BK72" s="107"/>
      <c r="BL72" s="182"/>
      <c r="BM72" s="89"/>
      <c r="BS72" s="49">
        <v>625</v>
      </c>
      <c r="BT72" s="49" t="s">
        <v>681</v>
      </c>
      <c r="DV72" s="95" t="s">
        <v>320</v>
      </c>
      <c r="DW72" s="96" t="s">
        <v>341</v>
      </c>
      <c r="DX72" s="49" t="s">
        <v>432</v>
      </c>
      <c r="DY72" s="114">
        <f t="shared" si="25"/>
        <v>15.625</v>
      </c>
      <c r="DZ72" s="49">
        <v>12.5</v>
      </c>
      <c r="EW72" s="49" t="s">
        <v>846</v>
      </c>
      <c r="EX72" s="49" t="s">
        <v>923</v>
      </c>
      <c r="FB72" s="49" t="s">
        <v>677</v>
      </c>
      <c r="FC72" s="49" t="s">
        <v>738</v>
      </c>
      <c r="FD72" s="49" t="s">
        <v>16</v>
      </c>
      <c r="FE72" s="49" t="str">
        <f t="shared" si="0"/>
        <v>3lvgVPT</v>
      </c>
      <c r="FF72" s="70">
        <f t="shared" si="49"/>
        <v>338.38</v>
      </c>
      <c r="FG72" s="70">
        <f t="shared" si="50"/>
        <v>2368.66</v>
      </c>
    </row>
    <row r="73" spans="2:163" ht="19.5" hidden="1" thickBot="1">
      <c r="B73" s="201">
        <f t="shared" si="58"/>
        <v>4</v>
      </c>
      <c r="C73" s="201">
        <f t="shared" si="59"/>
        <v>5</v>
      </c>
      <c r="D73" s="201">
        <f t="shared" si="60"/>
        <v>6</v>
      </c>
      <c r="E73" s="201">
        <f t="shared" si="61"/>
        <v>7</v>
      </c>
      <c r="H73" s="202">
        <f ca="1">IF(AND(I33&gt;0,I33-M15&gt;0,I35&lt;(M6+M15)),9,0)</f>
        <v>0</v>
      </c>
      <c r="J73" s="198">
        <v>16</v>
      </c>
      <c r="K73" s="199">
        <f ca="1">H69-M15</f>
        <v>0</v>
      </c>
      <c r="R73" s="355">
        <f t="shared" si="57"/>
        <v>0</v>
      </c>
      <c r="W73" s="49">
        <f t="shared" si="55"/>
        <v>0</v>
      </c>
      <c r="AK73" s="49" t="s">
        <v>803</v>
      </c>
      <c r="AY73" s="79" t="s">
        <v>563</v>
      </c>
      <c r="AZ73" s="49" t="s">
        <v>283</v>
      </c>
      <c r="BA73" s="120">
        <f t="shared" si="62"/>
        <v>62.69</v>
      </c>
      <c r="BB73" s="121"/>
      <c r="BI73" s="147"/>
      <c r="BJ73" s="107"/>
      <c r="BK73" s="107"/>
      <c r="BL73" s="182"/>
      <c r="BM73" s="89"/>
      <c r="BS73" s="49">
        <v>626</v>
      </c>
      <c r="BT73" s="49" t="s">
        <v>681</v>
      </c>
      <c r="DV73" s="95" t="s">
        <v>321</v>
      </c>
      <c r="DW73" s="96" t="s">
        <v>341</v>
      </c>
      <c r="DX73" s="49" t="s">
        <v>432</v>
      </c>
      <c r="DY73" s="114">
        <f t="shared" si="25"/>
        <v>21.25</v>
      </c>
      <c r="DZ73" s="49">
        <v>17</v>
      </c>
      <c r="EW73" s="49" t="s">
        <v>832</v>
      </c>
      <c r="EX73" s="49" t="s">
        <v>748</v>
      </c>
      <c r="FB73" s="49" t="s">
        <v>678</v>
      </c>
      <c r="FC73" s="49" t="s">
        <v>739</v>
      </c>
      <c r="FD73" s="49" t="s">
        <v>16</v>
      </c>
      <c r="FE73" s="49" t="str">
        <f t="shared" si="0"/>
        <v>4lvgVPT</v>
      </c>
      <c r="FF73" s="70">
        <f t="shared" si="49"/>
        <v>397.18</v>
      </c>
      <c r="FG73" s="70">
        <f t="shared" si="50"/>
        <v>2780.26</v>
      </c>
    </row>
    <row r="74" spans="2:163" ht="19.5" hidden="1" thickBot="1">
      <c r="B74" s="201">
        <f t="shared" si="58"/>
        <v>4</v>
      </c>
      <c r="C74" s="201">
        <f t="shared" si="59"/>
        <v>5</v>
      </c>
      <c r="D74" s="201">
        <f t="shared" si="60"/>
        <v>6</v>
      </c>
      <c r="H74" s="202">
        <f ca="1">SUM(H70:H73)</f>
        <v>8</v>
      </c>
      <c r="J74" s="198">
        <v>17</v>
      </c>
      <c r="K74" s="199">
        <f ca="1">I35-I34-I41</f>
        <v>0</v>
      </c>
      <c r="R74" s="355">
        <f t="shared" si="57"/>
        <v>0</v>
      </c>
      <c r="W74" s="49">
        <f t="shared" si="55"/>
        <v>0</v>
      </c>
      <c r="AK74" s="49" t="s">
        <v>804</v>
      </c>
      <c r="AY74" s="79" t="s">
        <v>564</v>
      </c>
      <c r="AZ74" s="49" t="s">
        <v>278</v>
      </c>
      <c r="BA74" s="120">
        <f t="shared" si="62"/>
        <v>75.180000000000007</v>
      </c>
      <c r="BB74" s="121"/>
      <c r="BJ74" s="107"/>
      <c r="BK74" s="107"/>
      <c r="BL74" s="182"/>
      <c r="BM74" s="89"/>
      <c r="BS74" s="49">
        <v>627</v>
      </c>
      <c r="BT74" s="49" t="s">
        <v>681</v>
      </c>
      <c r="DV74" s="95" t="s">
        <v>322</v>
      </c>
      <c r="DW74" s="96" t="s">
        <v>341</v>
      </c>
      <c r="DX74" s="49" t="s">
        <v>432</v>
      </c>
      <c r="DY74" s="114">
        <f t="shared" si="25"/>
        <v>21.25</v>
      </c>
      <c r="DZ74" s="49">
        <v>17</v>
      </c>
      <c r="EW74" s="49" t="s">
        <v>837</v>
      </c>
      <c r="EX74" s="49" t="s">
        <v>914</v>
      </c>
      <c r="FB74" s="49" t="s">
        <v>679</v>
      </c>
      <c r="FC74" s="49" t="s">
        <v>740</v>
      </c>
      <c r="FD74" s="49" t="s">
        <v>16</v>
      </c>
      <c r="FE74" s="49" t="str">
        <f t="shared" si="0"/>
        <v>5lvgVPT</v>
      </c>
      <c r="FF74" s="70">
        <f t="shared" si="49"/>
        <v>375.99</v>
      </c>
      <c r="FG74" s="70">
        <f t="shared" si="50"/>
        <v>2631.9300000000003</v>
      </c>
    </row>
    <row r="75" spans="2:163" ht="19.5" hidden="1" thickBot="1">
      <c r="B75" s="201">
        <f t="shared" si="58"/>
        <v>4</v>
      </c>
      <c r="C75" s="201">
        <f t="shared" si="59"/>
        <v>5</v>
      </c>
      <c r="H75" s="202"/>
      <c r="J75" s="198">
        <v>8</v>
      </c>
      <c r="K75" s="199">
        <f ca="1">I32+I33</f>
        <v>0</v>
      </c>
      <c r="R75" s="355">
        <f t="shared" si="57"/>
        <v>0</v>
      </c>
      <c r="W75" s="49">
        <f t="shared" si="55"/>
        <v>0</v>
      </c>
      <c r="AK75" s="49" t="s">
        <v>805</v>
      </c>
      <c r="AY75" s="79" t="s">
        <v>565</v>
      </c>
      <c r="AZ75" s="49" t="s">
        <v>263</v>
      </c>
      <c r="BA75" s="120">
        <f t="shared" si="62"/>
        <v>89.52</v>
      </c>
      <c r="BB75" s="121"/>
      <c r="BJ75" s="107"/>
      <c r="BK75" s="107"/>
      <c r="BL75" s="182"/>
      <c r="BM75" s="89"/>
      <c r="BS75" s="49">
        <v>628</v>
      </c>
      <c r="BT75" s="49" t="s">
        <v>681</v>
      </c>
      <c r="DV75" s="95" t="s">
        <v>323</v>
      </c>
      <c r="DW75" s="96" t="s">
        <v>341</v>
      </c>
      <c r="DX75" s="49" t="s">
        <v>465</v>
      </c>
      <c r="DY75" s="114">
        <f t="shared" si="25"/>
        <v>28.75</v>
      </c>
      <c r="DZ75" s="167">
        <v>23</v>
      </c>
      <c r="EW75" s="49" t="s">
        <v>842</v>
      </c>
      <c r="EX75" s="49" t="s">
        <v>919</v>
      </c>
      <c r="FB75" s="49" t="s">
        <v>657</v>
      </c>
      <c r="FC75" s="49" t="s">
        <v>741</v>
      </c>
      <c r="FD75" s="49" t="s">
        <v>16</v>
      </c>
      <c r="FE75" s="49" t="str">
        <f t="shared" ref="FE75:FE91" si="63">CONCATENATE(FB75,FD75)</f>
        <v>1sglvgVPT</v>
      </c>
      <c r="FF75" s="70">
        <f t="shared" si="49"/>
        <v>424.88</v>
      </c>
      <c r="FG75" s="70">
        <f t="shared" si="50"/>
        <v>2974.16</v>
      </c>
    </row>
    <row r="76" spans="2:163" ht="19.5" hidden="1" thickBot="1">
      <c r="B76" s="201">
        <f t="shared" si="58"/>
        <v>4</v>
      </c>
      <c r="H76" s="202"/>
      <c r="J76" s="198">
        <v>9</v>
      </c>
      <c r="K76" s="199">
        <f ca="1">H69-M15</f>
        <v>0</v>
      </c>
      <c r="R76" s="355">
        <f t="shared" si="57"/>
        <v>0</v>
      </c>
      <c r="W76" s="49">
        <f t="shared" si="55"/>
        <v>0</v>
      </c>
      <c r="AK76" s="49" t="s">
        <v>806</v>
      </c>
      <c r="AY76" s="79" t="s">
        <v>566</v>
      </c>
      <c r="AZ76" s="49" t="s">
        <v>277</v>
      </c>
      <c r="BA76" s="120">
        <f t="shared" si="62"/>
        <v>95.82</v>
      </c>
      <c r="BB76" s="121"/>
      <c r="BJ76" s="107"/>
      <c r="BK76" s="107"/>
      <c r="BL76" s="182"/>
      <c r="BM76" s="89"/>
      <c r="BS76" s="49">
        <v>629</v>
      </c>
      <c r="BT76" s="49" t="s">
        <v>681</v>
      </c>
      <c r="DV76" s="95" t="s">
        <v>324</v>
      </c>
      <c r="DW76" s="96" t="s">
        <v>341</v>
      </c>
      <c r="DX76" s="49" t="s">
        <v>465</v>
      </c>
      <c r="DY76" s="114">
        <f t="shared" si="25"/>
        <v>35.625</v>
      </c>
      <c r="DZ76" s="167">
        <v>28.5</v>
      </c>
      <c r="EW76" s="49" t="s">
        <v>847</v>
      </c>
      <c r="EX76" s="49" t="s">
        <v>924</v>
      </c>
      <c r="FB76" s="49" t="s">
        <v>650</v>
      </c>
      <c r="FC76" s="49" t="s">
        <v>908</v>
      </c>
      <c r="FD76" s="49" t="s">
        <v>16</v>
      </c>
      <c r="FE76" s="49" t="str">
        <f t="shared" si="63"/>
        <v>1lgVPT</v>
      </c>
      <c r="FF76" s="70">
        <f t="shared" si="49"/>
        <v>159.05000000000001</v>
      </c>
      <c r="FG76" s="70">
        <f t="shared" si="50"/>
        <v>1113.3500000000001</v>
      </c>
    </row>
    <row r="77" spans="2:163" ht="19.5" hidden="1" thickBot="1">
      <c r="H77" s="202"/>
      <c r="R77" s="355">
        <f t="shared" si="57"/>
        <v>0</v>
      </c>
      <c r="W77" s="49">
        <f t="shared" si="55"/>
        <v>0</v>
      </c>
      <c r="AK77" s="49" t="s">
        <v>807</v>
      </c>
      <c r="AY77" s="79" t="s">
        <v>567</v>
      </c>
      <c r="AZ77" s="49" t="s">
        <v>270</v>
      </c>
      <c r="BA77" s="120">
        <f t="shared" si="62"/>
        <v>115.54</v>
      </c>
      <c r="BB77" s="121"/>
      <c r="BJ77" s="107"/>
      <c r="BK77" s="107"/>
      <c r="BL77" s="182"/>
      <c r="BM77" s="89"/>
      <c r="BS77" s="49">
        <v>630</v>
      </c>
      <c r="BT77" s="49" t="s">
        <v>681</v>
      </c>
      <c r="DV77" s="95" t="s">
        <v>430</v>
      </c>
      <c r="DW77" s="96" t="s">
        <v>341</v>
      </c>
      <c r="DX77" s="49" t="s">
        <v>432</v>
      </c>
      <c r="DY77" s="114">
        <f t="shared" si="25"/>
        <v>25</v>
      </c>
      <c r="DZ77" s="49">
        <v>20</v>
      </c>
      <c r="EW77" s="49" t="s">
        <v>848</v>
      </c>
      <c r="EX77" s="49" t="s">
        <v>749</v>
      </c>
      <c r="FB77" s="49" t="s">
        <v>651</v>
      </c>
      <c r="FC77" s="49" t="s">
        <v>909</v>
      </c>
      <c r="FD77" s="49" t="s">
        <v>16</v>
      </c>
      <c r="FE77" s="49" t="str">
        <f t="shared" si="63"/>
        <v>2lgVPT</v>
      </c>
      <c r="FF77" s="70">
        <f t="shared" si="49"/>
        <v>189.37</v>
      </c>
      <c r="FG77" s="70">
        <f t="shared" si="50"/>
        <v>1325.5900000000001</v>
      </c>
    </row>
    <row r="78" spans="2:163" ht="19.5" hidden="1" thickBot="1">
      <c r="H78" s="202"/>
      <c r="R78" s="355">
        <f t="shared" si="57"/>
        <v>0</v>
      </c>
      <c r="AK78" s="49" t="s">
        <v>808</v>
      </c>
      <c r="AY78" s="79" t="s">
        <v>568</v>
      </c>
      <c r="AZ78" s="49" t="s">
        <v>261</v>
      </c>
      <c r="BA78" s="120">
        <f t="shared" si="62"/>
        <v>140.78</v>
      </c>
      <c r="BB78" s="121"/>
      <c r="BJ78" s="107"/>
      <c r="BK78" s="107"/>
      <c r="BL78" s="182"/>
      <c r="BM78" s="89"/>
      <c r="BS78" s="49">
        <v>631</v>
      </c>
      <c r="BT78" s="49" t="s">
        <v>681</v>
      </c>
      <c r="DV78" s="95" t="s">
        <v>335</v>
      </c>
      <c r="DW78" s="96" t="s">
        <v>341</v>
      </c>
      <c r="DX78" s="49" t="s">
        <v>432</v>
      </c>
      <c r="DY78" s="114">
        <f t="shared" si="25"/>
        <v>20</v>
      </c>
      <c r="DZ78" s="49">
        <v>16</v>
      </c>
      <c r="EW78" s="49" t="s">
        <v>852</v>
      </c>
      <c r="EX78" s="49" t="s">
        <v>925</v>
      </c>
      <c r="FB78" s="49" t="s">
        <v>652</v>
      </c>
      <c r="FC78" s="49" t="s">
        <v>920</v>
      </c>
      <c r="FD78" s="49" t="s">
        <v>16</v>
      </c>
      <c r="FE78" s="49" t="str">
        <f t="shared" si="63"/>
        <v>3lgVPT</v>
      </c>
      <c r="FF78" s="70">
        <f t="shared" si="49"/>
        <v>197.4</v>
      </c>
      <c r="FG78" s="70">
        <f t="shared" si="50"/>
        <v>1381.8</v>
      </c>
    </row>
    <row r="79" spans="2:163" ht="19.5" hidden="1" thickBot="1">
      <c r="B79" s="201">
        <f t="shared" ref="B79:B84" si="64">IF($E$25=E26,8,0)</f>
        <v>8</v>
      </c>
      <c r="C79" s="201">
        <f>IF($E$26=E27,9,0)</f>
        <v>9</v>
      </c>
      <c r="D79" s="201">
        <f>IF($E$27=E28,10,0)</f>
        <v>10</v>
      </c>
      <c r="E79" s="201">
        <f>IF($E$28=E29,11,0)</f>
        <v>11</v>
      </c>
      <c r="H79" s="202"/>
      <c r="R79" s="355">
        <f t="shared" si="57"/>
        <v>0</v>
      </c>
      <c r="AK79" s="49" t="s">
        <v>809</v>
      </c>
      <c r="AY79" s="79" t="s">
        <v>569</v>
      </c>
      <c r="AZ79" s="49" t="s">
        <v>269</v>
      </c>
      <c r="BA79" s="120">
        <f t="shared" si="62"/>
        <v>60.95</v>
      </c>
      <c r="BB79" s="121"/>
      <c r="BJ79" s="107"/>
      <c r="BK79" s="107"/>
      <c r="BL79" s="182"/>
      <c r="BM79" s="89"/>
      <c r="BS79" s="49">
        <v>632</v>
      </c>
      <c r="BT79" s="49" t="s">
        <v>681</v>
      </c>
      <c r="DV79" s="95" t="s">
        <v>336</v>
      </c>
      <c r="DW79" s="96" t="s">
        <v>341</v>
      </c>
      <c r="DX79" s="49" t="s">
        <v>432</v>
      </c>
      <c r="DY79" s="114">
        <f t="shared" si="25"/>
        <v>24.375</v>
      </c>
      <c r="DZ79" s="49">
        <v>19.5</v>
      </c>
      <c r="EW79" s="49" t="s">
        <v>856</v>
      </c>
      <c r="EX79" s="49" t="s">
        <v>929</v>
      </c>
      <c r="FB79" s="49" t="s">
        <v>653</v>
      </c>
      <c r="FC79" s="49" t="s">
        <v>921</v>
      </c>
      <c r="FD79" s="49" t="s">
        <v>16</v>
      </c>
      <c r="FE79" s="49" t="str">
        <f t="shared" si="63"/>
        <v>4lgVPT</v>
      </c>
      <c r="FF79" s="70">
        <f t="shared" si="49"/>
        <v>245.95</v>
      </c>
      <c r="FG79" s="70">
        <f t="shared" si="50"/>
        <v>1721.6499999999999</v>
      </c>
    </row>
    <row r="80" spans="2:163" ht="19.5" hidden="1" thickBot="1">
      <c r="B80" s="201">
        <f t="shared" si="64"/>
        <v>8</v>
      </c>
      <c r="C80" s="201">
        <f>IF($E$26=E28,9,0)</f>
        <v>9</v>
      </c>
      <c r="D80" s="201">
        <f>IF($E$27=E29,10,0)</f>
        <v>10</v>
      </c>
      <c r="E80" s="201">
        <f>IF($E$28=E30,11,0)</f>
        <v>11</v>
      </c>
      <c r="H80" s="202"/>
      <c r="R80" s="355">
        <f t="shared" si="57"/>
        <v>0</v>
      </c>
      <c r="AK80" s="49" t="s">
        <v>810</v>
      </c>
      <c r="AY80" s="79" t="s">
        <v>570</v>
      </c>
      <c r="AZ80" s="49" t="s">
        <v>279</v>
      </c>
      <c r="BA80" s="120">
        <f t="shared" si="62"/>
        <v>65.900000000000006</v>
      </c>
      <c r="BB80" s="121"/>
      <c r="BJ80" s="107"/>
      <c r="BK80" s="107"/>
      <c r="BL80" s="182"/>
      <c r="BM80" s="89"/>
      <c r="BS80" s="49">
        <v>633</v>
      </c>
      <c r="BT80" s="49" t="s">
        <v>681</v>
      </c>
      <c r="DV80" s="95" t="s">
        <v>337</v>
      </c>
      <c r="DW80" s="96" t="s">
        <v>341</v>
      </c>
      <c r="DX80" s="49" t="s">
        <v>432</v>
      </c>
      <c r="DY80" s="114">
        <f t="shared" si="25"/>
        <v>26.875</v>
      </c>
      <c r="DZ80" s="49">
        <v>21.5</v>
      </c>
      <c r="EW80" s="49" t="s">
        <v>860</v>
      </c>
      <c r="EX80" s="49" t="s">
        <v>933</v>
      </c>
      <c r="FB80" s="49" t="s">
        <v>654</v>
      </c>
      <c r="FC80" s="49" t="s">
        <v>922</v>
      </c>
      <c r="FD80" s="49" t="s">
        <v>16</v>
      </c>
      <c r="FE80" s="49" t="str">
        <f t="shared" si="63"/>
        <v>5lgVPT</v>
      </c>
      <c r="FF80" s="70">
        <f t="shared" si="49"/>
        <v>274.75</v>
      </c>
      <c r="FG80" s="70">
        <f t="shared" si="50"/>
        <v>1923.25</v>
      </c>
    </row>
    <row r="81" spans="2:163" ht="19.5" hidden="1" thickBot="1">
      <c r="B81" s="201">
        <f t="shared" si="64"/>
        <v>8</v>
      </c>
      <c r="C81" s="201">
        <f>IF($E$26=E29,9,0)</f>
        <v>9</v>
      </c>
      <c r="D81" s="201">
        <f>IF($E$27=E30,10,0)</f>
        <v>10</v>
      </c>
      <c r="E81" s="201">
        <f>IF($E$28=E31,11,0)</f>
        <v>11</v>
      </c>
      <c r="H81" s="202"/>
      <c r="AK81" s="49" t="s">
        <v>811</v>
      </c>
      <c r="AY81" s="79" t="s">
        <v>571</v>
      </c>
      <c r="AZ81" s="49" t="s">
        <v>275</v>
      </c>
      <c r="BA81" s="120">
        <f t="shared" si="62"/>
        <v>75.510000000000005</v>
      </c>
      <c r="BB81" s="121"/>
      <c r="BJ81" s="107"/>
      <c r="BK81" s="107"/>
      <c r="BL81" s="182"/>
      <c r="BM81" s="89"/>
      <c r="BS81" s="49">
        <v>634</v>
      </c>
      <c r="BT81" s="49" t="s">
        <v>681</v>
      </c>
      <c r="DV81" s="95" t="s">
        <v>338</v>
      </c>
      <c r="DW81" s="96" t="s">
        <v>341</v>
      </c>
      <c r="DX81" s="49" t="s">
        <v>465</v>
      </c>
      <c r="DY81" s="114">
        <f t="shared" si="25"/>
        <v>31.875</v>
      </c>
      <c r="DZ81" s="167">
        <v>25.5</v>
      </c>
      <c r="EW81" s="49" t="s">
        <v>851</v>
      </c>
      <c r="EX81" s="49" t="s">
        <v>752</v>
      </c>
      <c r="FB81" s="49" t="s">
        <v>655</v>
      </c>
      <c r="FC81" s="49" t="s">
        <v>923</v>
      </c>
      <c r="FD81" s="49" t="s">
        <v>16</v>
      </c>
      <c r="FE81" s="49" t="str">
        <f t="shared" si="63"/>
        <v>6lgVPT</v>
      </c>
      <c r="FF81" s="70">
        <f t="shared" si="49"/>
        <v>344.82</v>
      </c>
      <c r="FG81" s="70">
        <f t="shared" si="50"/>
        <v>2413.7399999999998</v>
      </c>
    </row>
    <row r="82" spans="2:163" ht="19.5" hidden="1" thickBot="1">
      <c r="B82" s="201">
        <f t="shared" si="64"/>
        <v>8</v>
      </c>
      <c r="C82" s="201">
        <f>IF($E$26=E30,9,0)</f>
        <v>9</v>
      </c>
      <c r="D82" s="201">
        <f>IF($E$27=E31,10,0)</f>
        <v>10</v>
      </c>
      <c r="H82" s="202"/>
      <c r="AK82" s="49" t="s">
        <v>812</v>
      </c>
      <c r="AY82" s="79" t="s">
        <v>572</v>
      </c>
      <c r="AZ82" s="49" t="s">
        <v>267</v>
      </c>
      <c r="BA82" s="120">
        <f t="shared" si="62"/>
        <v>80.83</v>
      </c>
      <c r="BB82" s="121"/>
      <c r="BJ82" s="107"/>
      <c r="BK82" s="107"/>
      <c r="BL82" s="182"/>
      <c r="BM82" s="89"/>
      <c r="BS82" s="49">
        <v>635</v>
      </c>
      <c r="BT82" s="49" t="s">
        <v>681</v>
      </c>
      <c r="DV82" s="95" t="s">
        <v>339</v>
      </c>
      <c r="DW82" s="96" t="s">
        <v>341</v>
      </c>
      <c r="DX82" s="49" t="s">
        <v>465</v>
      </c>
      <c r="DY82" s="114">
        <f>DZ82*1.25</f>
        <v>31.875</v>
      </c>
      <c r="DZ82" s="167">
        <v>25.5</v>
      </c>
      <c r="EW82" s="49" t="s">
        <v>855</v>
      </c>
      <c r="EX82" s="49" t="s">
        <v>928</v>
      </c>
      <c r="FB82" s="49" t="s">
        <v>656</v>
      </c>
      <c r="FC82" s="49" t="s">
        <v>924</v>
      </c>
      <c r="FD82" s="49" t="s">
        <v>16</v>
      </c>
      <c r="FE82" s="49" t="str">
        <f t="shared" si="63"/>
        <v>7lgVPT</v>
      </c>
      <c r="FF82" s="70">
        <f t="shared" si="49"/>
        <v>357.58</v>
      </c>
      <c r="FG82" s="70">
        <f t="shared" si="50"/>
        <v>2503.06</v>
      </c>
    </row>
    <row r="83" spans="2:163" ht="19.5" hidden="1" thickBot="1">
      <c r="B83" s="201">
        <f t="shared" si="64"/>
        <v>8</v>
      </c>
      <c r="C83" s="201">
        <f>IF($E$26=E31,9,0)</f>
        <v>9</v>
      </c>
      <c r="H83" s="202"/>
      <c r="AK83" s="49" t="s">
        <v>813</v>
      </c>
      <c r="AY83" s="79" t="s">
        <v>573</v>
      </c>
      <c r="AZ83" s="49" t="s">
        <v>281</v>
      </c>
      <c r="BA83" s="120">
        <f t="shared" si="62"/>
        <v>93.54</v>
      </c>
      <c r="BB83" s="121"/>
      <c r="BJ83" s="107"/>
      <c r="BK83" s="107"/>
      <c r="BL83" s="182"/>
      <c r="BM83" s="89"/>
      <c r="BS83" s="49">
        <v>636</v>
      </c>
      <c r="BT83" s="49" t="s">
        <v>681</v>
      </c>
      <c r="DV83" s="95" t="s">
        <v>340</v>
      </c>
      <c r="DW83" s="96" t="s">
        <v>341</v>
      </c>
      <c r="DX83" s="49" t="s">
        <v>465</v>
      </c>
      <c r="DY83" s="114">
        <f>DZ83*1.25</f>
        <v>34.375</v>
      </c>
      <c r="DZ83" s="167">
        <v>27.5</v>
      </c>
      <c r="EW83" s="49" t="s">
        <v>859</v>
      </c>
      <c r="EX83" s="49" t="s">
        <v>932</v>
      </c>
      <c r="FB83" s="49" t="s">
        <v>663</v>
      </c>
      <c r="FC83" s="49" t="s">
        <v>933</v>
      </c>
      <c r="FD83" s="49" t="s">
        <v>16</v>
      </c>
      <c r="FE83" s="49" t="str">
        <f t="shared" si="63"/>
        <v>1zgaudVPT</v>
      </c>
      <c r="FF83" s="70">
        <f t="shared" si="49"/>
        <v>210.52</v>
      </c>
      <c r="FG83" s="70">
        <f t="shared" si="50"/>
        <v>1473.64</v>
      </c>
    </row>
    <row r="84" spans="2:163" ht="19.5" hidden="1" thickBot="1">
      <c r="B84" s="201">
        <f t="shared" si="64"/>
        <v>8</v>
      </c>
      <c r="H84" s="202"/>
      <c r="AK84" s="49" t="s">
        <v>814</v>
      </c>
      <c r="AY84" s="79" t="s">
        <v>574</v>
      </c>
      <c r="AZ84" s="49" t="s">
        <v>262</v>
      </c>
      <c r="BA84" s="120">
        <f t="shared" si="62"/>
        <v>114.61</v>
      </c>
      <c r="BB84" s="121"/>
      <c r="BJ84" s="107"/>
      <c r="BK84" s="107"/>
      <c r="BL84" s="182"/>
      <c r="BM84" s="89"/>
      <c r="BS84" s="49">
        <v>637</v>
      </c>
      <c r="BT84" s="49" t="s">
        <v>681</v>
      </c>
      <c r="EW84" s="49" t="s">
        <v>863</v>
      </c>
      <c r="EX84" s="49" t="s">
        <v>936</v>
      </c>
      <c r="FB84" s="49" t="s">
        <v>665</v>
      </c>
      <c r="FC84" s="49" t="s">
        <v>936</v>
      </c>
      <c r="FD84" s="49" t="s">
        <v>16</v>
      </c>
      <c r="FE84" s="49" t="str">
        <f>CONCATENATE(FB84,FD86)</f>
        <v>4zgaudVPT</v>
      </c>
      <c r="FF84" s="70">
        <f t="shared" si="49"/>
        <v>290.91000000000003</v>
      </c>
      <c r="FG84" s="70">
        <f t="shared" si="50"/>
        <v>2036.3700000000001</v>
      </c>
    </row>
    <row r="85" spans="2:163" ht="19.5" hidden="1" thickBot="1">
      <c r="H85" s="202"/>
      <c r="AK85" s="49" t="s">
        <v>815</v>
      </c>
      <c r="AY85" s="79" t="s">
        <v>473</v>
      </c>
      <c r="AZ85" s="49" t="s">
        <v>246</v>
      </c>
      <c r="BA85" s="120">
        <f t="shared" si="62"/>
        <v>161.93</v>
      </c>
      <c r="BB85" s="121"/>
      <c r="BJ85" s="107"/>
      <c r="BK85" s="107"/>
      <c r="BL85" s="182"/>
      <c r="BM85" s="89"/>
      <c r="BS85" s="49">
        <v>638</v>
      </c>
      <c r="BT85" s="49" t="s">
        <v>681</v>
      </c>
      <c r="EW85" s="49" t="s">
        <v>849</v>
      </c>
      <c r="EX85" s="49" t="s">
        <v>750</v>
      </c>
      <c r="FB85" s="49" t="s">
        <v>671</v>
      </c>
      <c r="FC85" s="49" t="s">
        <v>934</v>
      </c>
      <c r="FD85" s="49" t="s">
        <v>16</v>
      </c>
      <c r="FE85" s="49" t="str">
        <f>CONCATENATE(FB85,FD84)</f>
        <v>2zgaudVPT</v>
      </c>
      <c r="FF85" s="70">
        <f t="shared" si="49"/>
        <v>416.38</v>
      </c>
      <c r="FG85" s="70">
        <f t="shared" si="50"/>
        <v>2914.66</v>
      </c>
    </row>
    <row r="86" spans="2:163" ht="19.5" hidden="1" thickBot="1">
      <c r="H86" s="202"/>
      <c r="AK86" s="49" t="s">
        <v>816</v>
      </c>
      <c r="AY86" s="371" t="s">
        <v>1758</v>
      </c>
      <c r="AZ86" s="441" t="s">
        <v>1753</v>
      </c>
      <c r="BA86" s="442">
        <v>67.849686847599173</v>
      </c>
      <c r="BB86" s="121"/>
      <c r="BL86" s="182"/>
      <c r="BM86" s="89"/>
      <c r="BS86" s="49">
        <v>639</v>
      </c>
      <c r="BT86" s="49" t="s">
        <v>681</v>
      </c>
      <c r="EW86" s="49" t="s">
        <v>853</v>
      </c>
      <c r="EX86" s="49" t="s">
        <v>926</v>
      </c>
      <c r="FB86" s="49" t="s">
        <v>664</v>
      </c>
      <c r="FC86" s="49" t="s">
        <v>935</v>
      </c>
      <c r="FD86" s="49" t="s">
        <v>16</v>
      </c>
      <c r="FE86" s="49" t="str">
        <f>CONCATENATE(FB86,FD85)</f>
        <v>3zgaudVPT</v>
      </c>
      <c r="FF86" s="70">
        <f t="shared" si="49"/>
        <v>491.53</v>
      </c>
      <c r="FG86" s="70">
        <f t="shared" si="50"/>
        <v>3440.71</v>
      </c>
    </row>
    <row r="87" spans="2:163" ht="19.5" hidden="1" thickBot="1">
      <c r="B87" s="201">
        <f>IF($E$29=E30,12,0)</f>
        <v>12</v>
      </c>
      <c r="C87" s="201">
        <f>IF(E30=E31,13,0)</f>
        <v>13</v>
      </c>
      <c r="H87" s="202"/>
      <c r="AK87" s="49" t="s">
        <v>817</v>
      </c>
      <c r="AY87" s="371" t="s">
        <v>1760</v>
      </c>
      <c r="AZ87" s="441" t="s">
        <v>1754</v>
      </c>
      <c r="BA87" s="442">
        <v>78.841336116910227</v>
      </c>
      <c r="BB87" s="121"/>
      <c r="BL87" s="182"/>
      <c r="BM87" s="89"/>
      <c r="BS87" s="49">
        <v>500</v>
      </c>
      <c r="BT87" s="49" t="s">
        <v>681</v>
      </c>
      <c r="EW87" s="49" t="s">
        <v>857</v>
      </c>
      <c r="EX87" s="49" t="s">
        <v>930</v>
      </c>
      <c r="FB87" s="49" t="s">
        <v>658</v>
      </c>
      <c r="FC87" s="49" t="s">
        <v>937</v>
      </c>
      <c r="FD87" s="49" t="s">
        <v>16</v>
      </c>
      <c r="FE87" s="49" t="str">
        <f t="shared" si="63"/>
        <v>1zgvisVPT</v>
      </c>
      <c r="FF87" s="70">
        <f t="shared" si="49"/>
        <v>147.24</v>
      </c>
      <c r="FG87" s="70">
        <f t="shared" si="50"/>
        <v>1030.68</v>
      </c>
    </row>
    <row r="88" spans="2:163" ht="19.5" hidden="1" thickBot="1">
      <c r="B88" s="201">
        <f>IF($E$29=E31,12,0)</f>
        <v>12</v>
      </c>
      <c r="H88" s="202"/>
      <c r="AK88" s="49" t="s">
        <v>299</v>
      </c>
      <c r="AY88" s="371" t="s">
        <v>1759</v>
      </c>
      <c r="AZ88" s="441" t="s">
        <v>1755</v>
      </c>
      <c r="BA88" s="442">
        <v>83.726513569937367</v>
      </c>
      <c r="BB88" s="121"/>
      <c r="BL88" s="182"/>
      <c r="BM88" s="89"/>
      <c r="BS88" s="49">
        <v>501</v>
      </c>
      <c r="BT88" s="49" t="s">
        <v>682</v>
      </c>
      <c r="EW88" s="49" t="s">
        <v>861</v>
      </c>
      <c r="EX88" s="49" t="s">
        <v>934</v>
      </c>
      <c r="FB88" s="49" t="s">
        <v>659</v>
      </c>
      <c r="FC88" s="49" t="s">
        <v>938</v>
      </c>
      <c r="FD88" s="49" t="s">
        <v>16</v>
      </c>
      <c r="FE88" s="49" t="str">
        <f t="shared" si="63"/>
        <v>2zgvisVPT</v>
      </c>
      <c r="FF88" s="70">
        <f t="shared" si="49"/>
        <v>190.3</v>
      </c>
      <c r="FG88" s="70">
        <f t="shared" si="50"/>
        <v>1332.1000000000001</v>
      </c>
    </row>
    <row r="89" spans="2:163" ht="18.75" hidden="1">
      <c r="H89" s="202"/>
      <c r="AK89" s="49" t="s">
        <v>818</v>
      </c>
      <c r="AY89" s="371" t="s">
        <v>1761</v>
      </c>
      <c r="AZ89" s="441" t="s">
        <v>1756</v>
      </c>
      <c r="BA89" s="442">
        <v>89.65553235908142</v>
      </c>
      <c r="BB89" s="121"/>
      <c r="BS89" s="49">
        <v>502</v>
      </c>
      <c r="BT89" s="49" t="s">
        <v>681</v>
      </c>
      <c r="EW89" s="49" t="s">
        <v>850</v>
      </c>
      <c r="EX89" s="49" t="s">
        <v>751</v>
      </c>
      <c r="FB89" s="49" t="s">
        <v>660</v>
      </c>
      <c r="FC89" s="49" t="s">
        <v>945</v>
      </c>
      <c r="FD89" s="49" t="s">
        <v>16</v>
      </c>
      <c r="FE89" s="49" t="str">
        <f t="shared" si="63"/>
        <v>3zgvisVPT</v>
      </c>
      <c r="FF89" s="70">
        <f t="shared" si="49"/>
        <v>242.58</v>
      </c>
      <c r="FG89" s="70">
        <f t="shared" si="50"/>
        <v>1698.0600000000002</v>
      </c>
    </row>
    <row r="90" spans="2:163" ht="18.75" hidden="1">
      <c r="F90" s="201" t="s">
        <v>1143</v>
      </c>
      <c r="G90" s="201">
        <f>COUNTIF(E93:E106,"dubbel")</f>
        <v>0</v>
      </c>
      <c r="H90" s="202"/>
      <c r="AK90" s="49" t="s">
        <v>819</v>
      </c>
      <c r="AY90" s="371" t="s">
        <v>1762</v>
      </c>
      <c r="AZ90" s="441" t="s">
        <v>1757</v>
      </c>
      <c r="BA90" s="442">
        <v>75.65762004175366</v>
      </c>
      <c r="BB90" s="121"/>
      <c r="BS90" s="49">
        <v>503</v>
      </c>
      <c r="BT90" s="49" t="s">
        <v>681</v>
      </c>
      <c r="EW90" s="49" t="s">
        <v>854</v>
      </c>
      <c r="EX90" s="49" t="s">
        <v>927</v>
      </c>
      <c r="FB90" s="49" t="s">
        <v>661</v>
      </c>
      <c r="FC90" s="49" t="s">
        <v>946</v>
      </c>
      <c r="FD90" s="49" t="s">
        <v>16</v>
      </c>
      <c r="FE90" s="49" t="str">
        <f t="shared" si="63"/>
        <v>4zgvisVPT</v>
      </c>
      <c r="FF90" s="70">
        <f t="shared" si="49"/>
        <v>319.08999999999997</v>
      </c>
      <c r="FG90" s="70">
        <f t="shared" si="50"/>
        <v>2233.6299999999997</v>
      </c>
    </row>
    <row r="91" spans="2:163" ht="18.75" hidden="1">
      <c r="C91" s="401"/>
      <c r="D91" s="401"/>
      <c r="E91" s="401"/>
      <c r="F91" s="401"/>
      <c r="G91" s="401"/>
      <c r="H91" s="402"/>
      <c r="I91" s="403"/>
      <c r="J91" s="403"/>
      <c r="K91" s="403"/>
      <c r="L91" s="404"/>
      <c r="AK91" s="49" t="s">
        <v>820</v>
      </c>
      <c r="AY91" s="1" t="s">
        <v>1354</v>
      </c>
      <c r="AZ91" s="192" t="s">
        <v>1348</v>
      </c>
      <c r="BA91" s="120">
        <f>VLOOKUP(AZ91,Tarieven_ZIN1,2,0)</f>
        <v>181.61</v>
      </c>
      <c r="BB91" s="121"/>
      <c r="BS91" s="49">
        <v>504</v>
      </c>
      <c r="BT91" s="49" t="s">
        <v>681</v>
      </c>
      <c r="EW91" s="49" t="s">
        <v>858</v>
      </c>
      <c r="EX91" s="49" t="s">
        <v>931</v>
      </c>
      <c r="FB91" s="49" t="s">
        <v>662</v>
      </c>
      <c r="FC91" s="49" t="s">
        <v>947</v>
      </c>
      <c r="FD91" s="49" t="s">
        <v>16</v>
      </c>
      <c r="FE91" s="49" t="str">
        <f t="shared" si="63"/>
        <v>5zgvisVPT</v>
      </c>
      <c r="FF91" s="70">
        <f t="shared" si="49"/>
        <v>351.05</v>
      </c>
      <c r="FG91" s="70">
        <f>FF91*7</f>
        <v>2457.35</v>
      </c>
    </row>
    <row r="92" spans="2:163" ht="18.75" hidden="1">
      <c r="C92" s="401"/>
      <c r="D92" s="401"/>
      <c r="E92" s="401"/>
      <c r="F92" s="401"/>
      <c r="G92" s="401"/>
      <c r="H92" s="402"/>
      <c r="I92" s="403"/>
      <c r="J92" s="403"/>
      <c r="K92" s="403"/>
      <c r="L92" s="404"/>
      <c r="AK92" s="49" t="s">
        <v>821</v>
      </c>
      <c r="AY92" s="1" t="s">
        <v>1355</v>
      </c>
      <c r="AZ92" s="192" t="s">
        <v>1349</v>
      </c>
      <c r="BA92" s="120">
        <f t="shared" si="62"/>
        <v>314.94</v>
      </c>
      <c r="BB92" s="121"/>
      <c r="BS92" s="49">
        <v>505</v>
      </c>
      <c r="BT92" s="49" t="s">
        <v>682</v>
      </c>
      <c r="EW92" s="49" t="s">
        <v>862</v>
      </c>
      <c r="EX92" s="49" t="s">
        <v>935</v>
      </c>
      <c r="FC92" s="316"/>
      <c r="FD92" s="49" t="s">
        <v>317</v>
      </c>
      <c r="FE92" s="49" t="str">
        <f>CONCATENATE(FD92,$FH$1)</f>
        <v>1VVDTV</v>
      </c>
      <c r="FF92" s="70">
        <v>1</v>
      </c>
      <c r="FG92" s="70">
        <f t="shared" ref="FG92:FG93" si="65">FF92*7</f>
        <v>7</v>
      </c>
    </row>
    <row r="93" spans="2:163" ht="18.75" hidden="1">
      <c r="B93" s="201" t="str">
        <f>IF(AND(B65=0,B52=1),E18,IF(AND(B65=0,B52=0),E18,"geen AGB"))</f>
        <v>geen AGB</v>
      </c>
      <c r="C93" s="401" t="s">
        <v>1129</v>
      </c>
      <c r="D93" s="405">
        <f t="shared" ref="D93:D106" si="66">E18</f>
        <v>0</v>
      </c>
      <c r="E93" s="406">
        <v>1</v>
      </c>
      <c r="F93" s="401">
        <f t="shared" ref="F93:F106" si="67">E18</f>
        <v>0</v>
      </c>
      <c r="G93" s="401">
        <v>1</v>
      </c>
      <c r="H93" s="407"/>
      <c r="I93" s="403"/>
      <c r="J93" s="403"/>
      <c r="K93" s="403"/>
      <c r="L93" s="404"/>
      <c r="M93" s="357">
        <v>1</v>
      </c>
      <c r="AK93" s="49" t="s">
        <v>822</v>
      </c>
      <c r="AY93" s="1" t="s">
        <v>1356</v>
      </c>
      <c r="AZ93" s="192" t="s">
        <v>1350</v>
      </c>
      <c r="BA93" s="120">
        <f t="shared" si="62"/>
        <v>290.47000000000003</v>
      </c>
      <c r="BB93" s="121"/>
      <c r="BS93" s="49">
        <v>506</v>
      </c>
      <c r="BT93" s="49" t="s">
        <v>681</v>
      </c>
      <c r="EW93" s="49" t="s">
        <v>864</v>
      </c>
      <c r="EX93" s="49" t="s">
        <v>753</v>
      </c>
      <c r="FC93" s="316"/>
      <c r="FD93" s="49" t="s">
        <v>318</v>
      </c>
      <c r="FE93" s="49" t="str">
        <f t="shared" ref="FE93:FE136" si="68">CONCATENATE(FD93,$FH$1)</f>
        <v>2VVDTV</v>
      </c>
      <c r="FF93" s="70">
        <v>1</v>
      </c>
      <c r="FG93" s="70">
        <f t="shared" si="65"/>
        <v>7</v>
      </c>
    </row>
    <row r="94" spans="2:163" ht="18.75" hidden="1">
      <c r="B94" s="201" t="str">
        <f>IF(AND(D64=1,D51=2),"",IF(AND(D51=0,D64=0),"",E19))</f>
        <v/>
      </c>
      <c r="C94" s="401" t="s">
        <v>1130</v>
      </c>
      <c r="D94" s="405">
        <f t="shared" si="66"/>
        <v>0</v>
      </c>
      <c r="E94" s="406">
        <f>IF(D94&lt;&gt;D93,E93+1,E93)</f>
        <v>1</v>
      </c>
      <c r="F94" s="401">
        <f t="shared" si="67"/>
        <v>0</v>
      </c>
      <c r="G94" s="401" t="str">
        <f>IF(E94=2,2,IF($E$95=3,3,IF($E$96=4,4,IF($E$97=5,5,IF($E$98=6,6,IF($E$99=7,7,IF($E$100=8,8,IF($E$101=9,9,IF($E$102=10,10,IF($E$103=11,11,IF($E$104=12,12,IF($E$105=13,13,IF($E$106=14,14,"onwaar")))))))))))))</f>
        <v>onwaar</v>
      </c>
      <c r="H94" s="407"/>
      <c r="I94" s="403"/>
      <c r="J94" s="403"/>
      <c r="K94" s="403"/>
      <c r="L94" s="404"/>
      <c r="M94" s="357">
        <v>2</v>
      </c>
      <c r="AK94" s="49" t="s">
        <v>299</v>
      </c>
      <c r="AY94" s="1" t="s">
        <v>1357</v>
      </c>
      <c r="AZ94" s="192" t="s">
        <v>1351</v>
      </c>
      <c r="BA94" s="120">
        <f t="shared" si="62"/>
        <v>371.13</v>
      </c>
      <c r="BB94" s="121"/>
      <c r="BS94" s="49">
        <v>507</v>
      </c>
      <c r="BT94" s="49" t="s">
        <v>681</v>
      </c>
      <c r="EW94" s="49" t="s">
        <v>866</v>
      </c>
      <c r="EX94" s="49" t="s">
        <v>937</v>
      </c>
      <c r="FC94" s="1" t="s">
        <v>1353</v>
      </c>
      <c r="FD94" s="49" t="s">
        <v>319</v>
      </c>
      <c r="FE94" s="49" t="str">
        <f t="shared" si="68"/>
        <v>3VVDTV</v>
      </c>
      <c r="FF94" s="70">
        <v>1</v>
      </c>
      <c r="FG94" s="70">
        <f>FF94*7</f>
        <v>7</v>
      </c>
    </row>
    <row r="95" spans="2:163" ht="18.75" hidden="1">
      <c r="C95" s="401" t="s">
        <v>1131</v>
      </c>
      <c r="D95" s="405">
        <f t="shared" si="66"/>
        <v>0</v>
      </c>
      <c r="E95" s="406">
        <f>IF(AND(D95&lt;&gt;D94,D95&lt;&gt;D93),E94+1,E94)</f>
        <v>1</v>
      </c>
      <c r="F95" s="401">
        <f t="shared" si="67"/>
        <v>0</v>
      </c>
      <c r="G95" s="401" t="str">
        <f>IF($E$96=4,4,IF($E$97=5,5,IF($E$98=6,6,IF($E$99=7,7,IF($E$100=8,8,IF($E$101=9,9,IF($E$102=10,10,IF($E$103=11,11,IF($E$104=12,12,IF($E$105=13,13,IF($E$106=14,14,"onwaar")))))))))))</f>
        <v>onwaar</v>
      </c>
      <c r="H95" s="407"/>
      <c r="I95" s="403"/>
      <c r="J95" s="481"/>
      <c r="K95" s="481"/>
      <c r="L95" s="404"/>
      <c r="M95" s="357">
        <v>3</v>
      </c>
      <c r="AK95" s="49" t="s">
        <v>823</v>
      </c>
      <c r="AY95" s="1" t="s">
        <v>1358</v>
      </c>
      <c r="AZ95" s="192" t="s">
        <v>1352</v>
      </c>
      <c r="BA95" s="120">
        <f t="shared" si="62"/>
        <v>480.85</v>
      </c>
      <c r="BB95" s="121"/>
      <c r="BS95" s="49">
        <v>508</v>
      </c>
      <c r="BT95" s="49" t="s">
        <v>682</v>
      </c>
      <c r="EW95" s="49" t="s">
        <v>865</v>
      </c>
      <c r="EX95" s="49" t="s">
        <v>754</v>
      </c>
      <c r="FC95" s="1" t="s">
        <v>1354</v>
      </c>
      <c r="FD95" s="49" t="s">
        <v>320</v>
      </c>
      <c r="FE95" s="49" t="str">
        <f t="shared" si="68"/>
        <v>4VVDTV</v>
      </c>
      <c r="FF95" s="70">
        <f>VLOOKUP(FC95,Tarieven_ZIN0,3,0)</f>
        <v>181.61</v>
      </c>
      <c r="FG95" s="70">
        <f t="shared" ref="FG95:FG136" si="69">FF95*7</f>
        <v>1271.27</v>
      </c>
    </row>
    <row r="96" spans="2:163" ht="18.75" hidden="1">
      <c r="C96" s="401" t="s">
        <v>1132</v>
      </c>
      <c r="D96" s="405">
        <f t="shared" si="66"/>
        <v>0</v>
      </c>
      <c r="E96" s="406">
        <f>IF(AND(D96&lt;&gt;D95,D96&lt;&gt;D94,D96&lt;&gt;D93),E95+1,E95)</f>
        <v>1</v>
      </c>
      <c r="F96" s="401">
        <f t="shared" si="67"/>
        <v>0</v>
      </c>
      <c r="G96" s="401" t="str">
        <f t="shared" ref="G96:G106" si="70">IF(E96=2,2,IF($E$95=3,3,IF($E$96=4,4,IF($E$97=5,5,IF($E$98=6,6,IF($E$99=7,7,IF($E$100=8,8,IF($E$101=9,9,IF($E$102=10,10,IF($E$103=11,11,IF($E$104=12,12,IF($E$105=13,13,IF($E$106=14,14,"onwaar")))))))))))))</f>
        <v>onwaar</v>
      </c>
      <c r="H96" s="407"/>
      <c r="I96" s="403"/>
      <c r="J96" s="481"/>
      <c r="K96" s="481"/>
      <c r="L96" s="404"/>
      <c r="M96" s="357">
        <v>4</v>
      </c>
      <c r="AK96" s="49" t="s">
        <v>299</v>
      </c>
      <c r="AY96" s="1" t="s">
        <v>1365</v>
      </c>
      <c r="AZ96" s="192" t="s">
        <v>1359</v>
      </c>
      <c r="BA96" s="120">
        <f t="shared" si="62"/>
        <v>150.97999999999999</v>
      </c>
      <c r="BB96" s="121"/>
      <c r="BS96" s="49">
        <v>509</v>
      </c>
      <c r="BT96" s="49" t="s">
        <v>681</v>
      </c>
      <c r="EW96" s="49" t="s">
        <v>867</v>
      </c>
      <c r="EX96" s="49" t="s">
        <v>938</v>
      </c>
      <c r="FC96" s="1" t="s">
        <v>1355</v>
      </c>
      <c r="FD96" s="49" t="s">
        <v>321</v>
      </c>
      <c r="FE96" s="49" t="str">
        <f t="shared" si="68"/>
        <v>5VVDTV</v>
      </c>
      <c r="FF96" s="70">
        <f>VLOOKUP(FC96,Tarieven_ZIN0,3,0)</f>
        <v>314.94</v>
      </c>
      <c r="FG96" s="70">
        <f t="shared" si="69"/>
        <v>2204.58</v>
      </c>
    </row>
    <row r="97" spans="2:163" ht="18.75" hidden="1">
      <c r="C97" s="401" t="s">
        <v>1133</v>
      </c>
      <c r="D97" s="405">
        <f t="shared" si="66"/>
        <v>0</v>
      </c>
      <c r="E97" s="406">
        <f>IF(AND(D97&lt;&gt;D96,D97&lt;&gt;D95,D97&lt;&gt;D94,D97&lt;&gt;D93),E96+1,E96)</f>
        <v>1</v>
      </c>
      <c r="F97" s="401">
        <f t="shared" si="67"/>
        <v>0</v>
      </c>
      <c r="G97" s="401" t="str">
        <f t="shared" si="70"/>
        <v>onwaar</v>
      </c>
      <c r="H97" s="407"/>
      <c r="I97" s="403"/>
      <c r="J97" s="481"/>
      <c r="K97" s="481"/>
      <c r="L97" s="404"/>
      <c r="M97" s="357">
        <v>5</v>
      </c>
      <c r="O97" s="392">
        <f>IF(AND(D98&lt;&gt;D97,D98&lt;&gt;D96,D98&lt;&gt;D95,D96&lt;&gt;D94,D96&lt;&gt;D93),E97+1,E97)</f>
        <v>1</v>
      </c>
      <c r="AK97" s="49" t="s">
        <v>824</v>
      </c>
      <c r="AY97" s="1" t="s">
        <v>1366</v>
      </c>
      <c r="AZ97" s="192" t="s">
        <v>1360</v>
      </c>
      <c r="BA97" s="120">
        <f t="shared" si="62"/>
        <v>182.55</v>
      </c>
      <c r="BB97" s="121"/>
      <c r="BS97" s="49">
        <v>510</v>
      </c>
      <c r="BT97" s="49" t="s">
        <v>681</v>
      </c>
      <c r="EW97" s="49" t="s">
        <v>868</v>
      </c>
      <c r="EX97" s="49" t="s">
        <v>755</v>
      </c>
      <c r="FC97" s="1" t="s">
        <v>1356</v>
      </c>
      <c r="FD97" s="49" t="s">
        <v>322</v>
      </c>
      <c r="FE97" s="49" t="str">
        <f t="shared" si="68"/>
        <v>6VVDTV</v>
      </c>
      <c r="FF97" s="70">
        <f>VLOOKUP(FC97,Tarieven_ZIN0,3,0)</f>
        <v>290.47000000000003</v>
      </c>
      <c r="FG97" s="70">
        <f t="shared" si="69"/>
        <v>2033.2900000000002</v>
      </c>
    </row>
    <row r="98" spans="2:163" ht="18.75" hidden="1">
      <c r="C98" s="401" t="s">
        <v>1134</v>
      </c>
      <c r="D98" s="405">
        <f t="shared" si="66"/>
        <v>0</v>
      </c>
      <c r="E98" s="406">
        <f>IF(AND(D98&lt;&gt;D97,D98&lt;&gt;D96,D98&lt;&gt;D95,D98&lt;&gt;D94,D98&lt;&gt;D93),E97+1,E97)</f>
        <v>1</v>
      </c>
      <c r="F98" s="401">
        <f t="shared" si="67"/>
        <v>0</v>
      </c>
      <c r="G98" s="401" t="str">
        <f t="shared" si="70"/>
        <v>onwaar</v>
      </c>
      <c r="H98" s="407"/>
      <c r="I98" s="403"/>
      <c r="J98" s="481"/>
      <c r="K98" s="481"/>
      <c r="L98" s="404"/>
      <c r="M98" s="357">
        <v>6</v>
      </c>
      <c r="O98" s="406">
        <f>IF(AND(D98&lt;&gt;D97,D98&lt;&gt;D96,D98&lt;&gt;D95,D98&lt;&gt;D94,D98&lt;&gt;D93),D98+1,D98)</f>
        <v>0</v>
      </c>
      <c r="AK98" s="49" t="s">
        <v>825</v>
      </c>
      <c r="AY98" s="1" t="s">
        <v>1367</v>
      </c>
      <c r="AZ98" s="192" t="s">
        <v>1361</v>
      </c>
      <c r="BA98" s="120">
        <f t="shared" si="62"/>
        <v>220.47</v>
      </c>
      <c r="BB98" s="121"/>
      <c r="BS98" s="49">
        <v>511</v>
      </c>
      <c r="BT98" s="49" t="s">
        <v>681</v>
      </c>
      <c r="EW98" s="49" t="s">
        <v>874</v>
      </c>
      <c r="EX98" s="49" t="s">
        <v>942</v>
      </c>
      <c r="FC98" s="1" t="s">
        <v>1357</v>
      </c>
      <c r="FD98" s="49" t="s">
        <v>323</v>
      </c>
      <c r="FE98" s="49" t="str">
        <f t="shared" si="68"/>
        <v>7VVDTV</v>
      </c>
      <c r="FF98" s="70">
        <f>VLOOKUP(FC98,Tarieven_ZIN0,3,0)</f>
        <v>371.13</v>
      </c>
      <c r="FG98" s="70">
        <f t="shared" si="69"/>
        <v>2597.91</v>
      </c>
    </row>
    <row r="99" spans="2:163" ht="18.75" hidden="1">
      <c r="C99" s="401" t="s">
        <v>1135</v>
      </c>
      <c r="D99" s="405">
        <f t="shared" si="66"/>
        <v>0</v>
      </c>
      <c r="E99" s="406">
        <f>IF(AND(D99&lt;&gt;D98,D99&lt;&gt;D97,D99&lt;&gt;D96,D99&lt;&gt;D95,D99&lt;&gt;D94,D99&lt;&gt;D93),E98+1,E98)</f>
        <v>1</v>
      </c>
      <c r="F99" s="401">
        <f t="shared" si="67"/>
        <v>0</v>
      </c>
      <c r="G99" s="401" t="str">
        <f t="shared" si="70"/>
        <v>onwaar</v>
      </c>
      <c r="H99" s="407"/>
      <c r="I99" s="403"/>
      <c r="J99" s="481"/>
      <c r="K99" s="481"/>
      <c r="L99" s="404"/>
      <c r="M99" s="357">
        <v>7</v>
      </c>
      <c r="AK99" s="49" t="s">
        <v>826</v>
      </c>
      <c r="AY99" s="1" t="s">
        <v>1368</v>
      </c>
      <c r="AZ99" s="192" t="s">
        <v>1362</v>
      </c>
      <c r="BA99" s="120">
        <f t="shared" si="62"/>
        <v>192.75</v>
      </c>
      <c r="BB99" s="121"/>
      <c r="BS99" s="49">
        <v>512</v>
      </c>
      <c r="BT99" s="49" t="s">
        <v>681</v>
      </c>
      <c r="EW99" s="49" t="s">
        <v>871</v>
      </c>
      <c r="EX99" s="49" t="s">
        <v>939</v>
      </c>
      <c r="FC99" s="1" t="s">
        <v>1358</v>
      </c>
      <c r="FD99" s="49" t="s">
        <v>324</v>
      </c>
      <c r="FE99" s="49" t="str">
        <f t="shared" si="68"/>
        <v>8VVDTV</v>
      </c>
      <c r="FF99" s="70">
        <f>VLOOKUP(FC99,Tarieven_ZIN0,3,0)</f>
        <v>480.85</v>
      </c>
      <c r="FG99" s="70">
        <f t="shared" si="69"/>
        <v>3365.9500000000003</v>
      </c>
    </row>
    <row r="100" spans="2:163" ht="18.75" hidden="1">
      <c r="C100" s="401" t="s">
        <v>1136</v>
      </c>
      <c r="D100" s="405">
        <f t="shared" si="66"/>
        <v>0</v>
      </c>
      <c r="E100" s="406">
        <f>IF(AND(D100&lt;&gt;D99,D100&lt;&gt;D98,D100&lt;&gt;D97,D100&lt;&gt;D96,D100&lt;&gt;D95,D100&lt;&gt;D94,D100&lt;&gt;D93),E99+1,E99)</f>
        <v>1</v>
      </c>
      <c r="F100" s="401">
        <f t="shared" si="67"/>
        <v>0</v>
      </c>
      <c r="G100" s="401" t="str">
        <f t="shared" si="70"/>
        <v>onwaar</v>
      </c>
      <c r="H100" s="407"/>
      <c r="I100" s="403"/>
      <c r="J100" s="481"/>
      <c r="K100" s="481"/>
      <c r="L100" s="404"/>
      <c r="M100" s="357">
        <v>8</v>
      </c>
      <c r="AK100" s="49" t="s">
        <v>827</v>
      </c>
      <c r="AY100" s="1" t="s">
        <v>1369</v>
      </c>
      <c r="AZ100" s="192" t="s">
        <v>1363</v>
      </c>
      <c r="BA100" s="120">
        <f t="shared" si="62"/>
        <v>238.75</v>
      </c>
      <c r="BB100" s="5"/>
      <c r="BS100" s="49">
        <v>513</v>
      </c>
      <c r="BT100" s="49" t="s">
        <v>681</v>
      </c>
      <c r="EW100" s="49" t="s">
        <v>877</v>
      </c>
      <c r="EX100" s="49" t="s">
        <v>945</v>
      </c>
      <c r="FC100" s="1"/>
      <c r="FD100" s="49" t="s">
        <v>1337</v>
      </c>
      <c r="FE100" s="49" t="str">
        <f t="shared" si="68"/>
        <v>9VVDTV</v>
      </c>
      <c r="FF100" s="70">
        <v>1</v>
      </c>
      <c r="FG100" s="70">
        <f t="shared" si="69"/>
        <v>7</v>
      </c>
    </row>
    <row r="101" spans="2:163" ht="18.75" hidden="1">
      <c r="C101" s="401" t="s">
        <v>1137</v>
      </c>
      <c r="D101" s="405">
        <f t="shared" si="66"/>
        <v>0</v>
      </c>
      <c r="E101" s="406">
        <f>IF(AND(D101&lt;&gt;D100,D101&lt;&gt;D99,D101&lt;&gt;D98,D101&lt;&gt;D97,D101&lt;&gt;D96,D101&lt;&gt;D95,D101&lt;&gt;D94,D101&lt;&gt;D93),E100+1,E100)</f>
        <v>1</v>
      </c>
      <c r="F101" s="401">
        <f t="shared" si="67"/>
        <v>0</v>
      </c>
      <c r="G101" s="401" t="str">
        <f t="shared" si="70"/>
        <v>onwaar</v>
      </c>
      <c r="H101" s="407"/>
      <c r="I101" s="403"/>
      <c r="J101" s="403"/>
      <c r="K101" s="403"/>
      <c r="L101" s="404"/>
      <c r="M101" s="357">
        <v>9</v>
      </c>
      <c r="AK101" s="49" t="s">
        <v>828</v>
      </c>
      <c r="AY101" s="1" t="s">
        <v>1370</v>
      </c>
      <c r="AZ101" s="192" t="s">
        <v>1364</v>
      </c>
      <c r="BA101" s="120">
        <f t="shared" si="62"/>
        <v>261.70999999999998</v>
      </c>
      <c r="BB101" s="5"/>
      <c r="BS101" s="49">
        <v>514</v>
      </c>
      <c r="BT101" s="49" t="s">
        <v>681</v>
      </c>
      <c r="EW101" s="49" t="s">
        <v>869</v>
      </c>
      <c r="EX101" s="49" t="s">
        <v>756</v>
      </c>
      <c r="FC101" s="1"/>
      <c r="FD101" s="49" t="s">
        <v>326</v>
      </c>
      <c r="FE101" s="49" t="str">
        <f t="shared" si="68"/>
        <v>10VVDTV</v>
      </c>
      <c r="FF101" s="70">
        <v>1</v>
      </c>
      <c r="FG101" s="70">
        <f t="shared" si="69"/>
        <v>7</v>
      </c>
    </row>
    <row r="102" spans="2:163" ht="18.75" hidden="1">
      <c r="C102" s="401" t="s">
        <v>1138</v>
      </c>
      <c r="D102" s="405">
        <f t="shared" si="66"/>
        <v>0</v>
      </c>
      <c r="E102" s="406">
        <f>IF(AND(D102&lt;&gt;D101,D102&lt;&gt;D100,D102&lt;&gt;D99,D102&lt;&gt;D98,D102&lt;&gt;D97,D102&lt;&gt;D96,D102&lt;&gt;D95,D102&lt;&gt;D94,D102&lt;&gt;D93),E101+1,E101)</f>
        <v>1</v>
      </c>
      <c r="F102" s="401">
        <f t="shared" si="67"/>
        <v>0</v>
      </c>
      <c r="G102" s="401" t="str">
        <f t="shared" si="70"/>
        <v>onwaar</v>
      </c>
      <c r="H102" s="407"/>
      <c r="I102" s="403"/>
      <c r="J102" s="403"/>
      <c r="K102" s="403"/>
      <c r="L102" s="404"/>
      <c r="M102" s="357">
        <v>10</v>
      </c>
      <c r="AK102" s="49" t="s">
        <v>829</v>
      </c>
      <c r="AY102" s="1" t="s">
        <v>1376</v>
      </c>
      <c r="AZ102" s="192" t="s">
        <v>1371</v>
      </c>
      <c r="BA102" s="120">
        <f t="shared" si="62"/>
        <v>177.28</v>
      </c>
      <c r="BB102" s="5"/>
      <c r="BS102" s="49">
        <v>515</v>
      </c>
      <c r="BT102" s="49" t="s">
        <v>681</v>
      </c>
      <c r="EW102" s="49" t="s">
        <v>872</v>
      </c>
      <c r="EX102" s="49" t="s">
        <v>940</v>
      </c>
      <c r="FC102" s="1"/>
      <c r="FD102" s="49" t="s">
        <v>327</v>
      </c>
      <c r="FE102" s="49" t="str">
        <f t="shared" si="68"/>
        <v>1VGDTV</v>
      </c>
      <c r="FF102" s="70">
        <v>1</v>
      </c>
      <c r="FG102" s="70">
        <f t="shared" si="69"/>
        <v>7</v>
      </c>
    </row>
    <row r="103" spans="2:163" ht="18.75" hidden="1">
      <c r="C103" s="401" t="s">
        <v>1139</v>
      </c>
      <c r="D103" s="405">
        <f t="shared" si="66"/>
        <v>0</v>
      </c>
      <c r="E103" s="406"/>
      <c r="F103" s="401">
        <f t="shared" si="67"/>
        <v>0</v>
      </c>
      <c r="G103" s="401" t="str">
        <f t="shared" si="70"/>
        <v>onwaar</v>
      </c>
      <c r="H103" s="407"/>
      <c r="I103" s="403"/>
      <c r="J103" s="403"/>
      <c r="K103" s="403"/>
      <c r="L103" s="404"/>
      <c r="M103" s="357">
        <v>11</v>
      </c>
      <c r="AK103" s="49" t="s">
        <v>830</v>
      </c>
      <c r="AY103" s="1" t="s">
        <v>1377</v>
      </c>
      <c r="AZ103" s="192" t="s">
        <v>1372</v>
      </c>
      <c r="BA103" s="120">
        <f t="shared" ref="BA103:BA125" si="71">VLOOKUP(AZ103,Tarieven_ZIN1,2,0)</f>
        <v>210.31</v>
      </c>
      <c r="BB103" s="5"/>
      <c r="BS103" s="49">
        <v>516</v>
      </c>
      <c r="BT103" s="49" t="s">
        <v>681</v>
      </c>
      <c r="EW103" s="49" t="s">
        <v>875</v>
      </c>
      <c r="EX103" s="49" t="s">
        <v>943</v>
      </c>
      <c r="FC103" s="1"/>
      <c r="FD103" s="49" t="s">
        <v>328</v>
      </c>
      <c r="FE103" s="49" t="str">
        <f t="shared" si="68"/>
        <v>2VGDTV</v>
      </c>
      <c r="FF103" s="70">
        <v>1</v>
      </c>
      <c r="FG103" s="70">
        <f t="shared" si="69"/>
        <v>7</v>
      </c>
    </row>
    <row r="104" spans="2:163" ht="18.75" hidden="1">
      <c r="C104" s="401" t="s">
        <v>1140</v>
      </c>
      <c r="D104" s="405">
        <f t="shared" si="66"/>
        <v>0</v>
      </c>
      <c r="E104" s="406"/>
      <c r="F104" s="401">
        <f t="shared" si="67"/>
        <v>0</v>
      </c>
      <c r="G104" s="401" t="str">
        <f t="shared" si="70"/>
        <v>onwaar</v>
      </c>
      <c r="H104" s="407"/>
      <c r="I104" s="403"/>
      <c r="J104" s="403"/>
      <c r="K104" s="403"/>
      <c r="L104" s="404"/>
      <c r="M104" s="357">
        <v>12</v>
      </c>
      <c r="AK104" s="49" t="s">
        <v>831</v>
      </c>
      <c r="AY104" s="1" t="s">
        <v>1378</v>
      </c>
      <c r="AZ104" s="192" t="s">
        <v>1373</v>
      </c>
      <c r="BA104" s="120">
        <f t="shared" si="71"/>
        <v>210.58</v>
      </c>
      <c r="BB104" s="5"/>
      <c r="BS104" s="49">
        <v>580</v>
      </c>
      <c r="BT104" s="49" t="s">
        <v>681</v>
      </c>
      <c r="EW104" s="49" t="s">
        <v>878</v>
      </c>
      <c r="EX104" s="49" t="s">
        <v>946</v>
      </c>
      <c r="FC104" s="1" t="s">
        <v>1365</v>
      </c>
      <c r="FD104" s="49" t="s">
        <v>329</v>
      </c>
      <c r="FE104" s="49" t="str">
        <f t="shared" si="68"/>
        <v>3VGDTV</v>
      </c>
      <c r="FF104" s="70">
        <f t="shared" ref="FF104:FF109" si="72">VLOOKUP(FC104,Tarieven_ZIN0,3,0)</f>
        <v>150.97999999999999</v>
      </c>
      <c r="FG104" s="70">
        <f t="shared" si="69"/>
        <v>1056.8599999999999</v>
      </c>
    </row>
    <row r="105" spans="2:163" ht="18.75" hidden="1">
      <c r="C105" s="401" t="s">
        <v>1141</v>
      </c>
      <c r="D105" s="405">
        <f t="shared" si="66"/>
        <v>0</v>
      </c>
      <c r="E105" s="406"/>
      <c r="F105" s="401">
        <f t="shared" si="67"/>
        <v>0</v>
      </c>
      <c r="G105" s="401" t="str">
        <f t="shared" si="70"/>
        <v>onwaar</v>
      </c>
      <c r="H105" s="407"/>
      <c r="I105" s="403"/>
      <c r="J105" s="403"/>
      <c r="K105" s="403"/>
      <c r="L105" s="404"/>
      <c r="M105" s="357">
        <v>13</v>
      </c>
      <c r="AK105" s="49" t="s">
        <v>832</v>
      </c>
      <c r="AY105" s="1" t="s">
        <v>1385</v>
      </c>
      <c r="AZ105" s="192" t="s">
        <v>1374</v>
      </c>
      <c r="BA105" s="120">
        <f t="shared" si="71"/>
        <v>296.16000000000003</v>
      </c>
      <c r="BB105" s="5"/>
      <c r="BS105" s="49">
        <v>584</v>
      </c>
      <c r="BT105" s="49" t="s">
        <v>681</v>
      </c>
      <c r="EW105" s="49" t="s">
        <v>870</v>
      </c>
      <c r="EX105" s="49" t="s">
        <v>757</v>
      </c>
      <c r="FC105" s="1" t="s">
        <v>1366</v>
      </c>
      <c r="FD105" s="49" t="s">
        <v>330</v>
      </c>
      <c r="FE105" s="49" t="str">
        <f t="shared" si="68"/>
        <v>4VGDTV</v>
      </c>
      <c r="FF105" s="70">
        <f t="shared" si="72"/>
        <v>182.55</v>
      </c>
      <c r="FG105" s="70">
        <f t="shared" si="69"/>
        <v>1277.8500000000001</v>
      </c>
    </row>
    <row r="106" spans="2:163" ht="18.75" hidden="1">
      <c r="C106" s="401" t="s">
        <v>1142</v>
      </c>
      <c r="D106" s="405">
        <f t="shared" si="66"/>
        <v>0</v>
      </c>
      <c r="E106" s="406"/>
      <c r="F106" s="401">
        <f t="shared" si="67"/>
        <v>0</v>
      </c>
      <c r="G106" s="401" t="str">
        <f t="shared" si="70"/>
        <v>onwaar</v>
      </c>
      <c r="H106" s="407"/>
      <c r="I106" s="403"/>
      <c r="J106" s="403"/>
      <c r="K106" s="403"/>
      <c r="L106" s="404"/>
      <c r="M106" s="357">
        <v>14</v>
      </c>
      <c r="AK106" s="49" t="s">
        <v>833</v>
      </c>
      <c r="AY106" s="1" t="s">
        <v>1379</v>
      </c>
      <c r="AZ106" s="192" t="s">
        <v>1375</v>
      </c>
      <c r="BA106" s="120">
        <f t="shared" si="71"/>
        <v>318.85000000000002</v>
      </c>
      <c r="BB106" s="5"/>
      <c r="BS106" s="49">
        <v>585</v>
      </c>
      <c r="BT106" s="49" t="s">
        <v>681</v>
      </c>
      <c r="EW106" s="49" t="s">
        <v>873</v>
      </c>
      <c r="EX106" s="49" t="s">
        <v>941</v>
      </c>
      <c r="FC106" s="1" t="s">
        <v>1367</v>
      </c>
      <c r="FD106" s="49" t="s">
        <v>331</v>
      </c>
      <c r="FE106" s="49" t="str">
        <f t="shared" si="68"/>
        <v>5VGDTV</v>
      </c>
      <c r="FF106" s="70">
        <f t="shared" si="72"/>
        <v>220.47</v>
      </c>
      <c r="FG106" s="70">
        <f t="shared" si="69"/>
        <v>1543.29</v>
      </c>
    </row>
    <row r="107" spans="2:163" ht="18.75" hidden="1">
      <c r="C107" s="401"/>
      <c r="D107" s="405"/>
      <c r="E107" s="406"/>
      <c r="F107" s="401"/>
      <c r="G107" s="401"/>
      <c r="H107" s="402"/>
      <c r="I107" s="403"/>
      <c r="J107" s="403"/>
      <c r="K107" s="403"/>
      <c r="L107" s="404"/>
      <c r="AK107" s="49" t="s">
        <v>834</v>
      </c>
      <c r="AY107" s="353" t="s">
        <v>1536</v>
      </c>
      <c r="AZ107" s="356" t="s">
        <v>1531</v>
      </c>
      <c r="BA107" s="120">
        <f t="shared" si="71"/>
        <v>177.06</v>
      </c>
      <c r="BB107" s="5"/>
      <c r="BR107" s="49">
        <v>1</v>
      </c>
      <c r="BS107" s="49">
        <f>BR107+1000</f>
        <v>1001</v>
      </c>
      <c r="BT107" s="49" t="s">
        <v>612</v>
      </c>
      <c r="EW107" s="49" t="s">
        <v>876</v>
      </c>
      <c r="EX107" s="49" t="s">
        <v>944</v>
      </c>
      <c r="FC107" s="1" t="s">
        <v>1368</v>
      </c>
      <c r="FD107" s="49" t="s">
        <v>332</v>
      </c>
      <c r="FE107" s="49" t="str">
        <f t="shared" si="68"/>
        <v>6VGDTV</v>
      </c>
      <c r="FF107" s="70">
        <f t="shared" si="72"/>
        <v>192.75</v>
      </c>
      <c r="FG107" s="70">
        <f t="shared" si="69"/>
        <v>1349.25</v>
      </c>
    </row>
    <row r="108" spans="2:163" ht="18.75" hidden="1">
      <c r="C108" s="401"/>
      <c r="D108" s="405"/>
      <c r="E108" s="406"/>
      <c r="F108" s="401"/>
      <c r="G108" s="401"/>
      <c r="H108" s="402"/>
      <c r="I108" s="403"/>
      <c r="J108" s="403"/>
      <c r="K108" s="403"/>
      <c r="L108" s="404"/>
      <c r="AK108" s="49" t="s">
        <v>835</v>
      </c>
      <c r="AY108" s="353" t="s">
        <v>1592</v>
      </c>
      <c r="AZ108" s="356" t="s">
        <v>1532</v>
      </c>
      <c r="BA108" s="120">
        <f t="shared" si="71"/>
        <v>207.65</v>
      </c>
      <c r="BB108" s="5"/>
      <c r="BR108" s="49">
        <v>2</v>
      </c>
      <c r="BS108" s="49">
        <f t="shared" ref="BS108:BS171" si="73">BR108+1000</f>
        <v>1002</v>
      </c>
      <c r="BT108" s="49" t="s">
        <v>613</v>
      </c>
      <c r="EW108" s="49" t="s">
        <v>879</v>
      </c>
      <c r="EX108" s="49" t="s">
        <v>947</v>
      </c>
      <c r="FC108" s="1" t="s">
        <v>1369</v>
      </c>
      <c r="FD108" s="49" t="s">
        <v>333</v>
      </c>
      <c r="FE108" s="49" t="str">
        <f t="shared" si="68"/>
        <v>7VGDTV</v>
      </c>
      <c r="FF108" s="70">
        <f t="shared" si="72"/>
        <v>238.75</v>
      </c>
      <c r="FG108" s="70">
        <f t="shared" si="69"/>
        <v>1671.25</v>
      </c>
    </row>
    <row r="109" spans="2:163" ht="18.75" hidden="1">
      <c r="C109" s="401"/>
      <c r="D109" s="405">
        <f>IF(M15&gt;I33,I33-M15,0)</f>
        <v>0</v>
      </c>
      <c r="E109" s="401"/>
      <c r="F109" s="401"/>
      <c r="G109" s="401"/>
      <c r="H109" s="402"/>
      <c r="I109" s="403"/>
      <c r="J109" s="403"/>
      <c r="K109" s="403"/>
      <c r="L109" s="404"/>
      <c r="AK109" s="49" t="s">
        <v>836</v>
      </c>
      <c r="AY109" s="353" t="s">
        <v>1593</v>
      </c>
      <c r="AZ109" s="356" t="s">
        <v>1533</v>
      </c>
      <c r="BA109" s="120">
        <f t="shared" si="71"/>
        <v>223.6</v>
      </c>
      <c r="BB109" s="5"/>
      <c r="BR109" s="49">
        <v>3</v>
      </c>
      <c r="BS109" s="49">
        <f t="shared" si="73"/>
        <v>1003</v>
      </c>
      <c r="BT109" s="49" t="s">
        <v>613</v>
      </c>
      <c r="EW109" s="49" t="s">
        <v>949</v>
      </c>
      <c r="FC109" s="1" t="s">
        <v>1370</v>
      </c>
      <c r="FD109" s="49" t="s">
        <v>334</v>
      </c>
      <c r="FE109" s="49" t="str">
        <f t="shared" si="68"/>
        <v>8VGDTV</v>
      </c>
      <c r="FF109" s="70">
        <f t="shared" si="72"/>
        <v>261.70999999999998</v>
      </c>
      <c r="FG109" s="70">
        <f t="shared" si="69"/>
        <v>1831.9699999999998</v>
      </c>
    </row>
    <row r="110" spans="2:163" ht="18.75" hidden="1">
      <c r="C110" s="401"/>
      <c r="D110" s="405">
        <f>IF(AND(M15&gt;0,Q24="extra budget voor behandeling"),1,0)</f>
        <v>0</v>
      </c>
      <c r="E110" s="401"/>
      <c r="F110" s="401"/>
      <c r="G110" s="401"/>
      <c r="H110" s="402"/>
      <c r="I110" s="403"/>
      <c r="J110" s="403"/>
      <c r="K110" s="403"/>
      <c r="L110" s="404"/>
      <c r="AK110" s="49" t="s">
        <v>837</v>
      </c>
      <c r="AY110" s="353" t="s">
        <v>1594</v>
      </c>
      <c r="AZ110" s="356" t="s">
        <v>1534</v>
      </c>
      <c r="BA110" s="120">
        <f t="shared" si="71"/>
        <v>272.2</v>
      </c>
      <c r="BB110" s="5"/>
      <c r="BR110" s="49">
        <v>4</v>
      </c>
      <c r="BS110" s="49">
        <f t="shared" si="73"/>
        <v>1004</v>
      </c>
      <c r="BT110" s="49" t="s">
        <v>613</v>
      </c>
      <c r="EW110" s="49" t="s">
        <v>950</v>
      </c>
      <c r="FC110" s="1"/>
      <c r="FD110" s="49" t="s">
        <v>335</v>
      </c>
      <c r="FE110" s="49" t="str">
        <f t="shared" si="68"/>
        <v>1LVGDTV</v>
      </c>
      <c r="FF110" s="70">
        <v>1</v>
      </c>
      <c r="FG110" s="70">
        <f t="shared" si="69"/>
        <v>7</v>
      </c>
    </row>
    <row r="111" spans="2:163" ht="18.75" hidden="1">
      <c r="B111" s="201" t="s">
        <v>1158</v>
      </c>
      <c r="D111" s="234">
        <f ca="1">SUM(I32:I34)-I33</f>
        <v>0</v>
      </c>
      <c r="G111" s="201" t="s">
        <v>1279</v>
      </c>
      <c r="H111" s="202"/>
      <c r="AK111" s="49" t="s">
        <v>838</v>
      </c>
      <c r="AY111" s="353" t="s">
        <v>1595</v>
      </c>
      <c r="AZ111" s="356" t="s">
        <v>1535</v>
      </c>
      <c r="BA111" s="120">
        <f t="shared" si="71"/>
        <v>354.34</v>
      </c>
      <c r="BB111" s="5"/>
      <c r="BR111" s="49">
        <v>5</v>
      </c>
      <c r="BS111" s="49">
        <f t="shared" si="73"/>
        <v>1005</v>
      </c>
      <c r="BT111" s="49" t="s">
        <v>612</v>
      </c>
      <c r="ET111" s="126"/>
      <c r="EW111" s="49" t="s">
        <v>951</v>
      </c>
      <c r="FC111" s="1"/>
      <c r="FD111" s="49" t="s">
        <v>336</v>
      </c>
      <c r="FE111" s="49" t="str">
        <f t="shared" si="68"/>
        <v>2LVGDTV</v>
      </c>
      <c r="FF111" s="70">
        <v>1</v>
      </c>
      <c r="FG111" s="70">
        <f t="shared" si="69"/>
        <v>7</v>
      </c>
    </row>
    <row r="112" spans="2:163" ht="18.75" hidden="1">
      <c r="B112" s="201" t="s">
        <v>441</v>
      </c>
      <c r="D112" s="234">
        <f>IF(I33&lt;M15,M10+T26-I33+I42+I39,M10+T26+FS8+I42+I39)</f>
        <v>0</v>
      </c>
      <c r="E112" s="234">
        <f>D112</f>
        <v>0</v>
      </c>
      <c r="G112" s="201" t="s">
        <v>1280</v>
      </c>
      <c r="H112" s="202"/>
      <c r="AK112" s="49" t="s">
        <v>839</v>
      </c>
      <c r="AY112" s="1" t="s">
        <v>1381</v>
      </c>
      <c r="AZ112" s="192" t="s">
        <v>1396</v>
      </c>
      <c r="BA112" s="120">
        <f t="shared" si="71"/>
        <v>364.18</v>
      </c>
      <c r="BB112" s="5"/>
      <c r="BR112" s="49">
        <v>6</v>
      </c>
      <c r="BS112" s="49">
        <f t="shared" si="73"/>
        <v>1006</v>
      </c>
      <c r="BT112" s="49" t="s">
        <v>613</v>
      </c>
      <c r="ET112" s="126"/>
      <c r="EW112" s="49" t="s">
        <v>1281</v>
      </c>
      <c r="FC112" s="1"/>
      <c r="FD112" s="49" t="s">
        <v>337</v>
      </c>
      <c r="FE112" s="49" t="str">
        <f t="shared" si="68"/>
        <v>3LVGDTV</v>
      </c>
      <c r="FF112" s="70">
        <v>1</v>
      </c>
      <c r="FG112" s="70">
        <f t="shared" si="69"/>
        <v>7</v>
      </c>
    </row>
    <row r="113" spans="2:163" ht="18.75" hidden="1">
      <c r="D113" s="234">
        <f ca="1">IF(AND(FS8&gt;0,D122=0),0,D118)</f>
        <v>0</v>
      </c>
      <c r="E113" s="201" t="str">
        <f ca="1">IF(D113&gt;0,"Restant","Overschrijding")</f>
        <v>Overschrijding</v>
      </c>
      <c r="H113" s="202"/>
      <c r="AK113" s="49" t="s">
        <v>840</v>
      </c>
      <c r="AY113" s="1" t="s">
        <v>1383</v>
      </c>
      <c r="AZ113" s="192" t="s">
        <v>1382</v>
      </c>
      <c r="BA113" s="120">
        <f t="shared" si="71"/>
        <v>409.54</v>
      </c>
      <c r="BB113" s="5"/>
      <c r="BR113" s="49">
        <v>7</v>
      </c>
      <c r="BS113" s="49">
        <f t="shared" si="73"/>
        <v>1007</v>
      </c>
      <c r="BT113" s="49" t="s">
        <v>613</v>
      </c>
      <c r="ET113" s="126"/>
      <c r="EW113" s="49" t="s">
        <v>953</v>
      </c>
      <c r="FC113" s="1"/>
      <c r="FD113" s="49" t="s">
        <v>338</v>
      </c>
      <c r="FE113" s="49" t="str">
        <f t="shared" si="68"/>
        <v>4LVGDTV</v>
      </c>
      <c r="FF113" s="70">
        <v>1</v>
      </c>
      <c r="FG113" s="70">
        <f t="shared" si="69"/>
        <v>7</v>
      </c>
    </row>
    <row r="114" spans="2:163" ht="18.75" hidden="1">
      <c r="E114" s="234">
        <f ca="1">IF(AND(D113=0,FS8&gt;0),0,IF(E113="overschrijding",D111-E112,D113))</f>
        <v>0</v>
      </c>
      <c r="H114" s="202"/>
      <c r="AK114" s="49" t="s">
        <v>841</v>
      </c>
      <c r="AY114" s="1" t="s">
        <v>1384</v>
      </c>
      <c r="AZ114" s="192" t="s">
        <v>1397</v>
      </c>
      <c r="BA114" s="120">
        <f t="shared" si="71"/>
        <v>239.11</v>
      </c>
      <c r="BB114" s="5"/>
      <c r="BR114" s="49">
        <v>8</v>
      </c>
      <c r="BS114" s="49">
        <f t="shared" si="73"/>
        <v>1008</v>
      </c>
      <c r="BT114" s="49" t="s">
        <v>612</v>
      </c>
      <c r="ET114" s="126"/>
      <c r="EW114" s="49" t="s">
        <v>954</v>
      </c>
      <c r="FC114" s="1"/>
      <c r="FD114" s="49" t="s">
        <v>339</v>
      </c>
      <c r="FE114" s="49" t="str">
        <f t="shared" si="68"/>
        <v>5LVGDTV</v>
      </c>
      <c r="FF114" s="70">
        <v>1</v>
      </c>
      <c r="FG114" s="70">
        <f t="shared" si="69"/>
        <v>7</v>
      </c>
    </row>
    <row r="115" spans="2:163" ht="18.75" hidden="1">
      <c r="H115" s="202"/>
      <c r="AK115" s="49" t="s">
        <v>842</v>
      </c>
      <c r="AY115" s="1" t="s">
        <v>1391</v>
      </c>
      <c r="AZ115" s="192" t="s">
        <v>1386</v>
      </c>
      <c r="BA115" s="120">
        <f t="shared" si="71"/>
        <v>177.35</v>
      </c>
      <c r="BB115" s="5"/>
      <c r="BR115" s="49">
        <v>0</v>
      </c>
      <c r="BS115" s="49">
        <f t="shared" si="73"/>
        <v>1000</v>
      </c>
      <c r="BT115" s="49" t="s">
        <v>613</v>
      </c>
      <c r="ET115" s="126"/>
      <c r="EW115" s="49" t="s">
        <v>955</v>
      </c>
      <c r="FC115" s="1"/>
      <c r="FD115" s="49" t="s">
        <v>340</v>
      </c>
      <c r="FE115" s="49" t="str">
        <f t="shared" si="68"/>
        <v>1SGLVGDTV</v>
      </c>
      <c r="FF115" s="70">
        <v>1</v>
      </c>
      <c r="FG115" s="70">
        <f t="shared" si="69"/>
        <v>7</v>
      </c>
    </row>
    <row r="116" spans="2:163" ht="18.75" hidden="1">
      <c r="H116" s="202"/>
      <c r="AK116" s="49" t="s">
        <v>843</v>
      </c>
      <c r="AY116" s="1" t="s">
        <v>1392</v>
      </c>
      <c r="AZ116" s="192" t="s">
        <v>1387</v>
      </c>
      <c r="BA116" s="120">
        <f t="shared" si="71"/>
        <v>215.42</v>
      </c>
      <c r="BB116" s="5"/>
      <c r="BR116" s="49">
        <v>13</v>
      </c>
      <c r="BS116" s="49">
        <f t="shared" si="73"/>
        <v>1013</v>
      </c>
      <c r="BT116" s="49" t="s">
        <v>299</v>
      </c>
      <c r="ET116" s="126"/>
      <c r="EW116" s="49" t="s">
        <v>956</v>
      </c>
      <c r="FC116" s="1"/>
      <c r="FD116" s="49" t="s">
        <v>301</v>
      </c>
      <c r="FE116" s="49" t="str">
        <f t="shared" si="68"/>
        <v>1LGDTV</v>
      </c>
      <c r="FF116" s="70">
        <v>1</v>
      </c>
      <c r="FG116" s="70">
        <f t="shared" si="69"/>
        <v>7</v>
      </c>
    </row>
    <row r="117" spans="2:163" ht="18.75" hidden="1">
      <c r="H117" s="202"/>
      <c r="AK117" s="49" t="s">
        <v>844</v>
      </c>
      <c r="AY117" s="1" t="s">
        <v>1393</v>
      </c>
      <c r="AZ117" s="192" t="s">
        <v>1388</v>
      </c>
      <c r="BA117" s="120">
        <f t="shared" si="71"/>
        <v>269.22000000000003</v>
      </c>
      <c r="BB117" s="5"/>
      <c r="BR117" s="49">
        <v>85</v>
      </c>
      <c r="BS117" s="49">
        <f t="shared" si="73"/>
        <v>1085</v>
      </c>
      <c r="BT117" s="49" t="s">
        <v>613</v>
      </c>
      <c r="ET117" s="126"/>
      <c r="EW117" s="49" t="s">
        <v>957</v>
      </c>
      <c r="FC117" s="1" t="s">
        <v>1376</v>
      </c>
      <c r="FD117" s="49" t="s">
        <v>302</v>
      </c>
      <c r="FE117" s="49" t="str">
        <f t="shared" si="68"/>
        <v>2LGDTV</v>
      </c>
      <c r="FF117" s="70">
        <f>VLOOKUP(FC117,Tarieven_ZIN0,3,0)</f>
        <v>177.28</v>
      </c>
      <c r="FG117" s="70">
        <f t="shared" si="69"/>
        <v>1240.96</v>
      </c>
    </row>
    <row r="118" spans="2:163" ht="18.75" hidden="1">
      <c r="D118" s="234">
        <f ca="1">$E$112-$D$111</f>
        <v>0</v>
      </c>
      <c r="H118" s="202"/>
      <c r="AK118" s="49" t="s">
        <v>845</v>
      </c>
      <c r="AY118" s="1" t="s">
        <v>1394</v>
      </c>
      <c r="AZ118" s="192" t="s">
        <v>1389</v>
      </c>
      <c r="BA118" s="120">
        <f t="shared" si="71"/>
        <v>300.36</v>
      </c>
      <c r="BB118" s="5"/>
      <c r="BR118" s="49">
        <v>84</v>
      </c>
      <c r="BS118" s="49">
        <f t="shared" si="73"/>
        <v>1084</v>
      </c>
      <c r="BT118" s="49" t="s">
        <v>613</v>
      </c>
      <c r="ET118" s="126"/>
      <c r="EW118" s="49" t="s">
        <v>958</v>
      </c>
      <c r="FC118" s="1"/>
      <c r="FD118" s="49" t="s">
        <v>303</v>
      </c>
      <c r="FE118" s="49" t="str">
        <f t="shared" si="68"/>
        <v>3LGDTV</v>
      </c>
      <c r="FF118" s="70">
        <v>1</v>
      </c>
      <c r="FG118" s="70">
        <f t="shared" si="69"/>
        <v>7</v>
      </c>
    </row>
    <row r="119" spans="2:163" ht="18.75" hidden="1">
      <c r="H119" s="202"/>
      <c r="AK119" s="49" t="s">
        <v>846</v>
      </c>
      <c r="AY119" s="1" t="s">
        <v>1600</v>
      </c>
      <c r="AZ119" s="356" t="s">
        <v>626</v>
      </c>
      <c r="BA119" s="120">
        <f t="shared" si="71"/>
        <v>330.23</v>
      </c>
      <c r="BB119" s="5"/>
      <c r="BR119" s="49">
        <v>83</v>
      </c>
      <c r="BS119" s="49">
        <f t="shared" si="73"/>
        <v>1083</v>
      </c>
      <c r="BT119" s="49" t="s">
        <v>613</v>
      </c>
      <c r="ET119" s="126"/>
      <c r="EW119" s="357" t="s">
        <v>1493</v>
      </c>
      <c r="FC119" s="1" t="s">
        <v>1377</v>
      </c>
      <c r="FD119" s="49" t="s">
        <v>304</v>
      </c>
      <c r="FE119" s="49" t="str">
        <f t="shared" si="68"/>
        <v>4LGDTV</v>
      </c>
      <c r="FF119" s="70">
        <f t="shared" ref="FF119:FF127" si="74">VLOOKUP(FC119,Tarieven_ZIN0,3,0)</f>
        <v>210.31</v>
      </c>
      <c r="FG119" s="70">
        <f t="shared" si="69"/>
        <v>1472.17</v>
      </c>
    </row>
    <row r="120" spans="2:163" ht="18.75" hidden="1">
      <c r="H120" s="202"/>
      <c r="AK120" s="49" t="s">
        <v>847</v>
      </c>
      <c r="AY120" s="1" t="s">
        <v>600</v>
      </c>
      <c r="AZ120" s="356" t="s">
        <v>627</v>
      </c>
      <c r="BA120" s="120">
        <f t="shared" si="71"/>
        <v>370.14</v>
      </c>
      <c r="BB120" s="5"/>
      <c r="BR120" s="49">
        <v>80</v>
      </c>
      <c r="BS120" s="49">
        <f t="shared" si="73"/>
        <v>1080</v>
      </c>
      <c r="BT120" s="49" t="s">
        <v>613</v>
      </c>
      <c r="ET120" s="126"/>
      <c r="EW120" s="357" t="s">
        <v>1492</v>
      </c>
      <c r="FC120" s="1" t="s">
        <v>1378</v>
      </c>
      <c r="FD120" s="49" t="s">
        <v>305</v>
      </c>
      <c r="FE120" s="49" t="str">
        <f t="shared" si="68"/>
        <v>5LGDTV</v>
      </c>
      <c r="FF120" s="70">
        <f t="shared" si="74"/>
        <v>210.58</v>
      </c>
      <c r="FG120" s="70">
        <f t="shared" si="69"/>
        <v>1474.0600000000002</v>
      </c>
    </row>
    <row r="121" spans="2:163" ht="18.75" hidden="1">
      <c r="D121" s="234">
        <f ca="1">D118-FS8</f>
        <v>0</v>
      </c>
      <c r="H121" s="202"/>
      <c r="AK121" s="49" t="s">
        <v>848</v>
      </c>
      <c r="AY121" s="1" t="s">
        <v>1601</v>
      </c>
      <c r="AZ121" s="356" t="s">
        <v>628</v>
      </c>
      <c r="BA121" s="120">
        <f t="shared" si="71"/>
        <v>360.21</v>
      </c>
      <c r="BB121" s="5"/>
      <c r="BR121" s="49">
        <v>88</v>
      </c>
      <c r="BS121" s="49">
        <f t="shared" si="73"/>
        <v>1088</v>
      </c>
      <c r="BT121" s="49" t="s">
        <v>612</v>
      </c>
      <c r="ET121" s="126"/>
      <c r="EW121" s="357" t="s">
        <v>1491</v>
      </c>
      <c r="FC121" s="1" t="s">
        <v>1385</v>
      </c>
      <c r="FD121" s="49" t="s">
        <v>306</v>
      </c>
      <c r="FE121" s="49" t="str">
        <f t="shared" si="68"/>
        <v>6LGDTV</v>
      </c>
      <c r="FF121" s="70">
        <f t="shared" si="74"/>
        <v>296.16000000000003</v>
      </c>
      <c r="FG121" s="70">
        <f t="shared" si="69"/>
        <v>2073.1200000000003</v>
      </c>
    </row>
    <row r="122" spans="2:163" ht="18.75" hidden="1">
      <c r="D122" s="201">
        <f ca="1">IF(OR(D121&gt;2,D121&lt;2),1,0)</f>
        <v>1</v>
      </c>
      <c r="H122" s="202"/>
      <c r="AK122" s="49" t="s">
        <v>849</v>
      </c>
      <c r="AY122" s="1" t="s">
        <v>1494</v>
      </c>
      <c r="AZ122" s="356" t="s">
        <v>1478</v>
      </c>
      <c r="BA122" s="120">
        <f t="shared" si="71"/>
        <v>234.94</v>
      </c>
      <c r="BB122" s="5"/>
      <c r="BR122" s="49">
        <v>101</v>
      </c>
      <c r="BS122" s="49">
        <f t="shared" si="73"/>
        <v>1101</v>
      </c>
      <c r="BT122" s="49" t="s">
        <v>617</v>
      </c>
      <c r="ET122" s="126"/>
      <c r="EW122" s="357" t="s">
        <v>1490</v>
      </c>
      <c r="FC122" s="1" t="s">
        <v>1379</v>
      </c>
      <c r="FD122" s="49" t="s">
        <v>307</v>
      </c>
      <c r="FE122" s="49" t="str">
        <f t="shared" si="68"/>
        <v>7LGDTV</v>
      </c>
      <c r="FF122" s="70">
        <f t="shared" si="74"/>
        <v>318.85000000000002</v>
      </c>
      <c r="FG122" s="70">
        <f t="shared" si="69"/>
        <v>2231.9500000000003</v>
      </c>
    </row>
    <row r="123" spans="2:163" ht="18.75" hidden="1">
      <c r="H123" s="202"/>
      <c r="AK123" s="49" t="s">
        <v>850</v>
      </c>
      <c r="AY123" s="1" t="s">
        <v>1602</v>
      </c>
      <c r="AZ123" s="356" t="s">
        <v>629</v>
      </c>
      <c r="BA123" s="120">
        <f t="shared" si="71"/>
        <v>503.94</v>
      </c>
      <c r="BB123" s="5"/>
      <c r="BR123" s="49">
        <v>102</v>
      </c>
      <c r="BS123" s="49">
        <f t="shared" si="73"/>
        <v>1102</v>
      </c>
      <c r="BT123" s="49" t="s">
        <v>617</v>
      </c>
      <c r="ET123" s="126"/>
      <c r="EW123" s="357" t="s">
        <v>1489</v>
      </c>
      <c r="FC123" s="353" t="s">
        <v>1536</v>
      </c>
      <c r="FD123" s="49" t="s">
        <v>1467</v>
      </c>
      <c r="FE123" s="49" t="str">
        <f t="shared" si="68"/>
        <v>1GGZ-WDTV</v>
      </c>
      <c r="FF123" s="70">
        <f t="shared" si="74"/>
        <v>177.06</v>
      </c>
      <c r="FG123" s="70">
        <f t="shared" si="69"/>
        <v>1239.42</v>
      </c>
    </row>
    <row r="124" spans="2:163" ht="18.75" hidden="1">
      <c r="H124" s="202"/>
      <c r="AK124" s="49" t="s">
        <v>851</v>
      </c>
      <c r="AY124" s="1" t="s">
        <v>1603</v>
      </c>
      <c r="AZ124" s="356" t="s">
        <v>630</v>
      </c>
      <c r="BA124" s="120">
        <f t="shared" si="71"/>
        <v>297.94</v>
      </c>
      <c r="BB124" s="5"/>
      <c r="ET124" s="126"/>
      <c r="EW124" s="49" t="s">
        <v>959</v>
      </c>
      <c r="FC124" s="353" t="s">
        <v>1592</v>
      </c>
      <c r="FD124" s="49" t="s">
        <v>1468</v>
      </c>
      <c r="FE124" s="49" t="str">
        <f t="shared" si="68"/>
        <v>2GGZ-WDTV</v>
      </c>
      <c r="FF124" s="70">
        <f t="shared" si="74"/>
        <v>207.65</v>
      </c>
      <c r="FG124" s="70">
        <f t="shared" si="69"/>
        <v>1453.55</v>
      </c>
    </row>
    <row r="125" spans="2:163" ht="18.75" hidden="1">
      <c r="B125" s="201" t="s">
        <v>403</v>
      </c>
      <c r="H125" s="202"/>
      <c r="AK125" s="49" t="s">
        <v>852</v>
      </c>
      <c r="AY125" s="1" t="s">
        <v>1742</v>
      </c>
      <c r="AZ125" s="356" t="s">
        <v>1614</v>
      </c>
      <c r="BA125" s="120">
        <f t="shared" si="71"/>
        <v>536.99</v>
      </c>
      <c r="BB125" s="5"/>
      <c r="BR125" s="49">
        <v>103</v>
      </c>
      <c r="BS125" s="49">
        <f t="shared" si="73"/>
        <v>1103</v>
      </c>
      <c r="BT125" s="49" t="s">
        <v>617</v>
      </c>
      <c r="ET125" s="126"/>
      <c r="EW125" s="49" t="s">
        <v>960</v>
      </c>
      <c r="FC125" s="353" t="s">
        <v>1593</v>
      </c>
      <c r="FD125" s="49" t="s">
        <v>1469</v>
      </c>
      <c r="FE125" s="49" t="str">
        <f t="shared" si="68"/>
        <v>3GGZ-WDTV</v>
      </c>
      <c r="FF125" s="70">
        <f t="shared" si="74"/>
        <v>223.6</v>
      </c>
      <c r="FG125" s="70">
        <f t="shared" si="69"/>
        <v>1565.2</v>
      </c>
    </row>
    <row r="126" spans="2:163" ht="18.75" hidden="1">
      <c r="B126" s="201" t="s">
        <v>1297</v>
      </c>
      <c r="D126" s="234">
        <f>$M$6</f>
        <v>0</v>
      </c>
      <c r="H126" s="202"/>
      <c r="AK126" s="49" t="s">
        <v>853</v>
      </c>
      <c r="AY126" s="153" t="s">
        <v>718</v>
      </c>
      <c r="AZ126" s="126" t="s">
        <v>145</v>
      </c>
      <c r="BA126" s="187">
        <f t="shared" ref="BA126:BA157" si="75">VLOOKUP(AZ126,Tarieven_VPT0,9,FALSE)</f>
        <v>82.56</v>
      </c>
      <c r="BB126" s="121"/>
      <c r="BR126" s="49">
        <v>104</v>
      </c>
      <c r="BS126" s="49">
        <f t="shared" si="73"/>
        <v>1104</v>
      </c>
      <c r="BT126" s="49" t="s">
        <v>617</v>
      </c>
      <c r="ET126" s="126"/>
      <c r="EW126" s="49" t="s">
        <v>961</v>
      </c>
      <c r="FC126" s="353" t="s">
        <v>1594</v>
      </c>
      <c r="FD126" s="49" t="s">
        <v>1470</v>
      </c>
      <c r="FE126" s="49" t="str">
        <f t="shared" si="68"/>
        <v>4GGZ-WDTV</v>
      </c>
      <c r="FF126" s="70">
        <f t="shared" si="74"/>
        <v>272.2</v>
      </c>
      <c r="FG126" s="70">
        <f t="shared" si="69"/>
        <v>1905.3999999999999</v>
      </c>
    </row>
    <row r="127" spans="2:163" ht="18.75" hidden="1">
      <c r="B127" s="201" t="s">
        <v>1299</v>
      </c>
      <c r="D127" s="234">
        <f>$FS$8</f>
        <v>0</v>
      </c>
      <c r="F127" s="201" t="s">
        <v>1303</v>
      </c>
      <c r="H127" s="202"/>
      <c r="AK127" s="49" t="s">
        <v>854</v>
      </c>
      <c r="AY127" s="153" t="s">
        <v>719</v>
      </c>
      <c r="AZ127" s="126" t="s">
        <v>74</v>
      </c>
      <c r="BA127" s="187">
        <f t="shared" si="75"/>
        <v>109.09</v>
      </c>
      <c r="BB127" s="121"/>
      <c r="BR127" s="49">
        <v>105</v>
      </c>
      <c r="BS127" s="49">
        <f t="shared" si="73"/>
        <v>1105</v>
      </c>
      <c r="BT127" s="49" t="s">
        <v>617</v>
      </c>
      <c r="ET127" s="126"/>
      <c r="EW127" s="49" t="s">
        <v>962</v>
      </c>
      <c r="FC127" s="353" t="s">
        <v>1595</v>
      </c>
      <c r="FD127" s="49" t="s">
        <v>1471</v>
      </c>
      <c r="FE127" s="49" t="str">
        <f t="shared" si="68"/>
        <v>5GGZ-WDTV</v>
      </c>
      <c r="FF127" s="70">
        <f t="shared" si="74"/>
        <v>354.34</v>
      </c>
      <c r="FG127" s="70">
        <f t="shared" si="69"/>
        <v>2480.3799999999997</v>
      </c>
    </row>
    <row r="128" spans="2:163" ht="18.75" hidden="1">
      <c r="B128" s="201" t="s">
        <v>1298</v>
      </c>
      <c r="D128" s="234">
        <f>IF(E141="ja",$M$15,D133)</f>
        <v>0</v>
      </c>
      <c r="F128" s="234">
        <f ca="1">D129-D135</f>
        <v>0</v>
      </c>
      <c r="H128" s="202"/>
      <c r="AK128" s="49" t="s">
        <v>855</v>
      </c>
      <c r="AY128" s="153" t="s">
        <v>720</v>
      </c>
      <c r="AZ128" s="126" t="s">
        <v>123</v>
      </c>
      <c r="BA128" s="187">
        <f t="shared" si="75"/>
        <v>144.26</v>
      </c>
      <c r="BB128" s="121"/>
      <c r="BR128" s="49">
        <v>106</v>
      </c>
      <c r="BS128" s="49">
        <f t="shared" si="73"/>
        <v>1106</v>
      </c>
      <c r="BT128" s="49" t="s">
        <v>617</v>
      </c>
      <c r="EW128" s="49" t="s">
        <v>963</v>
      </c>
      <c r="FC128" s="1" t="s">
        <v>1380</v>
      </c>
      <c r="FD128" s="49" t="s">
        <v>1338</v>
      </c>
      <c r="FE128" s="49" t="str">
        <f t="shared" si="68"/>
        <v>1ZGAUDDTV</v>
      </c>
      <c r="FF128" s="70">
        <v>1</v>
      </c>
      <c r="FG128" s="70">
        <f t="shared" si="69"/>
        <v>7</v>
      </c>
    </row>
    <row r="129" spans="2:163" ht="18.75" hidden="1">
      <c r="B129" s="201" t="s">
        <v>1304</v>
      </c>
      <c r="D129" s="234">
        <f>SUM($D$126:$D$128)</f>
        <v>0</v>
      </c>
      <c r="H129" s="202"/>
      <c r="AK129" s="49" t="s">
        <v>856</v>
      </c>
      <c r="AY129" s="153" t="s">
        <v>721</v>
      </c>
      <c r="AZ129" s="126" t="s">
        <v>20</v>
      </c>
      <c r="BA129" s="187">
        <f t="shared" si="75"/>
        <v>135.80000000000001</v>
      </c>
      <c r="BB129" s="121"/>
      <c r="BR129" s="49">
        <v>107</v>
      </c>
      <c r="BS129" s="49">
        <f t="shared" si="73"/>
        <v>1107</v>
      </c>
      <c r="BT129" s="49" t="s">
        <v>617</v>
      </c>
      <c r="EW129" s="49" t="s">
        <v>964</v>
      </c>
      <c r="FC129" s="1" t="s">
        <v>1384</v>
      </c>
      <c r="FD129" s="49" t="s">
        <v>1339</v>
      </c>
      <c r="FE129" s="49" t="str">
        <f t="shared" si="68"/>
        <v>4ZGAUDDTV</v>
      </c>
      <c r="FF129" s="70">
        <f>VLOOKUP(FC129,Tarieven_ZIN0,3,0)</f>
        <v>239.11</v>
      </c>
      <c r="FG129" s="70">
        <f t="shared" si="69"/>
        <v>1673.77</v>
      </c>
    </row>
    <row r="130" spans="2:163" ht="18.75" hidden="1">
      <c r="F130" s="201" t="s">
        <v>1305</v>
      </c>
      <c r="H130" s="202"/>
      <c r="AK130" s="49" t="s">
        <v>857</v>
      </c>
      <c r="AY130" s="153" t="s">
        <v>722</v>
      </c>
      <c r="AZ130" s="126" t="s">
        <v>55</v>
      </c>
      <c r="BA130" s="187">
        <f t="shared" si="75"/>
        <v>268.18</v>
      </c>
      <c r="BB130" s="121"/>
      <c r="BR130" s="49">
        <v>108</v>
      </c>
      <c r="BS130" s="49">
        <f t="shared" si="73"/>
        <v>1108</v>
      </c>
      <c r="BT130" s="49" t="s">
        <v>617</v>
      </c>
      <c r="EW130" s="49" t="s">
        <v>965</v>
      </c>
      <c r="FC130" s="1" t="s">
        <v>1381</v>
      </c>
      <c r="FD130" s="49" t="s">
        <v>1340</v>
      </c>
      <c r="FE130" s="49" t="str">
        <f t="shared" si="68"/>
        <v>2ZGAUDDTV</v>
      </c>
      <c r="FF130" s="70">
        <f>VLOOKUP(FC130,Tarieven_ZIN0,3,0)</f>
        <v>364.18</v>
      </c>
      <c r="FG130" s="70">
        <f t="shared" si="69"/>
        <v>2549.2600000000002</v>
      </c>
    </row>
    <row r="131" spans="2:163" ht="18.75" hidden="1">
      <c r="B131" s="201" t="s">
        <v>1300</v>
      </c>
      <c r="F131" s="234">
        <f ca="1">D135-D129</f>
        <v>0</v>
      </c>
      <c r="H131" s="202"/>
      <c r="AK131" s="49" t="s">
        <v>858</v>
      </c>
      <c r="AY131" s="153" t="s">
        <v>723</v>
      </c>
      <c r="AZ131" s="126" t="s">
        <v>155</v>
      </c>
      <c r="BA131" s="187">
        <f t="shared" si="75"/>
        <v>237.36</v>
      </c>
      <c r="BB131" s="121"/>
      <c r="BR131" s="49">
        <v>109</v>
      </c>
      <c r="BS131" s="49">
        <f t="shared" si="73"/>
        <v>1109</v>
      </c>
      <c r="BT131" s="49" t="s">
        <v>617</v>
      </c>
      <c r="FC131" s="1" t="s">
        <v>1383</v>
      </c>
      <c r="FD131" s="49" t="s">
        <v>1341</v>
      </c>
      <c r="FE131" s="49" t="str">
        <f t="shared" si="68"/>
        <v>3ZGAUDDTV</v>
      </c>
      <c r="FF131" s="70">
        <f>VLOOKUP(FC131,Tarieven_ZIN0,3,0)</f>
        <v>409.54</v>
      </c>
      <c r="FG131" s="70">
        <f t="shared" si="69"/>
        <v>2866.78</v>
      </c>
    </row>
    <row r="132" spans="2:163" ht="18.75" hidden="1">
      <c r="B132" s="201" t="s">
        <v>1301</v>
      </c>
      <c r="D132" s="234">
        <f ca="1">$I$32</f>
        <v>0</v>
      </c>
      <c r="H132" s="202"/>
      <c r="AK132" s="49" t="s">
        <v>859</v>
      </c>
      <c r="AY132" s="153" t="s">
        <v>724</v>
      </c>
      <c r="AZ132" s="126" t="s">
        <v>236</v>
      </c>
      <c r="BA132" s="187">
        <f t="shared" si="75"/>
        <v>327.12</v>
      </c>
      <c r="BB132" s="121"/>
      <c r="BR132" s="49">
        <v>600</v>
      </c>
      <c r="BS132" s="49">
        <f t="shared" si="73"/>
        <v>1600</v>
      </c>
      <c r="BT132" s="49" t="s">
        <v>681</v>
      </c>
      <c r="FC132" s="1" t="s">
        <v>1390</v>
      </c>
      <c r="FD132" s="49" t="s">
        <v>1342</v>
      </c>
      <c r="FE132" s="49" t="str">
        <f t="shared" si="68"/>
        <v>1ZGVISDTV</v>
      </c>
      <c r="FF132" s="70">
        <v>1</v>
      </c>
      <c r="FG132" s="70">
        <f t="shared" si="69"/>
        <v>7</v>
      </c>
    </row>
    <row r="133" spans="2:163" ht="18.75" hidden="1">
      <c r="B133" s="201" t="s">
        <v>1306</v>
      </c>
      <c r="D133" s="234">
        <f>$I$33</f>
        <v>0</v>
      </c>
      <c r="H133" s="202"/>
      <c r="AK133" s="49" t="s">
        <v>860</v>
      </c>
      <c r="AY133" s="153" t="s">
        <v>725</v>
      </c>
      <c r="AZ133" s="126" t="s">
        <v>183</v>
      </c>
      <c r="BA133" s="187">
        <f t="shared" si="75"/>
        <v>432.18</v>
      </c>
      <c r="BB133" s="121"/>
      <c r="BR133" s="49">
        <v>601</v>
      </c>
      <c r="BS133" s="49">
        <f t="shared" si="73"/>
        <v>1601</v>
      </c>
      <c r="BT133" s="49" t="s">
        <v>681</v>
      </c>
      <c r="FC133" s="1" t="s">
        <v>1391</v>
      </c>
      <c r="FD133" s="49" t="s">
        <v>1343</v>
      </c>
      <c r="FE133" s="49" t="str">
        <f t="shared" si="68"/>
        <v>2ZGVISDTV</v>
      </c>
      <c r="FF133" s="70">
        <f>VLOOKUP(FC133,Tarieven_ZIN0,3,0)</f>
        <v>177.35</v>
      </c>
      <c r="FG133" s="70">
        <f t="shared" si="69"/>
        <v>1241.45</v>
      </c>
    </row>
    <row r="134" spans="2:163" ht="18.75" hidden="1">
      <c r="B134" s="201" t="s">
        <v>1157</v>
      </c>
      <c r="D134" s="234">
        <f>$M$8</f>
        <v>0</v>
      </c>
      <c r="H134" s="202"/>
      <c r="AK134" s="49" t="s">
        <v>861</v>
      </c>
      <c r="AY134" s="153" t="s">
        <v>726</v>
      </c>
      <c r="AZ134" s="126" t="s">
        <v>295</v>
      </c>
      <c r="BA134" s="187">
        <f t="shared" si="75"/>
        <v>234.04</v>
      </c>
      <c r="BB134" s="121"/>
      <c r="BR134" s="49">
        <v>602</v>
      </c>
      <c r="BS134" s="49">
        <f t="shared" si="73"/>
        <v>1602</v>
      </c>
      <c r="BT134" s="49" t="s">
        <v>681</v>
      </c>
      <c r="FC134" s="1" t="s">
        <v>1392</v>
      </c>
      <c r="FD134" s="49" t="s">
        <v>1344</v>
      </c>
      <c r="FE134" s="49" t="str">
        <f t="shared" si="68"/>
        <v>3ZGVISDTV</v>
      </c>
      <c r="FF134" s="70">
        <f>VLOOKUP(FC134,Tarieven_ZIN0,3,0)</f>
        <v>215.42</v>
      </c>
      <c r="FG134" s="70">
        <f t="shared" si="69"/>
        <v>1507.9399999999998</v>
      </c>
    </row>
    <row r="135" spans="2:163" ht="18.75" hidden="1">
      <c r="B135" s="201" t="s">
        <v>1302</v>
      </c>
      <c r="D135" s="234">
        <f ca="1">SUM($D$132:$D$134)</f>
        <v>0</v>
      </c>
      <c r="H135" s="202"/>
      <c r="AK135" s="49" t="s">
        <v>862</v>
      </c>
      <c r="AY135" s="153" t="s">
        <v>727</v>
      </c>
      <c r="AZ135" s="126" t="s">
        <v>46</v>
      </c>
      <c r="BA135" s="187">
        <f t="shared" si="75"/>
        <v>518.38</v>
      </c>
      <c r="BB135" s="121"/>
      <c r="BR135" s="49">
        <v>603</v>
      </c>
      <c r="BS135" s="49">
        <f t="shared" si="73"/>
        <v>1603</v>
      </c>
      <c r="BT135" s="49" t="s">
        <v>681</v>
      </c>
      <c r="FC135" s="1" t="s">
        <v>1393</v>
      </c>
      <c r="FD135" s="49" t="s">
        <v>1345</v>
      </c>
      <c r="FE135" s="49" t="str">
        <f t="shared" si="68"/>
        <v>4ZGVISDTV</v>
      </c>
      <c r="FF135" s="70">
        <f>VLOOKUP(FC135,Tarieven_ZIN0,3,0)</f>
        <v>269.22000000000003</v>
      </c>
      <c r="FG135" s="70">
        <f t="shared" si="69"/>
        <v>1884.5400000000002</v>
      </c>
    </row>
    <row r="136" spans="2:163" ht="18.75" hidden="1">
      <c r="H136" s="202"/>
      <c r="AK136" s="49" t="s">
        <v>863</v>
      </c>
      <c r="AY136" s="153" t="s">
        <v>880</v>
      </c>
      <c r="AZ136" s="126" t="s">
        <v>172</v>
      </c>
      <c r="BA136" s="187">
        <f t="shared" si="75"/>
        <v>169.76</v>
      </c>
      <c r="BB136" s="121"/>
      <c r="BR136" s="49">
        <v>604</v>
      </c>
      <c r="BS136" s="49">
        <f t="shared" si="73"/>
        <v>1604</v>
      </c>
      <c r="BT136" s="49" t="s">
        <v>681</v>
      </c>
      <c r="FC136" s="1" t="s">
        <v>1394</v>
      </c>
      <c r="FD136" s="49" t="s">
        <v>1346</v>
      </c>
      <c r="FE136" s="49" t="str">
        <f t="shared" si="68"/>
        <v>5ZGVISDTV</v>
      </c>
      <c r="FF136" s="70">
        <f>VLOOKUP(FC136,Tarieven_ZIN0,3,0)</f>
        <v>300.36</v>
      </c>
      <c r="FG136" s="70">
        <f t="shared" si="69"/>
        <v>2102.52</v>
      </c>
    </row>
    <row r="137" spans="2:163" ht="18.75" hidden="1">
      <c r="B137" s="201" t="str">
        <f ca="1">IF(D129-D135&lt;0,"Overschrijding","Restant")</f>
        <v>Restant</v>
      </c>
      <c r="D137" s="342">
        <f ca="1">IF($B$137="overschrijding",$F$131,$F$128)</f>
        <v>0</v>
      </c>
      <c r="H137" s="202"/>
      <c r="AK137" s="49" t="s">
        <v>864</v>
      </c>
      <c r="AY137" s="153" t="s">
        <v>881</v>
      </c>
      <c r="AZ137" s="126" t="s">
        <v>93</v>
      </c>
      <c r="BA137" s="187">
        <f t="shared" si="75"/>
        <v>148.24</v>
      </c>
      <c r="BB137" s="121"/>
      <c r="BR137" s="49">
        <v>605</v>
      </c>
      <c r="BS137" s="49">
        <f t="shared" si="73"/>
        <v>1605</v>
      </c>
      <c r="BT137" s="49" t="s">
        <v>682</v>
      </c>
      <c r="FC137" s="316"/>
      <c r="FF137" s="70"/>
      <c r="FG137" s="70"/>
    </row>
    <row r="138" spans="2:163" ht="18.75" hidden="1">
      <c r="H138" s="202"/>
      <c r="AK138" s="49" t="s">
        <v>865</v>
      </c>
      <c r="AY138" s="153" t="s">
        <v>882</v>
      </c>
      <c r="AZ138" s="126" t="s">
        <v>231</v>
      </c>
      <c r="BA138" s="187">
        <f t="shared" si="75"/>
        <v>283.83</v>
      </c>
      <c r="BB138" s="121"/>
      <c r="BR138" s="49">
        <v>606</v>
      </c>
      <c r="BS138" s="49">
        <f t="shared" si="73"/>
        <v>1606</v>
      </c>
      <c r="BT138" s="49" t="s">
        <v>681</v>
      </c>
      <c r="FC138" s="316"/>
    </row>
    <row r="139" spans="2:163" ht="18.75" hidden="1">
      <c r="B139" s="201" t="s">
        <v>1307</v>
      </c>
      <c r="H139" s="202"/>
      <c r="AK139" s="49" t="s">
        <v>866</v>
      </c>
      <c r="AY139" s="153" t="s">
        <v>883</v>
      </c>
      <c r="AZ139" s="126" t="s">
        <v>205</v>
      </c>
      <c r="BA139" s="187">
        <f t="shared" si="75"/>
        <v>254.23</v>
      </c>
      <c r="BB139" s="121"/>
      <c r="BR139" s="49">
        <v>607</v>
      </c>
      <c r="BS139" s="49">
        <f t="shared" si="73"/>
        <v>1607</v>
      </c>
      <c r="BT139" s="49" t="s">
        <v>681</v>
      </c>
      <c r="FC139" s="316"/>
    </row>
    <row r="140" spans="2:163" ht="18.75" hidden="1">
      <c r="H140" s="202"/>
      <c r="AK140" s="49" t="s">
        <v>867</v>
      </c>
      <c r="AY140" s="153" t="s">
        <v>884</v>
      </c>
      <c r="AZ140" s="126" t="s">
        <v>158</v>
      </c>
      <c r="BA140" s="187">
        <f t="shared" si="75"/>
        <v>348.08</v>
      </c>
      <c r="BB140" s="121"/>
      <c r="BR140" s="49">
        <v>608</v>
      </c>
      <c r="BS140" s="49">
        <f t="shared" si="73"/>
        <v>1608</v>
      </c>
      <c r="BT140" s="49" t="s">
        <v>681</v>
      </c>
      <c r="FC140" s="316"/>
    </row>
    <row r="141" spans="2:163" ht="18.75" hidden="1">
      <c r="B141" s="201" t="s">
        <v>1308</v>
      </c>
      <c r="E141" s="201" t="str">
        <f>IF(D127-D133&lt;0,"ja","nee")</f>
        <v>nee</v>
      </c>
      <c r="H141" s="202"/>
      <c r="AK141" s="49" t="s">
        <v>868</v>
      </c>
      <c r="AY141" s="153" t="s">
        <v>885</v>
      </c>
      <c r="AZ141" s="126" t="s">
        <v>114</v>
      </c>
      <c r="BA141" s="187">
        <f t="shared" si="75"/>
        <v>448.18</v>
      </c>
      <c r="BB141" s="121"/>
      <c r="BR141" s="49">
        <v>609</v>
      </c>
      <c r="BS141" s="49">
        <f t="shared" si="73"/>
        <v>1609</v>
      </c>
      <c r="BT141" s="49" t="s">
        <v>681</v>
      </c>
      <c r="FC141" s="316"/>
    </row>
    <row r="142" spans="2:163" ht="18.75" hidden="1">
      <c r="B142" s="201" t="s">
        <v>1309</v>
      </c>
      <c r="E142" s="201" t="str">
        <f>IF(D127&gt;0,"ja","nee")</f>
        <v>nee</v>
      </c>
      <c r="H142" s="202"/>
      <c r="AK142" s="49" t="s">
        <v>869</v>
      </c>
      <c r="AY142" s="153" t="s">
        <v>886</v>
      </c>
      <c r="AZ142" s="126" t="s">
        <v>296</v>
      </c>
      <c r="BA142" s="187">
        <f t="shared" si="75"/>
        <v>300.43</v>
      </c>
      <c r="BB142" s="121"/>
      <c r="BR142" s="49">
        <v>610</v>
      </c>
      <c r="BS142" s="49">
        <f t="shared" si="73"/>
        <v>1610</v>
      </c>
      <c r="BT142" s="49" t="s">
        <v>681</v>
      </c>
      <c r="FC142" s="316"/>
    </row>
    <row r="143" spans="2:163" ht="18.75" hidden="1">
      <c r="H143" s="202"/>
      <c r="AK143" s="49" t="s">
        <v>870</v>
      </c>
      <c r="AY143" s="153" t="s">
        <v>887</v>
      </c>
      <c r="AZ143" s="126" t="s">
        <v>108</v>
      </c>
      <c r="BA143" s="187">
        <f t="shared" si="75"/>
        <v>512.1</v>
      </c>
      <c r="BB143" s="121"/>
      <c r="BR143" s="49">
        <v>611</v>
      </c>
      <c r="BS143" s="49">
        <f t="shared" si="73"/>
        <v>1611</v>
      </c>
      <c r="BT143" s="49" t="s">
        <v>681</v>
      </c>
      <c r="FC143" s="316"/>
    </row>
    <row r="144" spans="2:163" ht="18.75" hidden="1">
      <c r="H144" s="202"/>
      <c r="AK144" s="49" t="s">
        <v>871</v>
      </c>
      <c r="AY144" s="153" t="s">
        <v>728</v>
      </c>
      <c r="AZ144" s="126" t="s">
        <v>87</v>
      </c>
      <c r="BA144" s="187">
        <f t="shared" si="75"/>
        <v>64.22</v>
      </c>
      <c r="BB144" s="186"/>
      <c r="BR144" s="49">
        <v>612</v>
      </c>
      <c r="BS144" s="49">
        <f t="shared" si="73"/>
        <v>1612</v>
      </c>
      <c r="BT144" s="49" t="s">
        <v>681</v>
      </c>
      <c r="FC144" s="316"/>
    </row>
    <row r="145" spans="2:159" ht="18.75" hidden="1">
      <c r="H145" s="202"/>
      <c r="AK145" s="49" t="s">
        <v>872</v>
      </c>
      <c r="AY145" s="153" t="s">
        <v>729</v>
      </c>
      <c r="AZ145" s="126" t="s">
        <v>149</v>
      </c>
      <c r="BA145" s="187">
        <f t="shared" si="75"/>
        <v>78.59</v>
      </c>
      <c r="BB145" s="186"/>
      <c r="BR145" s="49">
        <v>613</v>
      </c>
      <c r="BS145" s="49">
        <f t="shared" si="73"/>
        <v>1613</v>
      </c>
      <c r="BT145" s="49" t="s">
        <v>681</v>
      </c>
      <c r="FC145" s="316"/>
    </row>
    <row r="146" spans="2:159" ht="18.75" hidden="1">
      <c r="B146" s="343" t="s">
        <v>403</v>
      </c>
      <c r="D146" s="234"/>
      <c r="H146" s="202"/>
      <c r="AK146" s="49" t="s">
        <v>873</v>
      </c>
      <c r="AY146" s="153" t="s">
        <v>888</v>
      </c>
      <c r="AZ146" s="126" t="s">
        <v>37</v>
      </c>
      <c r="BA146" s="187">
        <f t="shared" si="75"/>
        <v>111.5</v>
      </c>
      <c r="BB146" s="186"/>
      <c r="BR146" s="49">
        <v>614</v>
      </c>
      <c r="BS146" s="49">
        <f t="shared" si="73"/>
        <v>1614</v>
      </c>
      <c r="BT146" s="49" t="s">
        <v>681</v>
      </c>
      <c r="FC146" s="316"/>
    </row>
    <row r="147" spans="2:159" ht="18.75" hidden="1">
      <c r="B147" s="201" t="s">
        <v>1297</v>
      </c>
      <c r="D147" s="234">
        <f>$M$6</f>
        <v>0</v>
      </c>
      <c r="H147" s="202"/>
      <c r="AK147" s="49" t="s">
        <v>874</v>
      </c>
      <c r="AY147" s="153" t="s">
        <v>889</v>
      </c>
      <c r="AZ147" s="126" t="s">
        <v>100</v>
      </c>
      <c r="BA147" s="187">
        <f t="shared" si="75"/>
        <v>124.85</v>
      </c>
      <c r="BB147" s="186"/>
      <c r="BR147" s="49">
        <v>615</v>
      </c>
      <c r="BS147" s="49">
        <f t="shared" si="73"/>
        <v>1615</v>
      </c>
      <c r="BT147" s="49" t="s">
        <v>681</v>
      </c>
      <c r="FC147" s="316"/>
    </row>
    <row r="148" spans="2:159" ht="18.75" hidden="1">
      <c r="B148" s="201" t="s">
        <v>1299</v>
      </c>
      <c r="D148" s="234">
        <f>$FS$8</f>
        <v>0</v>
      </c>
      <c r="H148" s="202"/>
      <c r="AK148" s="49" t="s">
        <v>875</v>
      </c>
      <c r="AY148" s="153" t="s">
        <v>730</v>
      </c>
      <c r="AZ148" s="126" t="s">
        <v>130</v>
      </c>
      <c r="BA148" s="187">
        <f t="shared" si="75"/>
        <v>108.92</v>
      </c>
      <c r="BB148" s="186"/>
      <c r="BR148" s="49">
        <v>616</v>
      </c>
      <c r="BS148" s="49">
        <f t="shared" si="73"/>
        <v>1616</v>
      </c>
      <c r="BT148" s="49" t="s">
        <v>681</v>
      </c>
      <c r="FC148" s="316"/>
    </row>
    <row r="149" spans="2:159" ht="18.75" hidden="1">
      <c r="B149" s="201" t="s">
        <v>1298</v>
      </c>
      <c r="D149" s="234">
        <f>IF(E141="nee",D133,D128)</f>
        <v>0</v>
      </c>
      <c r="H149" s="202"/>
      <c r="AK149" s="49" t="s">
        <v>876</v>
      </c>
      <c r="AY149" s="153" t="s">
        <v>731</v>
      </c>
      <c r="AZ149" s="126" t="s">
        <v>162</v>
      </c>
      <c r="BA149" s="187">
        <f t="shared" si="75"/>
        <v>133.61000000000001</v>
      </c>
      <c r="BB149" s="186"/>
      <c r="BR149" s="49">
        <v>617</v>
      </c>
      <c r="BS149" s="49">
        <f t="shared" si="73"/>
        <v>1617</v>
      </c>
      <c r="BT149" s="49" t="s">
        <v>681</v>
      </c>
    </row>
    <row r="150" spans="2:159" ht="18.75" hidden="1">
      <c r="B150" s="201" t="s">
        <v>1304</v>
      </c>
      <c r="D150" s="234">
        <f>SUM(D147:D149)</f>
        <v>0</v>
      </c>
      <c r="H150" s="202"/>
      <c r="AK150" s="49" t="s">
        <v>877</v>
      </c>
      <c r="AY150" s="153" t="s">
        <v>732</v>
      </c>
      <c r="AZ150" s="126" t="s">
        <v>170</v>
      </c>
      <c r="BA150" s="187">
        <f t="shared" si="75"/>
        <v>181.04</v>
      </c>
      <c r="BB150" s="186"/>
      <c r="BR150" s="49">
        <v>618</v>
      </c>
      <c r="BS150" s="49">
        <f t="shared" si="73"/>
        <v>1618</v>
      </c>
      <c r="BT150" s="49" t="s">
        <v>681</v>
      </c>
    </row>
    <row r="151" spans="2:159" ht="18.75" hidden="1">
      <c r="H151" s="202"/>
      <c r="AK151" s="49" t="s">
        <v>878</v>
      </c>
      <c r="AY151" s="153" t="s">
        <v>733</v>
      </c>
      <c r="AZ151" s="126" t="s">
        <v>186</v>
      </c>
      <c r="BA151" s="187">
        <f t="shared" si="75"/>
        <v>141.80000000000001</v>
      </c>
      <c r="BB151" s="186"/>
      <c r="BR151" s="49">
        <v>619</v>
      </c>
      <c r="BS151" s="49">
        <f t="shared" si="73"/>
        <v>1619</v>
      </c>
      <c r="BT151" s="49" t="s">
        <v>681</v>
      </c>
    </row>
    <row r="152" spans="2:159" ht="18.75" hidden="1">
      <c r="B152" s="343" t="s">
        <v>1300</v>
      </c>
      <c r="D152" s="234"/>
      <c r="H152" s="202"/>
      <c r="AK152" s="49" t="s">
        <v>879</v>
      </c>
      <c r="AY152" s="153" t="s">
        <v>734</v>
      </c>
      <c r="AZ152" s="126" t="s">
        <v>82</v>
      </c>
      <c r="BA152" s="187">
        <f t="shared" si="75"/>
        <v>199.83</v>
      </c>
      <c r="BB152" s="186"/>
      <c r="BR152" s="49">
        <v>620</v>
      </c>
      <c r="BS152" s="49">
        <f t="shared" si="73"/>
        <v>1620</v>
      </c>
      <c r="BT152" s="49" t="s">
        <v>681</v>
      </c>
    </row>
    <row r="153" spans="2:159" ht="18.75" hidden="1">
      <c r="B153" s="201" t="s">
        <v>1301</v>
      </c>
      <c r="D153" s="234">
        <f ca="1">$I$32</f>
        <v>0</v>
      </c>
      <c r="H153" s="202"/>
      <c r="AY153" s="153" t="s">
        <v>735</v>
      </c>
      <c r="AZ153" s="126" t="s">
        <v>228</v>
      </c>
      <c r="BA153" s="187">
        <f t="shared" si="75"/>
        <v>211.48</v>
      </c>
      <c r="BB153" s="186"/>
      <c r="BR153" s="49">
        <v>621</v>
      </c>
      <c r="BS153" s="49">
        <f t="shared" si="73"/>
        <v>1621</v>
      </c>
      <c r="BT153" s="49" t="s">
        <v>681</v>
      </c>
    </row>
    <row r="154" spans="2:159" ht="18.75" hidden="1">
      <c r="B154" s="201" t="s">
        <v>1306</v>
      </c>
      <c r="D154" s="234">
        <f>$I$33</f>
        <v>0</v>
      </c>
      <c r="H154" s="202"/>
      <c r="AY154" s="153" t="s">
        <v>890</v>
      </c>
      <c r="AZ154" s="126" t="s">
        <v>157</v>
      </c>
      <c r="BA154" s="187">
        <f t="shared" si="75"/>
        <v>152.91999999999999</v>
      </c>
      <c r="BB154" s="186"/>
      <c r="BR154" s="49">
        <v>622</v>
      </c>
      <c r="BS154" s="49">
        <f t="shared" si="73"/>
        <v>1622</v>
      </c>
      <c r="BT154" s="49" t="s">
        <v>681</v>
      </c>
    </row>
    <row r="155" spans="2:159" ht="18.75" hidden="1">
      <c r="B155" s="201" t="s">
        <v>1157</v>
      </c>
      <c r="D155" s="234">
        <f>$M$8</f>
        <v>0</v>
      </c>
      <c r="H155" s="202"/>
      <c r="AY155" s="153" t="s">
        <v>891</v>
      </c>
      <c r="AZ155" s="126" t="s">
        <v>137</v>
      </c>
      <c r="BA155" s="187">
        <f t="shared" si="75"/>
        <v>176.56</v>
      </c>
      <c r="BB155" s="186"/>
      <c r="BR155" s="49">
        <v>623</v>
      </c>
      <c r="BS155" s="49">
        <f t="shared" si="73"/>
        <v>1623</v>
      </c>
      <c r="BT155" s="49" t="s">
        <v>681</v>
      </c>
    </row>
    <row r="156" spans="2:159" ht="18.75" hidden="1">
      <c r="B156" s="201" t="s">
        <v>1302</v>
      </c>
      <c r="D156" s="234">
        <f ca="1">SUM(D153:D155)</f>
        <v>0</v>
      </c>
      <c r="H156" s="202"/>
      <c r="AY156" s="153" t="s">
        <v>892</v>
      </c>
      <c r="AZ156" s="126" t="s">
        <v>224</v>
      </c>
      <c r="BA156" s="187">
        <f t="shared" si="75"/>
        <v>248.01</v>
      </c>
      <c r="BB156" s="186"/>
      <c r="BR156" s="49">
        <v>624</v>
      </c>
      <c r="BS156" s="49">
        <f t="shared" si="73"/>
        <v>1624</v>
      </c>
      <c r="BT156" s="49" t="s">
        <v>681</v>
      </c>
    </row>
    <row r="157" spans="2:159" ht="18.75" hidden="1">
      <c r="D157" s="342"/>
      <c r="H157" s="202"/>
      <c r="AY157" s="153" t="s">
        <v>893</v>
      </c>
      <c r="AZ157" s="126" t="s">
        <v>52</v>
      </c>
      <c r="BA157" s="187">
        <f t="shared" si="75"/>
        <v>206.89</v>
      </c>
      <c r="BB157" s="186"/>
      <c r="BR157" s="49">
        <v>625</v>
      </c>
      <c r="BS157" s="49">
        <f t="shared" si="73"/>
        <v>1625</v>
      </c>
      <c r="BT157" s="49" t="s">
        <v>681</v>
      </c>
    </row>
    <row r="158" spans="2:159" ht="18.75" hidden="1">
      <c r="B158" s="201" t="str">
        <f ca="1">IF(D150-D156&lt;0,"Overschrijding","Restant")</f>
        <v>Restant</v>
      </c>
      <c r="D158" s="342">
        <f ca="1">IF((D147-D156)&lt;0,0,E158)</f>
        <v>0</v>
      </c>
      <c r="E158" s="342">
        <f ca="1">IF($B$137="overschrijding",$F$131,$F$128)</f>
        <v>0</v>
      </c>
      <c r="H158" s="202"/>
      <c r="AY158" s="153" t="s">
        <v>894</v>
      </c>
      <c r="AZ158" s="126" t="s">
        <v>79</v>
      </c>
      <c r="BA158" s="187">
        <f t="shared" ref="BA158:BA189" si="76">VLOOKUP(AZ158,Tarieven_VPT0,9,FALSE)</f>
        <v>274.69</v>
      </c>
      <c r="BB158" s="186"/>
      <c r="BR158" s="49">
        <v>626</v>
      </c>
      <c r="BS158" s="49">
        <f t="shared" si="73"/>
        <v>1626</v>
      </c>
      <c r="BT158" s="49" t="s">
        <v>681</v>
      </c>
    </row>
    <row r="159" spans="2:159" ht="18.75" hidden="1">
      <c r="H159" s="202"/>
      <c r="AY159" s="153" t="s">
        <v>895</v>
      </c>
      <c r="AZ159" s="126" t="s">
        <v>148</v>
      </c>
      <c r="BA159" s="187">
        <f t="shared" si="76"/>
        <v>303.26</v>
      </c>
      <c r="BB159" s="186"/>
      <c r="BR159" s="49">
        <v>627</v>
      </c>
      <c r="BS159" s="49">
        <f t="shared" si="73"/>
        <v>1627</v>
      </c>
      <c r="BT159" s="49" t="s">
        <v>681</v>
      </c>
    </row>
    <row r="160" spans="2:159" ht="18.75" hidden="1">
      <c r="H160" s="202"/>
      <c r="AY160" s="153" t="s">
        <v>896</v>
      </c>
      <c r="AZ160" s="126" t="s">
        <v>140</v>
      </c>
      <c r="BA160" s="187">
        <f t="shared" si="76"/>
        <v>134.76</v>
      </c>
      <c r="BB160" s="186"/>
      <c r="BR160" s="49">
        <v>628</v>
      </c>
      <c r="BS160" s="49">
        <f t="shared" si="73"/>
        <v>1628</v>
      </c>
      <c r="BT160" s="49" t="s">
        <v>681</v>
      </c>
    </row>
    <row r="161" spans="8:72" ht="18.75" hidden="1">
      <c r="H161" s="202"/>
      <c r="AY161" s="153" t="s">
        <v>897</v>
      </c>
      <c r="AZ161" s="126" t="s">
        <v>191</v>
      </c>
      <c r="BA161" s="187">
        <f t="shared" si="76"/>
        <v>177.65</v>
      </c>
      <c r="BB161" s="186"/>
      <c r="BR161" s="49">
        <v>629</v>
      </c>
      <c r="BS161" s="49">
        <f t="shared" si="73"/>
        <v>1629</v>
      </c>
      <c r="BT161" s="49" t="s">
        <v>681</v>
      </c>
    </row>
    <row r="162" spans="8:72" ht="18.75" hidden="1">
      <c r="H162" s="202"/>
      <c r="AY162" s="153" t="s">
        <v>898</v>
      </c>
      <c r="AZ162" s="126" t="s">
        <v>117</v>
      </c>
      <c r="BA162" s="187">
        <f t="shared" si="76"/>
        <v>218.28</v>
      </c>
      <c r="BB162" s="186"/>
      <c r="BR162" s="49">
        <v>630</v>
      </c>
      <c r="BS162" s="49">
        <f t="shared" si="73"/>
        <v>1630</v>
      </c>
      <c r="BT162" s="49" t="s">
        <v>681</v>
      </c>
    </row>
    <row r="163" spans="8:72" ht="18.75" hidden="1">
      <c r="H163" s="202"/>
      <c r="AY163" s="153" t="s">
        <v>899</v>
      </c>
      <c r="AZ163" s="126" t="s">
        <v>27</v>
      </c>
      <c r="BA163" s="187">
        <f t="shared" si="76"/>
        <v>190.69</v>
      </c>
      <c r="BB163" s="186"/>
      <c r="BR163" s="49">
        <v>631</v>
      </c>
      <c r="BS163" s="49">
        <f t="shared" si="73"/>
        <v>1631</v>
      </c>
      <c r="BT163" s="49" t="s">
        <v>681</v>
      </c>
    </row>
    <row r="164" spans="8:72" ht="18.75" hidden="1">
      <c r="H164" s="202"/>
      <c r="AY164" s="153" t="s">
        <v>900</v>
      </c>
      <c r="AZ164" s="126" t="s">
        <v>197</v>
      </c>
      <c r="BA164" s="187">
        <f t="shared" si="76"/>
        <v>284.98</v>
      </c>
      <c r="BB164" s="186"/>
      <c r="BR164" s="49">
        <v>632</v>
      </c>
      <c r="BS164" s="49">
        <f t="shared" si="73"/>
        <v>1632</v>
      </c>
      <c r="BT164" s="49" t="s">
        <v>681</v>
      </c>
    </row>
    <row r="165" spans="8:72" ht="18.75" hidden="1">
      <c r="H165" s="202"/>
      <c r="AY165" s="153" t="s">
        <v>901</v>
      </c>
      <c r="AZ165" s="126" t="s">
        <v>166</v>
      </c>
      <c r="BA165" s="187">
        <f t="shared" si="76"/>
        <v>262.13</v>
      </c>
      <c r="BB165" s="186"/>
      <c r="BR165" s="49">
        <v>633</v>
      </c>
      <c r="BS165" s="49">
        <f t="shared" si="73"/>
        <v>1633</v>
      </c>
      <c r="BT165" s="49" t="s">
        <v>681</v>
      </c>
    </row>
    <row r="166" spans="8:72" ht="18.75" hidden="1">
      <c r="H166" s="202"/>
      <c r="AY166" s="153" t="s">
        <v>902</v>
      </c>
      <c r="AZ166" s="126" t="s">
        <v>178</v>
      </c>
      <c r="BA166" s="187">
        <f t="shared" si="76"/>
        <v>179.98</v>
      </c>
      <c r="BB166" s="186"/>
      <c r="BR166" s="49">
        <v>634</v>
      </c>
      <c r="BS166" s="49">
        <f t="shared" si="73"/>
        <v>1634</v>
      </c>
      <c r="BT166" s="49" t="s">
        <v>681</v>
      </c>
    </row>
    <row r="167" spans="8:72" ht="18.75" hidden="1">
      <c r="H167" s="202"/>
      <c r="AY167" s="153" t="s">
        <v>903</v>
      </c>
      <c r="AZ167" s="126" t="s">
        <v>54</v>
      </c>
      <c r="BA167" s="187">
        <f t="shared" si="76"/>
        <v>209.08</v>
      </c>
      <c r="BB167" s="186"/>
      <c r="BR167" s="49">
        <v>635</v>
      </c>
      <c r="BS167" s="49">
        <f t="shared" si="73"/>
        <v>1635</v>
      </c>
      <c r="BT167" s="49" t="s">
        <v>681</v>
      </c>
    </row>
    <row r="168" spans="8:72" ht="18.75" hidden="1">
      <c r="H168" s="202"/>
      <c r="AY168" s="153" t="s">
        <v>904</v>
      </c>
      <c r="AZ168" s="126" t="s">
        <v>212</v>
      </c>
      <c r="BA168" s="187">
        <f t="shared" si="76"/>
        <v>287.67</v>
      </c>
      <c r="BB168" s="186"/>
      <c r="BR168" s="49">
        <v>636</v>
      </c>
      <c r="BS168" s="49">
        <f t="shared" si="73"/>
        <v>1636</v>
      </c>
      <c r="BT168" s="49" t="s">
        <v>681</v>
      </c>
    </row>
    <row r="169" spans="8:72" ht="18.75" hidden="1">
      <c r="H169" s="202"/>
      <c r="AY169" s="153" t="s">
        <v>905</v>
      </c>
      <c r="AZ169" s="126" t="s">
        <v>131</v>
      </c>
      <c r="BA169" s="187">
        <f t="shared" si="76"/>
        <v>245.49</v>
      </c>
      <c r="BB169" s="186"/>
      <c r="BR169" s="49">
        <v>637</v>
      </c>
      <c r="BS169" s="49">
        <f t="shared" si="73"/>
        <v>1637</v>
      </c>
      <c r="BT169" s="49" t="s">
        <v>681</v>
      </c>
    </row>
    <row r="170" spans="8:72" ht="18.75" hidden="1">
      <c r="H170" s="202"/>
      <c r="AY170" s="153" t="s">
        <v>906</v>
      </c>
      <c r="AZ170" s="126" t="s">
        <v>105</v>
      </c>
      <c r="BA170" s="187">
        <f t="shared" si="76"/>
        <v>283.93</v>
      </c>
      <c r="BB170" s="186"/>
      <c r="BR170" s="49">
        <v>638</v>
      </c>
      <c r="BS170" s="49">
        <f t="shared" si="73"/>
        <v>1638</v>
      </c>
      <c r="BT170" s="49" t="s">
        <v>681</v>
      </c>
    </row>
    <row r="171" spans="8:72" ht="18.75" hidden="1">
      <c r="H171" s="202"/>
      <c r="AY171" s="153" t="s">
        <v>907</v>
      </c>
      <c r="AZ171" s="126" t="s">
        <v>213</v>
      </c>
      <c r="BA171" s="187">
        <f t="shared" si="76"/>
        <v>352.29</v>
      </c>
      <c r="BB171" s="186"/>
      <c r="BR171" s="49">
        <v>639</v>
      </c>
      <c r="BS171" s="49">
        <f t="shared" si="73"/>
        <v>1639</v>
      </c>
      <c r="BT171" s="49" t="s">
        <v>681</v>
      </c>
    </row>
    <row r="172" spans="8:72" ht="18.75" hidden="1">
      <c r="H172" s="202"/>
      <c r="AY172" s="153" t="s">
        <v>736</v>
      </c>
      <c r="AZ172" s="126" t="s">
        <v>68</v>
      </c>
      <c r="BA172" s="187">
        <f t="shared" si="76"/>
        <v>210.55</v>
      </c>
      <c r="BB172" s="186"/>
      <c r="BR172" s="49">
        <v>500</v>
      </c>
      <c r="BS172" s="49">
        <f t="shared" ref="BS172:BS191" si="77">BR172+1000</f>
        <v>1500</v>
      </c>
      <c r="BT172" s="49" t="s">
        <v>681</v>
      </c>
    </row>
    <row r="173" spans="8:72" ht="18.75" hidden="1">
      <c r="H173" s="202"/>
      <c r="AY173" s="153" t="s">
        <v>737</v>
      </c>
      <c r="AZ173" s="126" t="s">
        <v>152</v>
      </c>
      <c r="BA173" s="187">
        <f t="shared" si="76"/>
        <v>260.69</v>
      </c>
      <c r="BB173" s="186"/>
      <c r="BR173" s="49">
        <v>501</v>
      </c>
      <c r="BS173" s="49">
        <f t="shared" si="77"/>
        <v>1501</v>
      </c>
      <c r="BT173" s="49" t="s">
        <v>682</v>
      </c>
    </row>
    <row r="174" spans="8:72" ht="18.75" hidden="1">
      <c r="AY174" s="153" t="s">
        <v>738</v>
      </c>
      <c r="AZ174" s="126" t="s">
        <v>160</v>
      </c>
      <c r="BA174" s="187">
        <f t="shared" si="76"/>
        <v>338.38</v>
      </c>
      <c r="BB174" s="186"/>
      <c r="BR174" s="49">
        <v>502</v>
      </c>
      <c r="BS174" s="49">
        <f t="shared" si="77"/>
        <v>1502</v>
      </c>
      <c r="BT174" s="49" t="s">
        <v>681</v>
      </c>
    </row>
    <row r="175" spans="8:72" ht="18.75" hidden="1">
      <c r="AY175" s="153" t="s">
        <v>739</v>
      </c>
      <c r="AZ175" s="126" t="s">
        <v>144</v>
      </c>
      <c r="BA175" s="187">
        <f t="shared" si="76"/>
        <v>397.18</v>
      </c>
      <c r="BB175" s="186"/>
      <c r="BR175" s="49">
        <v>503</v>
      </c>
      <c r="BS175" s="49">
        <f t="shared" si="77"/>
        <v>1503</v>
      </c>
      <c r="BT175" s="49" t="s">
        <v>681</v>
      </c>
    </row>
    <row r="176" spans="8:72" ht="18.75" hidden="1">
      <c r="AY176" s="153" t="s">
        <v>740</v>
      </c>
      <c r="AZ176" s="126" t="s">
        <v>120</v>
      </c>
      <c r="BA176" s="187">
        <f t="shared" si="76"/>
        <v>375.99</v>
      </c>
      <c r="BB176" s="186"/>
      <c r="BR176" s="49">
        <v>504</v>
      </c>
      <c r="BS176" s="49">
        <f t="shared" si="77"/>
        <v>1504</v>
      </c>
      <c r="BT176" s="49" t="s">
        <v>681</v>
      </c>
    </row>
    <row r="177" spans="51:72" ht="18.75" hidden="1">
      <c r="AY177" s="153" t="s">
        <v>741</v>
      </c>
      <c r="AZ177" s="126" t="s">
        <v>292</v>
      </c>
      <c r="BA177" s="187">
        <f t="shared" si="76"/>
        <v>424.88</v>
      </c>
      <c r="BB177" s="186"/>
      <c r="BR177" s="49">
        <v>505</v>
      </c>
      <c r="BS177" s="49">
        <f t="shared" si="77"/>
        <v>1505</v>
      </c>
      <c r="BT177" s="49" t="s">
        <v>682</v>
      </c>
    </row>
    <row r="178" spans="51:72" ht="18.75" hidden="1">
      <c r="AY178" s="153" t="s">
        <v>742</v>
      </c>
      <c r="AZ178" s="126" t="s">
        <v>128</v>
      </c>
      <c r="BA178" s="187">
        <f t="shared" si="76"/>
        <v>92.95</v>
      </c>
      <c r="BB178" s="121"/>
      <c r="BR178" s="49">
        <v>506</v>
      </c>
      <c r="BS178" s="49">
        <f t="shared" si="77"/>
        <v>1506</v>
      </c>
      <c r="BT178" s="49" t="s">
        <v>681</v>
      </c>
    </row>
    <row r="179" spans="51:72" ht="18.75" hidden="1">
      <c r="AY179" s="153" t="s">
        <v>743</v>
      </c>
      <c r="AZ179" s="126" t="s">
        <v>66</v>
      </c>
      <c r="BA179" s="187">
        <f t="shared" si="76"/>
        <v>135.52000000000001</v>
      </c>
      <c r="BB179" s="121"/>
      <c r="BR179" s="49">
        <v>507</v>
      </c>
      <c r="BS179" s="49">
        <f t="shared" si="77"/>
        <v>1507</v>
      </c>
      <c r="BT179" s="49" t="s">
        <v>681</v>
      </c>
    </row>
    <row r="180" spans="51:72" ht="18.75" hidden="1">
      <c r="AY180" s="153" t="s">
        <v>908</v>
      </c>
      <c r="AZ180" s="126" t="s">
        <v>58</v>
      </c>
      <c r="BA180" s="187">
        <f t="shared" si="76"/>
        <v>159.05000000000001</v>
      </c>
      <c r="BB180" s="121"/>
      <c r="BR180" s="49">
        <v>508</v>
      </c>
      <c r="BS180" s="49">
        <f t="shared" si="77"/>
        <v>1508</v>
      </c>
      <c r="BT180" s="49" t="s">
        <v>682</v>
      </c>
    </row>
    <row r="181" spans="51:72" ht="18.75" hidden="1">
      <c r="AY181" s="153" t="s">
        <v>909</v>
      </c>
      <c r="AZ181" s="126" t="s">
        <v>164</v>
      </c>
      <c r="BA181" s="187">
        <f t="shared" si="76"/>
        <v>189.37</v>
      </c>
      <c r="BB181" s="121"/>
      <c r="BR181" s="49">
        <v>509</v>
      </c>
      <c r="BS181" s="49">
        <f t="shared" si="77"/>
        <v>1509</v>
      </c>
      <c r="BT181" s="49" t="s">
        <v>681</v>
      </c>
    </row>
    <row r="182" spans="51:72" ht="18.75" hidden="1">
      <c r="AY182" s="153" t="s">
        <v>744</v>
      </c>
      <c r="AZ182" s="126" t="s">
        <v>151</v>
      </c>
      <c r="BA182" s="187">
        <f t="shared" si="76"/>
        <v>105.62</v>
      </c>
      <c r="BB182" s="121"/>
      <c r="BR182" s="49">
        <v>510</v>
      </c>
      <c r="BS182" s="49">
        <f t="shared" si="77"/>
        <v>1510</v>
      </c>
      <c r="BT182" s="49" t="s">
        <v>681</v>
      </c>
    </row>
    <row r="183" spans="51:72" ht="18.75" hidden="1">
      <c r="AY183" s="153" t="s">
        <v>745</v>
      </c>
      <c r="AZ183" s="126" t="s">
        <v>207</v>
      </c>
      <c r="BA183" s="187">
        <f t="shared" si="76"/>
        <v>164.81</v>
      </c>
      <c r="BB183" s="121"/>
      <c r="BR183" s="49">
        <v>511</v>
      </c>
      <c r="BS183" s="49">
        <f t="shared" si="77"/>
        <v>1511</v>
      </c>
      <c r="BT183" s="49" t="s">
        <v>681</v>
      </c>
    </row>
    <row r="184" spans="51:72" ht="18.75" hidden="1">
      <c r="AY184" s="153" t="s">
        <v>746</v>
      </c>
      <c r="AZ184" s="126" t="s">
        <v>80</v>
      </c>
      <c r="BA184" s="187">
        <f t="shared" si="76"/>
        <v>167.04</v>
      </c>
      <c r="BB184" s="121"/>
      <c r="BR184" s="49">
        <v>512</v>
      </c>
      <c r="BS184" s="49">
        <f t="shared" si="77"/>
        <v>1512</v>
      </c>
      <c r="BT184" s="49" t="s">
        <v>681</v>
      </c>
    </row>
    <row r="185" spans="51:72" ht="18.75" hidden="1">
      <c r="AY185" s="153" t="s">
        <v>747</v>
      </c>
      <c r="AZ185" s="126" t="s">
        <v>135</v>
      </c>
      <c r="BA185" s="187">
        <f t="shared" si="76"/>
        <v>231.77</v>
      </c>
      <c r="BB185" s="121"/>
      <c r="BR185" s="49">
        <v>513</v>
      </c>
      <c r="BS185" s="49">
        <f t="shared" si="77"/>
        <v>1513</v>
      </c>
      <c r="BT185" s="49" t="s">
        <v>681</v>
      </c>
    </row>
    <row r="186" spans="51:72" ht="18.75" hidden="1">
      <c r="AY186" s="153" t="s">
        <v>748</v>
      </c>
      <c r="AZ186" s="126" t="s">
        <v>90</v>
      </c>
      <c r="BA186" s="187">
        <f t="shared" si="76"/>
        <v>262.18</v>
      </c>
      <c r="BB186" s="121"/>
      <c r="BR186" s="49">
        <v>514</v>
      </c>
      <c r="BS186" s="49">
        <f t="shared" si="77"/>
        <v>1514</v>
      </c>
      <c r="BT186" s="49" t="s">
        <v>681</v>
      </c>
    </row>
    <row r="187" spans="51:72" ht="18.75" hidden="1">
      <c r="AY187" s="153" t="s">
        <v>910</v>
      </c>
      <c r="AZ187" s="126" t="s">
        <v>75</v>
      </c>
      <c r="BA187" s="187">
        <f t="shared" si="76"/>
        <v>174.44</v>
      </c>
      <c r="BB187" s="121"/>
      <c r="BR187" s="49">
        <v>515</v>
      </c>
      <c r="BS187" s="49">
        <f t="shared" si="77"/>
        <v>1515</v>
      </c>
      <c r="BT187" s="49" t="s">
        <v>681</v>
      </c>
    </row>
    <row r="188" spans="51:72" ht="18.75" hidden="1">
      <c r="AY188" s="153" t="s">
        <v>911</v>
      </c>
      <c r="AZ188" s="126" t="s">
        <v>203</v>
      </c>
      <c r="BA188" s="187">
        <f t="shared" si="76"/>
        <v>220.21</v>
      </c>
      <c r="BB188" s="121"/>
      <c r="BR188" s="49">
        <v>516</v>
      </c>
      <c r="BS188" s="49">
        <f t="shared" si="77"/>
        <v>1516</v>
      </c>
      <c r="BT188" s="49" t="s">
        <v>681</v>
      </c>
    </row>
    <row r="189" spans="51:72" ht="18.75" hidden="1">
      <c r="AY189" s="153" t="s">
        <v>912</v>
      </c>
      <c r="AZ189" s="126" t="s">
        <v>86</v>
      </c>
      <c r="BA189" s="187">
        <f t="shared" si="76"/>
        <v>232.45</v>
      </c>
      <c r="BB189" s="121"/>
      <c r="BR189" s="49">
        <v>580</v>
      </c>
      <c r="BS189" s="49">
        <f t="shared" si="77"/>
        <v>1580</v>
      </c>
      <c r="BT189" s="49" t="s">
        <v>681</v>
      </c>
    </row>
    <row r="190" spans="51:72" ht="18.75" hidden="1">
      <c r="AY190" s="153" t="s">
        <v>913</v>
      </c>
      <c r="AZ190" s="126" t="s">
        <v>223</v>
      </c>
      <c r="BA190" s="187">
        <f t="shared" ref="BA190:BA221" si="78">VLOOKUP(AZ190,Tarieven_VPT0,9,FALSE)</f>
        <v>283.99</v>
      </c>
      <c r="BB190" s="121"/>
      <c r="BR190" s="49">
        <v>584</v>
      </c>
      <c r="BS190" s="49">
        <f t="shared" si="77"/>
        <v>1584</v>
      </c>
      <c r="BT190" s="49" t="s">
        <v>681</v>
      </c>
    </row>
    <row r="191" spans="51:72" ht="18.75" hidden="1">
      <c r="AY191" s="153" t="s">
        <v>914</v>
      </c>
      <c r="AZ191" s="126" t="s">
        <v>30</v>
      </c>
      <c r="BA191" s="187">
        <f t="shared" si="78"/>
        <v>316.69</v>
      </c>
      <c r="BB191" s="121"/>
      <c r="BR191" s="49">
        <v>585</v>
      </c>
      <c r="BS191" s="49">
        <f t="shared" si="77"/>
        <v>1585</v>
      </c>
      <c r="BT191" s="49" t="s">
        <v>681</v>
      </c>
    </row>
    <row r="192" spans="51:72" ht="18.75" hidden="1">
      <c r="AY192" s="153" t="s">
        <v>915</v>
      </c>
      <c r="AZ192" s="126" t="s">
        <v>104</v>
      </c>
      <c r="BA192" s="187">
        <f t="shared" si="78"/>
        <v>132.72</v>
      </c>
      <c r="BB192" s="121"/>
      <c r="BR192" s="49">
        <v>1001</v>
      </c>
      <c r="BS192" s="49">
        <f>BR192+1000</f>
        <v>2001</v>
      </c>
      <c r="BT192" s="49" t="s">
        <v>612</v>
      </c>
    </row>
    <row r="193" spans="51:72" ht="18.75" hidden="1">
      <c r="AY193" s="153" t="s">
        <v>916</v>
      </c>
      <c r="AZ193" s="126" t="s">
        <v>139</v>
      </c>
      <c r="BA193" s="187">
        <f t="shared" si="78"/>
        <v>207.16</v>
      </c>
      <c r="BB193" s="121"/>
      <c r="BR193" s="49">
        <v>1002</v>
      </c>
      <c r="BS193" s="49">
        <f t="shared" ref="BS193:BS208" si="79">BR193+1000</f>
        <v>2002</v>
      </c>
      <c r="BT193" s="49" t="s">
        <v>612</v>
      </c>
    </row>
    <row r="194" spans="51:72" ht="18.75" hidden="1">
      <c r="AY194" s="153" t="s">
        <v>917</v>
      </c>
      <c r="AZ194" s="126" t="s">
        <v>85</v>
      </c>
      <c r="BA194" s="187">
        <f t="shared" si="78"/>
        <v>210.2</v>
      </c>
      <c r="BB194" s="121"/>
      <c r="BR194" s="49">
        <v>1003</v>
      </c>
      <c r="BS194" s="49">
        <f t="shared" si="79"/>
        <v>2003</v>
      </c>
      <c r="BT194" s="49" t="s">
        <v>612</v>
      </c>
    </row>
    <row r="195" spans="51:72" ht="18.75" hidden="1">
      <c r="AY195" s="153" t="s">
        <v>918</v>
      </c>
      <c r="AZ195" s="126" t="s">
        <v>233</v>
      </c>
      <c r="BA195" s="187">
        <f t="shared" si="78"/>
        <v>290.68</v>
      </c>
      <c r="BB195" s="121"/>
      <c r="BR195" s="49">
        <v>1004</v>
      </c>
      <c r="BS195" s="49">
        <f t="shared" si="79"/>
        <v>2004</v>
      </c>
      <c r="BT195" s="49" t="s">
        <v>612</v>
      </c>
    </row>
    <row r="196" spans="51:72" ht="18.75" hidden="1">
      <c r="AY196" s="153" t="s">
        <v>919</v>
      </c>
      <c r="AZ196" s="126" t="s">
        <v>101</v>
      </c>
      <c r="BA196" s="187">
        <f t="shared" si="78"/>
        <v>325.18</v>
      </c>
      <c r="BB196" s="121"/>
      <c r="BR196" s="49">
        <v>1005</v>
      </c>
      <c r="BS196" s="49">
        <f t="shared" si="79"/>
        <v>2005</v>
      </c>
      <c r="BT196" s="49" t="s">
        <v>612</v>
      </c>
    </row>
    <row r="197" spans="51:72" ht="18.75" hidden="1">
      <c r="AY197" s="153" t="s">
        <v>920</v>
      </c>
      <c r="AZ197" s="126" t="s">
        <v>179</v>
      </c>
      <c r="BA197" s="187">
        <f t="shared" si="78"/>
        <v>197.4</v>
      </c>
      <c r="BB197" s="121"/>
      <c r="BR197" s="49">
        <v>1006</v>
      </c>
      <c r="BS197" s="49">
        <f t="shared" si="79"/>
        <v>2006</v>
      </c>
      <c r="BT197" s="49" t="s">
        <v>612</v>
      </c>
    </row>
    <row r="198" spans="51:72" ht="18.75" hidden="1">
      <c r="AY198" s="153" t="s">
        <v>921</v>
      </c>
      <c r="AZ198" s="126" t="s">
        <v>161</v>
      </c>
      <c r="BA198" s="187">
        <f t="shared" si="78"/>
        <v>245.95</v>
      </c>
      <c r="BB198" s="121"/>
      <c r="BR198" s="49">
        <v>1007</v>
      </c>
      <c r="BS198" s="49">
        <f t="shared" si="79"/>
        <v>2007</v>
      </c>
      <c r="BT198" s="49" t="s">
        <v>612</v>
      </c>
    </row>
    <row r="199" spans="51:72" ht="18.75" hidden="1">
      <c r="AY199" s="153" t="s">
        <v>922</v>
      </c>
      <c r="AZ199" s="126" t="s">
        <v>92</v>
      </c>
      <c r="BA199" s="187">
        <f t="shared" si="78"/>
        <v>274.75</v>
      </c>
      <c r="BB199" s="121"/>
      <c r="BR199" s="49">
        <v>1008</v>
      </c>
      <c r="BS199" s="49">
        <f t="shared" si="79"/>
        <v>2008</v>
      </c>
      <c r="BT199" s="49" t="s">
        <v>612</v>
      </c>
    </row>
    <row r="200" spans="51:72" ht="18.75" hidden="1">
      <c r="AY200" s="153" t="s">
        <v>923</v>
      </c>
      <c r="AZ200" s="126" t="s">
        <v>171</v>
      </c>
      <c r="BA200" s="187">
        <f t="shared" si="78"/>
        <v>344.82</v>
      </c>
      <c r="BB200" s="121"/>
      <c r="BR200" s="49">
        <v>1000</v>
      </c>
      <c r="BS200" s="49">
        <f t="shared" si="79"/>
        <v>2000</v>
      </c>
      <c r="BT200" s="49" t="s">
        <v>612</v>
      </c>
    </row>
    <row r="201" spans="51:72" ht="18.75" hidden="1">
      <c r="AY201" s="153" t="s">
        <v>924</v>
      </c>
      <c r="AZ201" s="126" t="s">
        <v>73</v>
      </c>
      <c r="BA201" s="187">
        <f t="shared" si="78"/>
        <v>357.58</v>
      </c>
      <c r="BB201" s="121"/>
      <c r="BR201" s="49">
        <v>1013</v>
      </c>
      <c r="BS201" s="49">
        <f t="shared" si="79"/>
        <v>2013</v>
      </c>
      <c r="BT201" s="49" t="s">
        <v>612</v>
      </c>
    </row>
    <row r="202" spans="51:72" ht="18.75" hidden="1">
      <c r="AY202" s="153" t="s">
        <v>1566</v>
      </c>
      <c r="AZ202" s="356" t="s">
        <v>1568</v>
      </c>
      <c r="BA202" s="187">
        <f t="shared" si="78"/>
        <v>130.52000000000001</v>
      </c>
      <c r="BB202" s="121"/>
      <c r="BR202" s="49">
        <v>1085</v>
      </c>
      <c r="BS202" s="49">
        <f t="shared" si="79"/>
        <v>2085</v>
      </c>
      <c r="BT202" s="49" t="s">
        <v>612</v>
      </c>
    </row>
    <row r="203" spans="51:72" ht="18.75" hidden="1">
      <c r="AY203" s="153" t="s">
        <v>1559</v>
      </c>
      <c r="AZ203" s="356" t="s">
        <v>1569</v>
      </c>
      <c r="BA203" s="187">
        <f t="shared" si="78"/>
        <v>156.88</v>
      </c>
      <c r="BB203" s="121"/>
      <c r="BR203" s="49">
        <v>1084</v>
      </c>
      <c r="BS203" s="49">
        <f t="shared" si="79"/>
        <v>2084</v>
      </c>
      <c r="BT203" s="49" t="s">
        <v>612</v>
      </c>
    </row>
    <row r="204" spans="51:72" ht="18.75" hidden="1">
      <c r="AY204" s="153" t="s">
        <v>1560</v>
      </c>
      <c r="AZ204" s="356" t="s">
        <v>1570</v>
      </c>
      <c r="BA204" s="187">
        <f t="shared" si="78"/>
        <v>170.87</v>
      </c>
      <c r="BB204" s="121"/>
      <c r="BR204" s="49">
        <v>1083</v>
      </c>
      <c r="BS204" s="49">
        <f t="shared" si="79"/>
        <v>2083</v>
      </c>
      <c r="BT204" s="49" t="s">
        <v>612</v>
      </c>
    </row>
    <row r="205" spans="51:72" ht="18.75" hidden="1">
      <c r="AY205" s="153" t="s">
        <v>1561</v>
      </c>
      <c r="AZ205" s="356" t="s">
        <v>1571</v>
      </c>
      <c r="BA205" s="187">
        <f t="shared" si="78"/>
        <v>214.97</v>
      </c>
      <c r="BB205" s="121"/>
      <c r="BR205" s="49">
        <v>1080</v>
      </c>
      <c r="BS205" s="49">
        <f t="shared" si="79"/>
        <v>2080</v>
      </c>
      <c r="BT205" s="49" t="s">
        <v>612</v>
      </c>
    </row>
    <row r="206" spans="51:72" ht="18.75" hidden="1">
      <c r="AY206" s="153" t="s">
        <v>1562</v>
      </c>
      <c r="AZ206" s="356" t="s">
        <v>1572</v>
      </c>
      <c r="BA206" s="187">
        <f t="shared" si="78"/>
        <v>286.73</v>
      </c>
      <c r="BB206" s="121"/>
      <c r="BR206" s="49">
        <v>1088</v>
      </c>
      <c r="BS206" s="49">
        <f t="shared" si="79"/>
        <v>2088</v>
      </c>
      <c r="BT206" s="49" t="s">
        <v>612</v>
      </c>
    </row>
    <row r="207" spans="51:72" ht="18.75" hidden="1">
      <c r="AY207" s="153" t="s">
        <v>1563</v>
      </c>
      <c r="AZ207" s="356" t="s">
        <v>1573</v>
      </c>
      <c r="BA207" s="187">
        <f t="shared" si="78"/>
        <v>171.74</v>
      </c>
      <c r="BB207" s="121"/>
      <c r="BR207" s="49">
        <v>1101</v>
      </c>
      <c r="BS207" s="49">
        <f t="shared" si="79"/>
        <v>2101</v>
      </c>
      <c r="BT207" s="49" t="s">
        <v>612</v>
      </c>
    </row>
    <row r="208" spans="51:72" ht="18.75" hidden="1">
      <c r="AY208" s="153" t="s">
        <v>1564</v>
      </c>
      <c r="AZ208" s="356" t="s">
        <v>1574</v>
      </c>
      <c r="BA208" s="187">
        <f t="shared" si="78"/>
        <v>201.58</v>
      </c>
      <c r="BB208" s="121"/>
      <c r="BR208" s="49">
        <v>1102</v>
      </c>
      <c r="BS208" s="49">
        <f t="shared" si="79"/>
        <v>2102</v>
      </c>
      <c r="BT208" s="49" t="s">
        <v>612</v>
      </c>
    </row>
    <row r="209" spans="51:72" ht="18.75" hidden="1">
      <c r="AY209" s="153" t="s">
        <v>1565</v>
      </c>
      <c r="AZ209" s="356" t="s">
        <v>1575</v>
      </c>
      <c r="BA209" s="187">
        <f t="shared" si="78"/>
        <v>215.16</v>
      </c>
      <c r="BB209" s="121"/>
    </row>
    <row r="210" spans="51:72" ht="18.75" hidden="1">
      <c r="AY210" s="153" t="s">
        <v>1558</v>
      </c>
      <c r="AZ210" s="356" t="s">
        <v>1576</v>
      </c>
      <c r="BA210" s="187">
        <f t="shared" si="78"/>
        <v>261.13</v>
      </c>
      <c r="BB210" s="121"/>
      <c r="BR210" s="49">
        <v>1103</v>
      </c>
      <c r="BS210" s="49">
        <f>BR210+1000</f>
        <v>2103</v>
      </c>
      <c r="BT210" s="49" t="s">
        <v>612</v>
      </c>
    </row>
    <row r="211" spans="51:72" ht="18.75" hidden="1">
      <c r="AY211" s="153" t="s">
        <v>1557</v>
      </c>
      <c r="AZ211" s="356" t="s">
        <v>1577</v>
      </c>
      <c r="BA211" s="187">
        <f t="shared" si="78"/>
        <v>353.99</v>
      </c>
      <c r="BB211" s="121"/>
      <c r="BR211" s="49">
        <v>1104</v>
      </c>
      <c r="BS211" s="49">
        <f t="shared" ref="BS211:BS274" si="80">BR211+1000</f>
        <v>2104</v>
      </c>
      <c r="BT211" s="49" t="s">
        <v>612</v>
      </c>
    </row>
    <row r="212" spans="51:72" ht="18.75" hidden="1">
      <c r="AY212" s="153" t="s">
        <v>749</v>
      </c>
      <c r="AZ212" s="126" t="s">
        <v>220</v>
      </c>
      <c r="BA212" s="187">
        <f t="shared" si="78"/>
        <v>158.05000000000001</v>
      </c>
      <c r="BB212" s="121"/>
      <c r="BR212" s="49">
        <v>1105</v>
      </c>
      <c r="BS212" s="49">
        <f t="shared" si="80"/>
        <v>2105</v>
      </c>
      <c r="BT212" s="49" t="s">
        <v>612</v>
      </c>
    </row>
    <row r="213" spans="51:72" ht="18.75" hidden="1">
      <c r="AY213" s="153" t="s">
        <v>752</v>
      </c>
      <c r="AZ213" s="126" t="s">
        <v>110</v>
      </c>
      <c r="BA213" s="187">
        <f t="shared" si="78"/>
        <v>191.21</v>
      </c>
      <c r="BB213" s="121"/>
      <c r="BR213" s="49">
        <v>1106</v>
      </c>
      <c r="BS213" s="49">
        <f t="shared" si="80"/>
        <v>2106</v>
      </c>
      <c r="BT213" s="49" t="s">
        <v>612</v>
      </c>
    </row>
    <row r="214" spans="51:72" ht="18.75" hidden="1">
      <c r="AY214" s="153" t="s">
        <v>750</v>
      </c>
      <c r="AZ214" s="126" t="s">
        <v>98</v>
      </c>
      <c r="BA214" s="187">
        <f t="shared" si="78"/>
        <v>322.79000000000002</v>
      </c>
      <c r="BB214" s="121"/>
      <c r="BR214" s="49">
        <v>1107</v>
      </c>
      <c r="BS214" s="49">
        <f t="shared" si="80"/>
        <v>2107</v>
      </c>
      <c r="BT214" s="49" t="s">
        <v>612</v>
      </c>
    </row>
    <row r="215" spans="51:72" ht="18.75" hidden="1">
      <c r="AY215" s="153" t="s">
        <v>751</v>
      </c>
      <c r="AZ215" s="126" t="s">
        <v>113</v>
      </c>
      <c r="BA215" s="187">
        <f t="shared" si="78"/>
        <v>369.9</v>
      </c>
      <c r="BB215" s="121"/>
      <c r="BR215" s="49">
        <v>1108</v>
      </c>
      <c r="BS215" s="49">
        <f t="shared" si="80"/>
        <v>2108</v>
      </c>
      <c r="BT215" s="49" t="s">
        <v>612</v>
      </c>
    </row>
    <row r="216" spans="51:72" ht="18.75" hidden="1">
      <c r="AY216" s="153" t="s">
        <v>925</v>
      </c>
      <c r="AZ216" s="126" t="s">
        <v>28</v>
      </c>
      <c r="BA216" s="187">
        <f t="shared" si="78"/>
        <v>202.9</v>
      </c>
      <c r="BB216" s="121"/>
      <c r="BR216" s="49">
        <v>1109</v>
      </c>
      <c r="BS216" s="49">
        <f t="shared" si="80"/>
        <v>2109</v>
      </c>
      <c r="BT216" s="49" t="s">
        <v>612</v>
      </c>
    </row>
    <row r="217" spans="51:72" ht="18.75" hidden="1">
      <c r="AY217" s="153" t="s">
        <v>928</v>
      </c>
      <c r="AZ217" s="126" t="s">
        <v>156</v>
      </c>
      <c r="BA217" s="187">
        <f t="shared" si="78"/>
        <v>264.01</v>
      </c>
      <c r="BB217" s="121"/>
      <c r="BR217" s="49">
        <v>1600</v>
      </c>
      <c r="BS217" s="49">
        <f t="shared" si="80"/>
        <v>2600</v>
      </c>
      <c r="BT217" s="49" t="s">
        <v>612</v>
      </c>
    </row>
    <row r="218" spans="51:72" ht="18.75" hidden="1">
      <c r="AY218" s="153" t="s">
        <v>926</v>
      </c>
      <c r="AZ218" s="126" t="s">
        <v>44</v>
      </c>
      <c r="BA218" s="187">
        <f t="shared" si="78"/>
        <v>380.27</v>
      </c>
      <c r="BB218" s="121"/>
      <c r="BR218" s="49">
        <v>1601</v>
      </c>
      <c r="BS218" s="49">
        <f t="shared" si="80"/>
        <v>2601</v>
      </c>
      <c r="BT218" s="49" t="s">
        <v>612</v>
      </c>
    </row>
    <row r="219" spans="51:72" ht="18.75" hidden="1">
      <c r="AY219" s="153" t="s">
        <v>927</v>
      </c>
      <c r="AZ219" s="126" t="s">
        <v>195</v>
      </c>
      <c r="BA219" s="187">
        <f t="shared" si="78"/>
        <v>419.77</v>
      </c>
      <c r="BB219" s="121"/>
      <c r="BR219" s="49">
        <v>1602</v>
      </c>
      <c r="BS219" s="49">
        <f t="shared" si="80"/>
        <v>2602</v>
      </c>
      <c r="BT219" s="49" t="s">
        <v>612</v>
      </c>
    </row>
    <row r="220" spans="51:72" ht="18.75" hidden="1">
      <c r="AY220" s="153" t="s">
        <v>929</v>
      </c>
      <c r="AZ220" s="126" t="s">
        <v>184</v>
      </c>
      <c r="BA220" s="187">
        <f t="shared" si="78"/>
        <v>148.87</v>
      </c>
      <c r="BB220" s="121"/>
      <c r="BR220" s="49">
        <v>1603</v>
      </c>
      <c r="BS220" s="49">
        <f t="shared" si="80"/>
        <v>2603</v>
      </c>
      <c r="BT220" s="49" t="s">
        <v>612</v>
      </c>
    </row>
    <row r="221" spans="51:72" ht="18.75" hidden="1">
      <c r="AY221" s="153" t="s">
        <v>932</v>
      </c>
      <c r="AZ221" s="126" t="s">
        <v>230</v>
      </c>
      <c r="BA221" s="187">
        <f t="shared" si="78"/>
        <v>218.27</v>
      </c>
      <c r="BB221" s="121"/>
      <c r="BR221" s="49">
        <v>1604</v>
      </c>
      <c r="BS221" s="49">
        <f t="shared" si="80"/>
        <v>2604</v>
      </c>
      <c r="BT221" s="49" t="s">
        <v>612</v>
      </c>
    </row>
    <row r="222" spans="51:72" ht="18.75" hidden="1">
      <c r="AY222" s="153" t="s">
        <v>930</v>
      </c>
      <c r="AZ222" s="126" t="s">
        <v>134</v>
      </c>
      <c r="BA222" s="187">
        <f t="shared" ref="BA222:BA243" si="81">VLOOKUP(AZ222,Tarieven_VPT0,9,FALSE)</f>
        <v>326.68</v>
      </c>
      <c r="BB222" s="121"/>
      <c r="BR222" s="49">
        <v>1605</v>
      </c>
      <c r="BS222" s="49">
        <f t="shared" si="80"/>
        <v>2605</v>
      </c>
      <c r="BT222" s="49" t="s">
        <v>612</v>
      </c>
    </row>
    <row r="223" spans="51:72" ht="18.75" hidden="1">
      <c r="AY223" s="153" t="s">
        <v>931</v>
      </c>
      <c r="AZ223" s="126" t="s">
        <v>53</v>
      </c>
      <c r="BA223" s="187">
        <f t="shared" si="81"/>
        <v>375.93</v>
      </c>
      <c r="BB223" s="121"/>
      <c r="BR223" s="49">
        <v>1606</v>
      </c>
      <c r="BS223" s="49">
        <f t="shared" si="80"/>
        <v>2606</v>
      </c>
      <c r="BT223" s="49" t="s">
        <v>612</v>
      </c>
    </row>
    <row r="224" spans="51:72" ht="18.75" hidden="1">
      <c r="AY224" s="153" t="s">
        <v>933</v>
      </c>
      <c r="AZ224" s="126" t="s">
        <v>23</v>
      </c>
      <c r="BA224" s="187">
        <f t="shared" si="81"/>
        <v>210.52</v>
      </c>
      <c r="BB224" s="121"/>
      <c r="BR224" s="49">
        <v>1607</v>
      </c>
      <c r="BS224" s="49">
        <f t="shared" si="80"/>
        <v>2607</v>
      </c>
      <c r="BT224" s="49" t="s">
        <v>612</v>
      </c>
    </row>
    <row r="225" spans="51:72" ht="18.75" hidden="1">
      <c r="AY225" s="153" t="s">
        <v>936</v>
      </c>
      <c r="AZ225" s="126" t="s">
        <v>202</v>
      </c>
      <c r="BA225" s="187">
        <f t="shared" si="81"/>
        <v>290.91000000000003</v>
      </c>
      <c r="BB225" s="121"/>
      <c r="BR225" s="49">
        <v>1608</v>
      </c>
      <c r="BS225" s="49">
        <f t="shared" si="80"/>
        <v>2608</v>
      </c>
      <c r="BT225" s="49" t="s">
        <v>612</v>
      </c>
    </row>
    <row r="226" spans="51:72" ht="18.75" hidden="1">
      <c r="AY226" s="153" t="s">
        <v>934</v>
      </c>
      <c r="AZ226" s="126" t="s">
        <v>107</v>
      </c>
      <c r="BA226" s="187">
        <f t="shared" si="81"/>
        <v>416.38</v>
      </c>
      <c r="BB226" s="121"/>
      <c r="BR226" s="49">
        <v>1609</v>
      </c>
      <c r="BS226" s="49">
        <f t="shared" si="80"/>
        <v>2609</v>
      </c>
      <c r="BT226" s="49" t="s">
        <v>612</v>
      </c>
    </row>
    <row r="227" spans="51:72" ht="18.75" hidden="1">
      <c r="AY227" s="153" t="s">
        <v>935</v>
      </c>
      <c r="AZ227" s="126" t="s">
        <v>67</v>
      </c>
      <c r="BA227" s="187">
        <f t="shared" si="81"/>
        <v>491.53</v>
      </c>
      <c r="BB227" s="121"/>
      <c r="BR227" s="49">
        <v>1610</v>
      </c>
      <c r="BS227" s="49">
        <f t="shared" si="80"/>
        <v>2610</v>
      </c>
      <c r="BT227" s="49" t="s">
        <v>612</v>
      </c>
    </row>
    <row r="228" spans="51:72" ht="18.75" hidden="1">
      <c r="AY228" s="153" t="s">
        <v>753</v>
      </c>
      <c r="AZ228" s="126" t="s">
        <v>59</v>
      </c>
      <c r="BA228" s="187">
        <f t="shared" si="81"/>
        <v>84.17</v>
      </c>
      <c r="BB228" s="121"/>
      <c r="BR228" s="49">
        <v>1611</v>
      </c>
      <c r="BS228" s="49">
        <f t="shared" si="80"/>
        <v>2611</v>
      </c>
      <c r="BT228" s="49" t="s">
        <v>612</v>
      </c>
    </row>
    <row r="229" spans="51:72" ht="18.75" hidden="1">
      <c r="AY229" s="153" t="s">
        <v>754</v>
      </c>
      <c r="AZ229" s="126" t="s">
        <v>116</v>
      </c>
      <c r="BA229" s="187">
        <f t="shared" si="81"/>
        <v>135.72</v>
      </c>
      <c r="BB229" s="121"/>
      <c r="BR229" s="49">
        <v>1612</v>
      </c>
      <c r="BS229" s="49">
        <f t="shared" si="80"/>
        <v>2612</v>
      </c>
      <c r="BT229" s="49" t="s">
        <v>612</v>
      </c>
    </row>
    <row r="230" spans="51:72" ht="18.75" hidden="1">
      <c r="AY230" s="153" t="s">
        <v>937</v>
      </c>
      <c r="AZ230" s="126" t="s">
        <v>208</v>
      </c>
      <c r="BA230" s="187">
        <f t="shared" si="81"/>
        <v>147.24</v>
      </c>
      <c r="BB230" s="121"/>
      <c r="BR230" s="49">
        <v>1613</v>
      </c>
      <c r="BS230" s="49">
        <f t="shared" si="80"/>
        <v>2613</v>
      </c>
      <c r="BT230" s="49" t="s">
        <v>612</v>
      </c>
    </row>
    <row r="231" spans="51:72" ht="18.75" hidden="1">
      <c r="AY231" s="153" t="s">
        <v>938</v>
      </c>
      <c r="AZ231" s="126" t="s">
        <v>147</v>
      </c>
      <c r="BA231" s="187">
        <f t="shared" si="81"/>
        <v>190.3</v>
      </c>
      <c r="BB231" s="121"/>
      <c r="BR231" s="49">
        <v>1614</v>
      </c>
      <c r="BS231" s="49">
        <f t="shared" si="80"/>
        <v>2614</v>
      </c>
      <c r="BT231" s="49" t="s">
        <v>612</v>
      </c>
    </row>
    <row r="232" spans="51:72" ht="18.75" hidden="1">
      <c r="AY232" s="153" t="s">
        <v>755</v>
      </c>
      <c r="AZ232" s="126" t="s">
        <v>132</v>
      </c>
      <c r="BA232" s="187">
        <f t="shared" si="81"/>
        <v>173.86</v>
      </c>
      <c r="BB232" s="121"/>
      <c r="BR232" s="49">
        <v>1615</v>
      </c>
      <c r="BS232" s="49">
        <f t="shared" si="80"/>
        <v>2615</v>
      </c>
      <c r="BT232" s="49" t="s">
        <v>612</v>
      </c>
    </row>
    <row r="233" spans="51:72" ht="18.75" hidden="1">
      <c r="AY233" s="153" t="s">
        <v>756</v>
      </c>
      <c r="AZ233" s="126" t="s">
        <v>182</v>
      </c>
      <c r="BA233" s="187">
        <f t="shared" si="81"/>
        <v>226.73</v>
      </c>
      <c r="BB233" s="121"/>
      <c r="BR233" s="49">
        <v>1616</v>
      </c>
      <c r="BS233" s="49">
        <f t="shared" si="80"/>
        <v>2616</v>
      </c>
      <c r="BT233" s="49" t="s">
        <v>612</v>
      </c>
    </row>
    <row r="234" spans="51:72" ht="18.75" hidden="1">
      <c r="AY234" s="153" t="s">
        <v>757</v>
      </c>
      <c r="AZ234" s="126" t="s">
        <v>168</v>
      </c>
      <c r="BA234" s="187">
        <f t="shared" si="81"/>
        <v>251.64</v>
      </c>
      <c r="BB234" s="121"/>
      <c r="BR234" s="49">
        <v>1617</v>
      </c>
      <c r="BS234" s="49">
        <f t="shared" si="80"/>
        <v>2617</v>
      </c>
      <c r="BT234" s="49" t="s">
        <v>612</v>
      </c>
    </row>
    <row r="235" spans="51:72" ht="18.75" hidden="1">
      <c r="AY235" s="153" t="s">
        <v>939</v>
      </c>
      <c r="AZ235" s="126" t="s">
        <v>50</v>
      </c>
      <c r="BA235" s="187">
        <f t="shared" si="81"/>
        <v>226.95</v>
      </c>
      <c r="BB235" s="121"/>
      <c r="BR235" s="49">
        <v>1618</v>
      </c>
      <c r="BS235" s="49">
        <f t="shared" si="80"/>
        <v>2618</v>
      </c>
      <c r="BT235" s="49" t="s">
        <v>612</v>
      </c>
    </row>
    <row r="236" spans="51:72" ht="18.75" hidden="1">
      <c r="AY236" s="153" t="s">
        <v>940</v>
      </c>
      <c r="AZ236" s="126" t="s">
        <v>118</v>
      </c>
      <c r="BA236" s="187">
        <f t="shared" si="81"/>
        <v>295.37</v>
      </c>
      <c r="BB236" s="121"/>
      <c r="BR236" s="49">
        <v>1619</v>
      </c>
      <c r="BS236" s="49">
        <f t="shared" si="80"/>
        <v>2619</v>
      </c>
      <c r="BT236" s="49" t="s">
        <v>612</v>
      </c>
    </row>
    <row r="237" spans="51:72" ht="18.75" hidden="1">
      <c r="AY237" s="153" t="s">
        <v>941</v>
      </c>
      <c r="AZ237" s="126" t="s">
        <v>216</v>
      </c>
      <c r="BA237" s="187">
        <f t="shared" si="81"/>
        <v>320.08999999999997</v>
      </c>
      <c r="BB237" s="121"/>
      <c r="BR237" s="49">
        <v>1620</v>
      </c>
      <c r="BS237" s="49">
        <f t="shared" si="80"/>
        <v>2620</v>
      </c>
      <c r="BT237" s="49" t="s">
        <v>612</v>
      </c>
    </row>
    <row r="238" spans="51:72" ht="18.75" hidden="1">
      <c r="AY238" s="153" t="s">
        <v>942</v>
      </c>
      <c r="AZ238" s="126" t="s">
        <v>169</v>
      </c>
      <c r="BA238" s="187">
        <f t="shared" si="81"/>
        <v>188.99</v>
      </c>
      <c r="BB238" s="121"/>
      <c r="BR238" s="49">
        <v>1621</v>
      </c>
      <c r="BS238" s="49">
        <f t="shared" si="80"/>
        <v>2621</v>
      </c>
      <c r="BT238" s="49" t="s">
        <v>612</v>
      </c>
    </row>
    <row r="239" spans="51:72" ht="18.75" hidden="1">
      <c r="AY239" s="153" t="s">
        <v>943</v>
      </c>
      <c r="AZ239" s="126" t="s">
        <v>24</v>
      </c>
      <c r="BA239" s="187">
        <f t="shared" si="81"/>
        <v>249.11</v>
      </c>
      <c r="BB239" s="121"/>
      <c r="BR239" s="49">
        <v>1622</v>
      </c>
      <c r="BS239" s="49">
        <f t="shared" si="80"/>
        <v>2622</v>
      </c>
      <c r="BT239" s="49" t="s">
        <v>612</v>
      </c>
    </row>
    <row r="240" spans="51:72" ht="18.75" hidden="1">
      <c r="AY240" s="153" t="s">
        <v>944</v>
      </c>
      <c r="AZ240" s="126" t="s">
        <v>153</v>
      </c>
      <c r="BA240" s="187">
        <f t="shared" si="81"/>
        <v>280.20999999999998</v>
      </c>
      <c r="BB240" s="121"/>
      <c r="BR240" s="49">
        <v>1623</v>
      </c>
      <c r="BS240" s="49">
        <f t="shared" si="80"/>
        <v>2623</v>
      </c>
      <c r="BT240" s="49" t="s">
        <v>612</v>
      </c>
    </row>
    <row r="241" spans="51:72" ht="18.75" hidden="1">
      <c r="AY241" s="153" t="s">
        <v>945</v>
      </c>
      <c r="AZ241" s="126" t="s">
        <v>173</v>
      </c>
      <c r="BA241" s="187">
        <f t="shared" si="81"/>
        <v>242.58</v>
      </c>
      <c r="BB241" s="121"/>
      <c r="BR241" s="49">
        <v>1624</v>
      </c>
      <c r="BS241" s="49">
        <f t="shared" si="80"/>
        <v>2624</v>
      </c>
      <c r="BT241" s="49" t="s">
        <v>612</v>
      </c>
    </row>
    <row r="242" spans="51:72" ht="18.75" hidden="1">
      <c r="AY242" s="153" t="s">
        <v>946</v>
      </c>
      <c r="AZ242" s="126" t="s">
        <v>76</v>
      </c>
      <c r="BA242" s="187">
        <f t="shared" si="81"/>
        <v>319.08999999999997</v>
      </c>
      <c r="BB242" s="121"/>
      <c r="BR242" s="49">
        <v>1625</v>
      </c>
      <c r="BS242" s="49">
        <f t="shared" si="80"/>
        <v>2625</v>
      </c>
      <c r="BT242" s="49" t="s">
        <v>612</v>
      </c>
    </row>
    <row r="243" spans="51:72" ht="18.75" hidden="1">
      <c r="AY243" s="153" t="s">
        <v>947</v>
      </c>
      <c r="AZ243" s="126" t="s">
        <v>102</v>
      </c>
      <c r="BA243" s="187">
        <f t="shared" si="81"/>
        <v>351.05</v>
      </c>
      <c r="BB243" s="121"/>
      <c r="BR243" s="49">
        <v>1626</v>
      </c>
      <c r="BS243" s="49">
        <f t="shared" si="80"/>
        <v>2626</v>
      </c>
      <c r="BT243" s="49" t="s">
        <v>612</v>
      </c>
    </row>
    <row r="244" spans="51:72" ht="18.75" hidden="1">
      <c r="AY244" s="153" t="s">
        <v>1004</v>
      </c>
      <c r="AZ244" s="126" t="s">
        <v>3</v>
      </c>
      <c r="BA244" s="187">
        <f t="shared" ref="BA244:BA275" si="82">VLOOKUP(AZ244,Tarieven_ZZP0,9,FALSE)</f>
        <v>36.94</v>
      </c>
      <c r="BB244" s="121"/>
      <c r="BR244" s="49">
        <v>1627</v>
      </c>
      <c r="BS244" s="49">
        <f t="shared" si="80"/>
        <v>2627</v>
      </c>
      <c r="BT244" s="49" t="s">
        <v>612</v>
      </c>
    </row>
    <row r="245" spans="51:72" ht="18.75" hidden="1">
      <c r="AY245" s="153" t="s">
        <v>950</v>
      </c>
      <c r="AZ245" s="126" t="s">
        <v>980</v>
      </c>
      <c r="BA245" s="187">
        <f t="shared" si="82"/>
        <v>55.77</v>
      </c>
      <c r="BB245" s="121"/>
      <c r="BR245" s="49">
        <v>1628</v>
      </c>
      <c r="BS245" s="49">
        <f t="shared" si="80"/>
        <v>2628</v>
      </c>
      <c r="BT245" s="49" t="s">
        <v>612</v>
      </c>
    </row>
    <row r="246" spans="51:72" ht="18.75" hidden="1">
      <c r="AY246" s="153" t="s">
        <v>951</v>
      </c>
      <c r="AZ246" s="126" t="s">
        <v>982</v>
      </c>
      <c r="BA246" s="187">
        <f t="shared" si="82"/>
        <v>55.85</v>
      </c>
      <c r="BB246" s="121"/>
      <c r="BR246" s="49">
        <v>1629</v>
      </c>
      <c r="BS246" s="49">
        <f t="shared" si="80"/>
        <v>2629</v>
      </c>
      <c r="BT246" s="49" t="s">
        <v>612</v>
      </c>
    </row>
    <row r="247" spans="51:72" ht="18.75" hidden="1">
      <c r="AY247" s="153" t="s">
        <v>952</v>
      </c>
      <c r="AZ247" s="126" t="s">
        <v>1272</v>
      </c>
      <c r="BA247" s="187">
        <f t="shared" si="82"/>
        <v>100.33</v>
      </c>
      <c r="BB247" s="121"/>
      <c r="BR247" s="49">
        <v>1630</v>
      </c>
      <c r="BS247" s="49">
        <f t="shared" si="80"/>
        <v>2630</v>
      </c>
      <c r="BT247" s="49" t="s">
        <v>612</v>
      </c>
    </row>
    <row r="248" spans="51:72" ht="18.75" hidden="1">
      <c r="AY248" s="153" t="s">
        <v>953</v>
      </c>
      <c r="AZ248" s="126" t="s">
        <v>4</v>
      </c>
      <c r="BA248" s="187">
        <f t="shared" si="82"/>
        <v>98.88</v>
      </c>
      <c r="BB248" s="121"/>
      <c r="BR248" s="49">
        <v>1631</v>
      </c>
      <c r="BS248" s="49">
        <f t="shared" si="80"/>
        <v>2631</v>
      </c>
      <c r="BT248" s="49" t="s">
        <v>612</v>
      </c>
    </row>
    <row r="249" spans="51:72" ht="18.75" hidden="1">
      <c r="AY249" s="153" t="s">
        <v>954</v>
      </c>
      <c r="AZ249" s="126" t="s">
        <v>252</v>
      </c>
      <c r="BA249" s="187">
        <f t="shared" si="82"/>
        <v>54.99</v>
      </c>
      <c r="BB249" s="121"/>
      <c r="BR249" s="49">
        <v>1632</v>
      </c>
      <c r="BS249" s="49">
        <f t="shared" si="80"/>
        <v>2632</v>
      </c>
      <c r="BT249" s="49" t="s">
        <v>612</v>
      </c>
    </row>
    <row r="250" spans="51:72" ht="18.75" hidden="1">
      <c r="AY250" s="153" t="s">
        <v>955</v>
      </c>
      <c r="AZ250" s="126" t="s">
        <v>987</v>
      </c>
      <c r="BA250" s="187">
        <f t="shared" si="82"/>
        <v>62.67</v>
      </c>
      <c r="BB250" s="121"/>
      <c r="BR250" s="49">
        <v>1633</v>
      </c>
      <c r="BS250" s="49">
        <f t="shared" si="80"/>
        <v>2633</v>
      </c>
      <c r="BT250" s="49" t="s">
        <v>612</v>
      </c>
    </row>
    <row r="251" spans="51:72" ht="18.75" hidden="1">
      <c r="AY251" s="153" t="s">
        <v>956</v>
      </c>
      <c r="AZ251" s="126" t="s">
        <v>989</v>
      </c>
      <c r="BA251" s="187">
        <f t="shared" si="82"/>
        <v>65.55</v>
      </c>
      <c r="BB251" s="121"/>
      <c r="BR251" s="49">
        <v>1634</v>
      </c>
      <c r="BS251" s="49">
        <f t="shared" si="80"/>
        <v>2634</v>
      </c>
      <c r="BT251" s="49" t="s">
        <v>612</v>
      </c>
    </row>
    <row r="252" spans="51:72" ht="18.75" hidden="1">
      <c r="AY252" s="153" t="s">
        <v>957</v>
      </c>
      <c r="AZ252" s="126" t="s">
        <v>991</v>
      </c>
      <c r="BA252" s="187">
        <f t="shared" si="82"/>
        <v>69.55</v>
      </c>
      <c r="BB252" s="121"/>
      <c r="BR252" s="49">
        <v>1635</v>
      </c>
      <c r="BS252" s="49">
        <f t="shared" si="80"/>
        <v>2635</v>
      </c>
      <c r="BT252" s="49" t="s">
        <v>612</v>
      </c>
    </row>
    <row r="253" spans="51:72" ht="18.75" hidden="1">
      <c r="AY253" s="153" t="s">
        <v>958</v>
      </c>
      <c r="AZ253" s="126" t="s">
        <v>993</v>
      </c>
      <c r="BA253" s="187">
        <f t="shared" si="82"/>
        <v>70.34</v>
      </c>
      <c r="BB253" s="121"/>
      <c r="BR253" s="49">
        <v>1636</v>
      </c>
      <c r="BS253" s="49">
        <f t="shared" si="80"/>
        <v>2636</v>
      </c>
      <c r="BT253" s="49" t="s">
        <v>612</v>
      </c>
    </row>
    <row r="254" spans="51:72" ht="18.75" hidden="1">
      <c r="AY254" s="153" t="s">
        <v>959</v>
      </c>
      <c r="AZ254" s="126" t="s">
        <v>255</v>
      </c>
      <c r="BA254" s="187">
        <f t="shared" si="82"/>
        <v>54.73</v>
      </c>
      <c r="BB254" s="121"/>
      <c r="BR254" s="49">
        <v>1637</v>
      </c>
      <c r="BS254" s="49">
        <f t="shared" si="80"/>
        <v>2637</v>
      </c>
      <c r="BT254" s="49" t="s">
        <v>612</v>
      </c>
    </row>
    <row r="255" spans="51:72" ht="18.75" hidden="1">
      <c r="AY255" s="153" t="s">
        <v>960</v>
      </c>
      <c r="AZ255" s="126" t="s">
        <v>254</v>
      </c>
      <c r="BA255" s="187">
        <f t="shared" si="82"/>
        <v>67.319999999999993</v>
      </c>
      <c r="BB255" s="121"/>
      <c r="BR255" s="49">
        <v>1638</v>
      </c>
      <c r="BS255" s="49">
        <f t="shared" si="80"/>
        <v>2638</v>
      </c>
      <c r="BT255" s="49" t="s">
        <v>612</v>
      </c>
    </row>
    <row r="256" spans="51:72" ht="18.75" hidden="1">
      <c r="AY256" s="153" t="s">
        <v>961</v>
      </c>
      <c r="AZ256" s="126" t="s">
        <v>253</v>
      </c>
      <c r="BA256" s="187">
        <f t="shared" si="82"/>
        <v>82.64</v>
      </c>
      <c r="BB256" s="121"/>
      <c r="BR256" s="49">
        <v>1639</v>
      </c>
      <c r="BS256" s="49">
        <f t="shared" si="80"/>
        <v>2639</v>
      </c>
      <c r="BT256" s="49" t="s">
        <v>612</v>
      </c>
    </row>
    <row r="257" spans="51:72" ht="18.75" hidden="1">
      <c r="AY257" s="153" t="s">
        <v>962</v>
      </c>
      <c r="AZ257" s="126" t="s">
        <v>257</v>
      </c>
      <c r="BA257" s="187">
        <f t="shared" si="82"/>
        <v>53.27</v>
      </c>
      <c r="BB257" s="121"/>
      <c r="BR257" s="49">
        <v>1500</v>
      </c>
      <c r="BS257" s="49">
        <f t="shared" si="80"/>
        <v>2500</v>
      </c>
      <c r="BT257" s="49" t="s">
        <v>612</v>
      </c>
    </row>
    <row r="258" spans="51:72" ht="18.75" hidden="1">
      <c r="AY258" s="153" t="s">
        <v>963</v>
      </c>
      <c r="AZ258" s="126" t="s">
        <v>256</v>
      </c>
      <c r="BA258" s="187">
        <f t="shared" si="82"/>
        <v>58.18</v>
      </c>
      <c r="BB258" s="121"/>
      <c r="BR258" s="49">
        <v>1501</v>
      </c>
      <c r="BS258" s="49">
        <f t="shared" si="80"/>
        <v>2501</v>
      </c>
      <c r="BT258" s="49" t="s">
        <v>612</v>
      </c>
    </row>
    <row r="259" spans="51:72" ht="18.75" hidden="1">
      <c r="AY259" s="153" t="s">
        <v>964</v>
      </c>
      <c r="AZ259" s="126" t="s">
        <v>1000</v>
      </c>
      <c r="BA259" s="187">
        <f t="shared" si="82"/>
        <v>69.010000000000005</v>
      </c>
      <c r="BB259" s="121"/>
      <c r="BR259" s="49">
        <v>1502</v>
      </c>
      <c r="BS259" s="49">
        <f t="shared" si="80"/>
        <v>2502</v>
      </c>
      <c r="BT259" s="49" t="s">
        <v>612</v>
      </c>
    </row>
    <row r="260" spans="51:72" ht="18.75" hidden="1">
      <c r="AY260" s="153" t="s">
        <v>965</v>
      </c>
      <c r="AZ260" s="126" t="s">
        <v>1002</v>
      </c>
      <c r="BA260" s="187">
        <f t="shared" si="82"/>
        <v>70.650000000000006</v>
      </c>
      <c r="BB260" s="121"/>
      <c r="BR260" s="49">
        <v>1503</v>
      </c>
      <c r="BS260" s="49">
        <f t="shared" si="80"/>
        <v>2503</v>
      </c>
      <c r="BT260" s="49" t="s">
        <v>612</v>
      </c>
    </row>
    <row r="261" spans="51:72" ht="18.75" hidden="1">
      <c r="AY261" s="153" t="s">
        <v>758</v>
      </c>
      <c r="AZ261" s="126" t="s">
        <v>150</v>
      </c>
      <c r="BA261" s="187">
        <f t="shared" si="82"/>
        <v>115.74</v>
      </c>
      <c r="BB261" s="121"/>
      <c r="BR261" s="49">
        <v>1504</v>
      </c>
      <c r="BS261" s="49">
        <f t="shared" si="80"/>
        <v>2504</v>
      </c>
      <c r="BT261" s="49" t="s">
        <v>612</v>
      </c>
    </row>
    <row r="262" spans="51:72" ht="18.75" hidden="1">
      <c r="AY262" s="153" t="s">
        <v>759</v>
      </c>
      <c r="AZ262" s="126" t="s">
        <v>177</v>
      </c>
      <c r="BA262" s="187">
        <f t="shared" si="82"/>
        <v>148.28</v>
      </c>
      <c r="BB262" s="121"/>
      <c r="BR262" s="49">
        <v>1505</v>
      </c>
      <c r="BS262" s="49">
        <f t="shared" si="80"/>
        <v>2505</v>
      </c>
      <c r="BT262" s="49" t="s">
        <v>612</v>
      </c>
    </row>
    <row r="263" spans="51:72" ht="18.75" hidden="1">
      <c r="AY263" s="153" t="s">
        <v>760</v>
      </c>
      <c r="AZ263" s="126" t="s">
        <v>194</v>
      </c>
      <c r="BA263" s="187">
        <f t="shared" si="82"/>
        <v>184.61</v>
      </c>
      <c r="BB263" s="121"/>
      <c r="BR263" s="49">
        <v>1506</v>
      </c>
      <c r="BS263" s="49">
        <f t="shared" si="80"/>
        <v>2506</v>
      </c>
      <c r="BT263" s="49" t="s">
        <v>612</v>
      </c>
    </row>
    <row r="264" spans="51:72" ht="18.75" hidden="1">
      <c r="AY264" s="153" t="s">
        <v>761</v>
      </c>
      <c r="AZ264" s="126" t="s">
        <v>69</v>
      </c>
      <c r="BA264" s="187">
        <f t="shared" si="82"/>
        <v>176.9</v>
      </c>
      <c r="BB264" s="121"/>
      <c r="BR264" s="49">
        <v>1507</v>
      </c>
      <c r="BS264" s="49">
        <f t="shared" si="80"/>
        <v>2507</v>
      </c>
      <c r="BT264" s="49" t="s">
        <v>612</v>
      </c>
    </row>
    <row r="265" spans="51:72" ht="18.75" hidden="1">
      <c r="AY265" s="153" t="s">
        <v>762</v>
      </c>
      <c r="AZ265" s="126" t="s">
        <v>47</v>
      </c>
      <c r="BA265" s="187">
        <f t="shared" si="82"/>
        <v>310.11</v>
      </c>
      <c r="BB265" s="121"/>
      <c r="BR265" s="49">
        <v>1508</v>
      </c>
      <c r="BS265" s="49">
        <f t="shared" si="80"/>
        <v>2508</v>
      </c>
      <c r="BT265" s="49" t="s">
        <v>612</v>
      </c>
    </row>
    <row r="266" spans="51:72" ht="18.75" hidden="1">
      <c r="AY266" s="153" t="s">
        <v>763</v>
      </c>
      <c r="AZ266" s="126" t="s">
        <v>196</v>
      </c>
      <c r="BA266" s="187">
        <f t="shared" si="82"/>
        <v>285.67</v>
      </c>
      <c r="BB266" s="121"/>
      <c r="BR266" s="49">
        <v>1509</v>
      </c>
      <c r="BS266" s="49">
        <f t="shared" si="80"/>
        <v>2509</v>
      </c>
      <c r="BT266" s="49" t="s">
        <v>612</v>
      </c>
    </row>
    <row r="267" spans="51:72" ht="18.75" hidden="1">
      <c r="AY267" s="153" t="s">
        <v>764</v>
      </c>
      <c r="AZ267" s="126" t="s">
        <v>146</v>
      </c>
      <c r="BA267" s="187">
        <f t="shared" si="82"/>
        <v>366.17</v>
      </c>
      <c r="BB267" s="121"/>
      <c r="BR267" s="49">
        <v>1510</v>
      </c>
      <c r="BS267" s="49">
        <f t="shared" si="80"/>
        <v>2510</v>
      </c>
      <c r="BT267" s="49" t="s">
        <v>612</v>
      </c>
    </row>
    <row r="268" spans="51:72" ht="18.75" hidden="1">
      <c r="AY268" s="153" t="s">
        <v>765</v>
      </c>
      <c r="AZ268" s="126" t="s">
        <v>49</v>
      </c>
      <c r="BA268" s="187">
        <f t="shared" si="82"/>
        <v>475.62</v>
      </c>
      <c r="BB268" s="121"/>
      <c r="BR268" s="49">
        <v>1511</v>
      </c>
      <c r="BS268" s="49">
        <f t="shared" si="80"/>
        <v>2511</v>
      </c>
      <c r="BT268" s="49" t="s">
        <v>612</v>
      </c>
    </row>
    <row r="269" spans="51:72" ht="18.75" hidden="1">
      <c r="AY269" s="153" t="s">
        <v>766</v>
      </c>
      <c r="AZ269" s="126" t="s">
        <v>294</v>
      </c>
      <c r="BA269" s="187">
        <f t="shared" si="82"/>
        <v>270.82</v>
      </c>
      <c r="BB269" s="121"/>
      <c r="BR269" s="49">
        <v>1512</v>
      </c>
      <c r="BS269" s="49">
        <f t="shared" si="80"/>
        <v>2512</v>
      </c>
      <c r="BT269" s="49" t="s">
        <v>612</v>
      </c>
    </row>
    <row r="270" spans="51:72" ht="18.75" hidden="1">
      <c r="AY270" s="153" t="s">
        <v>767</v>
      </c>
      <c r="AZ270" s="126" t="s">
        <v>235</v>
      </c>
      <c r="BA270" s="187">
        <f t="shared" si="82"/>
        <v>554.39</v>
      </c>
      <c r="BB270" s="121"/>
      <c r="BR270" s="49">
        <v>1513</v>
      </c>
      <c r="BS270" s="49">
        <f t="shared" si="80"/>
        <v>2513</v>
      </c>
      <c r="BT270" s="49" t="s">
        <v>612</v>
      </c>
    </row>
    <row r="271" spans="51:72" ht="18.75" hidden="1">
      <c r="AY271" s="153" t="s">
        <v>768</v>
      </c>
      <c r="AZ271" s="126" t="s">
        <v>26</v>
      </c>
      <c r="BA271" s="187">
        <f t="shared" si="82"/>
        <v>211.45</v>
      </c>
      <c r="BB271" s="121"/>
      <c r="BR271" s="49">
        <v>1514</v>
      </c>
      <c r="BS271" s="49">
        <f t="shared" si="80"/>
        <v>2514</v>
      </c>
      <c r="BT271" s="49" t="s">
        <v>612</v>
      </c>
    </row>
    <row r="272" spans="51:72" ht="18.75" hidden="1">
      <c r="AY272" s="153" t="s">
        <v>769</v>
      </c>
      <c r="AZ272" s="126" t="s">
        <v>206</v>
      </c>
      <c r="BA272" s="187">
        <f t="shared" si="82"/>
        <v>204.59</v>
      </c>
      <c r="BB272" s="121"/>
      <c r="BR272" s="49">
        <v>1515</v>
      </c>
      <c r="BS272" s="49">
        <f t="shared" si="80"/>
        <v>2515</v>
      </c>
      <c r="BT272" s="49" t="s">
        <v>612</v>
      </c>
    </row>
    <row r="273" spans="51:72" ht="18.75" hidden="1">
      <c r="AY273" s="153" t="s">
        <v>770</v>
      </c>
      <c r="AZ273" s="126" t="s">
        <v>159</v>
      </c>
      <c r="BA273" s="187">
        <f t="shared" si="82"/>
        <v>336.73</v>
      </c>
      <c r="BB273" s="121"/>
      <c r="BR273" s="49">
        <v>1516</v>
      </c>
      <c r="BS273" s="49">
        <f t="shared" si="80"/>
        <v>2516</v>
      </c>
      <c r="BT273" s="49" t="s">
        <v>612</v>
      </c>
    </row>
    <row r="274" spans="51:72" ht="18.75" hidden="1">
      <c r="AY274" s="153" t="s">
        <v>771</v>
      </c>
      <c r="AZ274" s="126" t="s">
        <v>167</v>
      </c>
      <c r="BA274" s="187">
        <f t="shared" si="82"/>
        <v>313.70999999999998</v>
      </c>
      <c r="BB274" s="121"/>
      <c r="BR274" s="49">
        <v>1580</v>
      </c>
      <c r="BS274" s="49">
        <f t="shared" si="80"/>
        <v>2580</v>
      </c>
      <c r="BT274" s="49" t="s">
        <v>612</v>
      </c>
    </row>
    <row r="275" spans="51:72" ht="18.75" hidden="1">
      <c r="AY275" s="153" t="s">
        <v>772</v>
      </c>
      <c r="AZ275" s="126" t="s">
        <v>91</v>
      </c>
      <c r="BA275" s="187">
        <f t="shared" si="82"/>
        <v>407.78</v>
      </c>
      <c r="BB275" s="121"/>
      <c r="BR275" s="49">
        <v>1584</v>
      </c>
      <c r="BS275" s="49">
        <f>BR275+1000</f>
        <v>2584</v>
      </c>
      <c r="BT275" s="49" t="s">
        <v>612</v>
      </c>
    </row>
    <row r="276" spans="51:72" ht="18.75" hidden="1">
      <c r="AY276" s="153" t="s">
        <v>773</v>
      </c>
      <c r="AZ276" s="126" t="s">
        <v>227</v>
      </c>
      <c r="BA276" s="187">
        <f t="shared" ref="BA276:BA306" si="83">VLOOKUP(AZ276,Tarieven_ZZP0,9,FALSE)</f>
        <v>506.11</v>
      </c>
      <c r="BB276" s="121"/>
      <c r="BR276" s="49">
        <v>1585</v>
      </c>
      <c r="BS276" s="49">
        <f>BR276+1000</f>
        <v>2585</v>
      </c>
      <c r="BT276" s="49" t="s">
        <v>612</v>
      </c>
    </row>
    <row r="277" spans="51:72" ht="18.75" hidden="1">
      <c r="AY277" s="153" t="s">
        <v>774</v>
      </c>
      <c r="AZ277" s="126" t="s">
        <v>293</v>
      </c>
      <c r="BA277" s="187">
        <f t="shared" si="83"/>
        <v>361.59</v>
      </c>
      <c r="BB277" s="121"/>
    </row>
    <row r="278" spans="51:72" ht="18.75" hidden="1">
      <c r="AY278" s="153" t="s">
        <v>775</v>
      </c>
      <c r="AZ278" s="126" t="s">
        <v>70</v>
      </c>
      <c r="BA278" s="187">
        <f t="shared" si="83"/>
        <v>563.69000000000005</v>
      </c>
      <c r="BB278" s="121"/>
    </row>
    <row r="279" spans="51:72" ht="18.75" hidden="1">
      <c r="AY279" s="153"/>
      <c r="AZ279" s="126"/>
      <c r="BA279" s="187">
        <f t="shared" ref="BA279:BA291" si="84">IFERROR(VLOOKUP(AZ279,Tarieven_ZZP0,9,FALSE),0)</f>
        <v>0</v>
      </c>
      <c r="BB279" s="121"/>
    </row>
    <row r="280" spans="51:72" ht="18.75" hidden="1">
      <c r="AY280" s="153"/>
      <c r="AZ280" s="126"/>
      <c r="BA280" s="187">
        <f t="shared" si="84"/>
        <v>0</v>
      </c>
      <c r="BB280" s="121"/>
    </row>
    <row r="281" spans="51:72" ht="18.75" hidden="1">
      <c r="AY281" s="153"/>
      <c r="AZ281" s="126"/>
      <c r="BA281" s="187">
        <f t="shared" si="84"/>
        <v>0</v>
      </c>
      <c r="BB281" s="121"/>
    </row>
    <row r="282" spans="51:72" ht="18.75" hidden="1">
      <c r="AY282" s="153"/>
      <c r="AZ282" s="126"/>
      <c r="BA282" s="187">
        <f t="shared" si="84"/>
        <v>0</v>
      </c>
      <c r="BB282" s="121"/>
    </row>
    <row r="283" spans="51:72" ht="18.75" hidden="1">
      <c r="AY283" s="153"/>
      <c r="AZ283" s="126"/>
      <c r="BA283" s="187">
        <f t="shared" si="84"/>
        <v>0</v>
      </c>
      <c r="BB283" s="121"/>
    </row>
    <row r="284" spans="51:72" ht="18.75" hidden="1">
      <c r="AY284" s="153"/>
      <c r="AZ284" s="126"/>
      <c r="BA284" s="187">
        <f t="shared" si="84"/>
        <v>0</v>
      </c>
      <c r="BB284" s="121"/>
    </row>
    <row r="285" spans="51:72" ht="18.75" hidden="1">
      <c r="AY285" s="153"/>
      <c r="AZ285" s="126"/>
      <c r="BA285" s="187">
        <f t="shared" si="84"/>
        <v>0</v>
      </c>
      <c r="BB285" s="121"/>
    </row>
    <row r="286" spans="51:72" ht="18.75" hidden="1">
      <c r="AY286" s="153"/>
      <c r="AZ286" s="126"/>
      <c r="BA286" s="187">
        <f t="shared" si="84"/>
        <v>0</v>
      </c>
      <c r="BB286" s="121"/>
    </row>
    <row r="287" spans="51:72" ht="18.75" hidden="1">
      <c r="AY287" s="153"/>
      <c r="AZ287" s="126"/>
      <c r="BA287" s="187">
        <f t="shared" si="84"/>
        <v>0</v>
      </c>
      <c r="BB287" s="121"/>
    </row>
    <row r="288" spans="51:72" ht="18.75" hidden="1">
      <c r="AY288" s="153"/>
      <c r="AZ288" s="126"/>
      <c r="BA288" s="187">
        <f t="shared" si="84"/>
        <v>0</v>
      </c>
      <c r="BB288" s="121"/>
    </row>
    <row r="289" spans="51:65" ht="18.75" hidden="1">
      <c r="AY289" s="153"/>
      <c r="AZ289" s="126"/>
      <c r="BA289" s="187">
        <f t="shared" si="84"/>
        <v>0</v>
      </c>
      <c r="BB289" s="121"/>
    </row>
    <row r="290" spans="51:65" ht="18.75" hidden="1">
      <c r="AY290" s="153"/>
      <c r="AZ290" s="126"/>
      <c r="BA290" s="187">
        <f t="shared" si="84"/>
        <v>0</v>
      </c>
      <c r="BB290" s="121"/>
      <c r="BL290" s="49"/>
      <c r="BM290" s="49"/>
    </row>
    <row r="291" spans="51:65" ht="18.75" hidden="1">
      <c r="AY291" s="153"/>
      <c r="AZ291" s="126"/>
      <c r="BA291" s="187">
        <f t="shared" si="84"/>
        <v>0</v>
      </c>
      <c r="BB291" s="121"/>
      <c r="BL291" s="49"/>
      <c r="BM291" s="49"/>
    </row>
    <row r="292" spans="51:65" ht="18.75" hidden="1">
      <c r="AY292" s="153" t="s">
        <v>790</v>
      </c>
      <c r="AZ292" s="126" t="s">
        <v>99</v>
      </c>
      <c r="BA292" s="187">
        <f t="shared" si="83"/>
        <v>95.76</v>
      </c>
      <c r="BB292" s="121"/>
      <c r="BL292" s="49"/>
      <c r="BM292" s="49"/>
    </row>
    <row r="293" spans="51:65" ht="18.75" hidden="1">
      <c r="AY293" s="153" t="s">
        <v>791</v>
      </c>
      <c r="AZ293" s="126" t="s">
        <v>29</v>
      </c>
      <c r="BA293" s="187">
        <f t="shared" si="83"/>
        <v>111.29</v>
      </c>
      <c r="BB293" s="121"/>
      <c r="BL293" s="49"/>
      <c r="BM293" s="49"/>
    </row>
    <row r="294" spans="51:65" ht="18.75" hidden="1">
      <c r="AY294" s="153" t="s">
        <v>792</v>
      </c>
      <c r="AZ294" s="126" t="s">
        <v>163</v>
      </c>
      <c r="BA294" s="187">
        <f t="shared" si="83"/>
        <v>149.15</v>
      </c>
      <c r="BB294" s="121"/>
      <c r="BL294" s="49"/>
      <c r="BM294" s="49"/>
    </row>
    <row r="295" spans="51:65" ht="18.75" hidden="1">
      <c r="AY295" s="153" t="s">
        <v>793</v>
      </c>
      <c r="AZ295" s="126" t="s">
        <v>83</v>
      </c>
      <c r="BA295" s="187">
        <f t="shared" si="83"/>
        <v>165.69</v>
      </c>
      <c r="BB295" s="121"/>
      <c r="BL295" s="49"/>
      <c r="BM295" s="49"/>
    </row>
    <row r="296" spans="51:65" ht="18.75" hidden="1">
      <c r="AY296" s="153" t="s">
        <v>794</v>
      </c>
      <c r="AZ296" s="126" t="s">
        <v>56</v>
      </c>
      <c r="BA296" s="187">
        <f t="shared" si="83"/>
        <v>147.16999999999999</v>
      </c>
      <c r="BB296" s="121"/>
      <c r="BL296" s="49"/>
      <c r="BM296" s="49"/>
    </row>
    <row r="297" spans="51:65" ht="18.75" hidden="1">
      <c r="AY297" s="153" t="s">
        <v>795</v>
      </c>
      <c r="AZ297" s="126" t="s">
        <v>111</v>
      </c>
      <c r="BA297" s="187">
        <f t="shared" si="83"/>
        <v>178.81</v>
      </c>
      <c r="BB297" s="121"/>
      <c r="BL297" s="49"/>
      <c r="BM297" s="49"/>
    </row>
    <row r="298" spans="51:65" ht="18.75" hidden="1">
      <c r="AY298" s="153" t="s">
        <v>796</v>
      </c>
      <c r="AZ298" s="126" t="s">
        <v>165</v>
      </c>
      <c r="BA298" s="187">
        <f t="shared" si="83"/>
        <v>216.32</v>
      </c>
      <c r="BB298" s="121"/>
      <c r="BL298" s="49"/>
      <c r="BM298" s="49"/>
    </row>
    <row r="299" spans="51:65" ht="18.75" hidden="1">
      <c r="AY299" s="153" t="s">
        <v>797</v>
      </c>
      <c r="AZ299" s="126" t="s">
        <v>225</v>
      </c>
      <c r="BA299" s="187">
        <f t="shared" si="83"/>
        <v>189.03</v>
      </c>
      <c r="BB299" s="121"/>
      <c r="BL299" s="49"/>
      <c r="BM299" s="49"/>
    </row>
    <row r="300" spans="51:65" ht="18.75" hidden="1">
      <c r="AY300" s="153" t="s">
        <v>798</v>
      </c>
      <c r="AZ300" s="126" t="s">
        <v>38</v>
      </c>
      <c r="BA300" s="187">
        <f t="shared" si="83"/>
        <v>235.02</v>
      </c>
      <c r="BB300" s="121"/>
      <c r="BL300" s="49"/>
      <c r="BM300" s="49"/>
    </row>
    <row r="301" spans="51:65" ht="18.75" hidden="1">
      <c r="AY301" s="153" t="s">
        <v>799</v>
      </c>
      <c r="AZ301" s="126" t="s">
        <v>141</v>
      </c>
      <c r="BA301" s="187">
        <f t="shared" si="83"/>
        <v>256.43</v>
      </c>
      <c r="BB301" s="121"/>
      <c r="BL301" s="49"/>
      <c r="BM301" s="49"/>
    </row>
    <row r="302" spans="51:65" ht="18.75" hidden="1">
      <c r="AY302" s="153" t="s">
        <v>800</v>
      </c>
      <c r="AZ302" s="126" t="s">
        <v>34</v>
      </c>
      <c r="BA302" s="187">
        <f t="shared" si="83"/>
        <v>197.84</v>
      </c>
      <c r="BB302" s="121"/>
      <c r="BL302" s="49"/>
      <c r="BM302" s="49"/>
    </row>
    <row r="303" spans="51:65" ht="18.75" hidden="1">
      <c r="AY303" s="153" t="s">
        <v>801</v>
      </c>
      <c r="AZ303" s="126" t="s">
        <v>39</v>
      </c>
      <c r="BA303" s="187">
        <f t="shared" si="83"/>
        <v>229.91</v>
      </c>
      <c r="BB303" s="121"/>
      <c r="BL303" s="49"/>
      <c r="BM303" s="49"/>
    </row>
    <row r="304" spans="51:65" ht="18.75" hidden="1">
      <c r="AY304" s="153" t="s">
        <v>802</v>
      </c>
      <c r="AZ304" s="126" t="s">
        <v>95</v>
      </c>
      <c r="BA304" s="187">
        <f t="shared" si="83"/>
        <v>283.29000000000002</v>
      </c>
      <c r="BB304" s="121"/>
      <c r="BL304" s="49"/>
      <c r="BM304" s="49"/>
    </row>
    <row r="305" spans="51:65" ht="18.75" hidden="1">
      <c r="AY305" s="153" t="s">
        <v>803</v>
      </c>
      <c r="AZ305" s="126" t="s">
        <v>17</v>
      </c>
      <c r="BA305" s="187">
        <f t="shared" si="83"/>
        <v>254.73</v>
      </c>
      <c r="BB305" s="121"/>
      <c r="BL305" s="49"/>
      <c r="BM305" s="49"/>
    </row>
    <row r="306" spans="51:65" ht="18.75" hidden="1">
      <c r="AY306" s="153" t="s">
        <v>804</v>
      </c>
      <c r="AZ306" s="126" t="s">
        <v>64</v>
      </c>
      <c r="BA306" s="187">
        <f t="shared" si="83"/>
        <v>309.88</v>
      </c>
      <c r="BB306" s="121"/>
      <c r="BL306" s="49"/>
      <c r="BM306" s="49"/>
    </row>
    <row r="307" spans="51:65" ht="18.75" hidden="1">
      <c r="AY307" s="153" t="s">
        <v>805</v>
      </c>
      <c r="AZ307" s="126" t="s">
        <v>115</v>
      </c>
      <c r="BA307" s="187">
        <f t="shared" ref="BA307:BA338" si="85">VLOOKUP(AZ307,Tarieven_ZZP0,9,FALSE)</f>
        <v>348.21</v>
      </c>
      <c r="BB307" s="121"/>
      <c r="BL307" s="49"/>
      <c r="BM307" s="49"/>
    </row>
    <row r="308" spans="51:65" ht="18.75" hidden="1">
      <c r="AY308" s="153" t="s">
        <v>806</v>
      </c>
      <c r="AZ308" s="126" t="s">
        <v>188</v>
      </c>
      <c r="BA308" s="187">
        <f t="shared" si="85"/>
        <v>166.29</v>
      </c>
      <c r="BB308" s="121"/>
      <c r="BL308" s="49"/>
      <c r="BM308" s="49"/>
    </row>
    <row r="309" spans="51:65" ht="18.75" hidden="1">
      <c r="AY309" s="153" t="s">
        <v>807</v>
      </c>
      <c r="AZ309" s="126" t="s">
        <v>106</v>
      </c>
      <c r="BA309" s="187">
        <f t="shared" si="85"/>
        <v>207.88</v>
      </c>
      <c r="BB309" s="121"/>
      <c r="BL309" s="49"/>
      <c r="BM309" s="49"/>
    </row>
    <row r="310" spans="51:65" ht="18.75" hidden="1">
      <c r="AY310" s="153" t="s">
        <v>808</v>
      </c>
      <c r="AZ310" s="126" t="s">
        <v>133</v>
      </c>
      <c r="BA310" s="187">
        <f t="shared" si="85"/>
        <v>264.27</v>
      </c>
      <c r="BB310" s="121"/>
      <c r="BL310" s="49"/>
      <c r="BM310" s="49"/>
    </row>
    <row r="311" spans="51:65" ht="18.75" hidden="1">
      <c r="AY311" s="153" t="s">
        <v>809</v>
      </c>
      <c r="AZ311" s="126" t="s">
        <v>45</v>
      </c>
      <c r="BA311" s="187">
        <f t="shared" si="85"/>
        <v>228.69</v>
      </c>
      <c r="BB311" s="121"/>
      <c r="BL311" s="49"/>
      <c r="BM311" s="49"/>
    </row>
    <row r="312" spans="51:65" ht="18.75" hidden="1">
      <c r="AY312" s="153" t="s">
        <v>810</v>
      </c>
      <c r="AZ312" s="126" t="s">
        <v>234</v>
      </c>
      <c r="BA312" s="187">
        <f t="shared" si="85"/>
        <v>324.32</v>
      </c>
      <c r="BB312" s="121"/>
      <c r="BL312" s="49"/>
      <c r="BM312" s="49"/>
    </row>
    <row r="313" spans="51:65" ht="18.75" hidden="1">
      <c r="AY313" s="153" t="s">
        <v>811</v>
      </c>
      <c r="AZ313" s="126" t="s">
        <v>65</v>
      </c>
      <c r="BA313" s="187">
        <f t="shared" si="85"/>
        <v>311.33</v>
      </c>
      <c r="BB313" s="121"/>
      <c r="BL313" s="49"/>
      <c r="BM313" s="49"/>
    </row>
    <row r="314" spans="51:65" ht="18.75" hidden="1">
      <c r="AY314" s="153" t="s">
        <v>812</v>
      </c>
      <c r="AZ314" s="126" t="s">
        <v>60</v>
      </c>
      <c r="BA314" s="187">
        <f t="shared" si="85"/>
        <v>215.36</v>
      </c>
      <c r="BB314" s="121"/>
      <c r="BL314" s="49"/>
      <c r="BM314" s="49"/>
    </row>
    <row r="315" spans="51:65" ht="18.75" hidden="1">
      <c r="AY315" s="153" t="s">
        <v>813</v>
      </c>
      <c r="AZ315" s="126" t="s">
        <v>222</v>
      </c>
      <c r="BA315" s="187">
        <f t="shared" si="85"/>
        <v>253.92</v>
      </c>
      <c r="BB315" s="121"/>
      <c r="BL315" s="49"/>
      <c r="BM315" s="49"/>
    </row>
    <row r="316" spans="51:65" ht="18.75" hidden="1">
      <c r="AY316" s="153" t="s">
        <v>814</v>
      </c>
      <c r="AZ316" s="126" t="s">
        <v>33</v>
      </c>
      <c r="BA316" s="187">
        <f t="shared" si="85"/>
        <v>328.2</v>
      </c>
      <c r="BB316" s="121"/>
      <c r="BL316" s="49"/>
      <c r="BM316" s="49"/>
    </row>
    <row r="317" spans="51:65" ht="18.75" hidden="1">
      <c r="AY317" s="153" t="s">
        <v>815</v>
      </c>
      <c r="AZ317" s="126" t="s">
        <v>25</v>
      </c>
      <c r="BA317" s="187">
        <f t="shared" si="85"/>
        <v>293.91000000000003</v>
      </c>
      <c r="BB317" s="121"/>
      <c r="BL317" s="49"/>
      <c r="BM317" s="49"/>
    </row>
    <row r="318" spans="51:65" ht="18.75" hidden="1">
      <c r="AY318" s="153" t="s">
        <v>816</v>
      </c>
      <c r="AZ318" s="126" t="s">
        <v>89</v>
      </c>
      <c r="BA318" s="187">
        <f t="shared" si="85"/>
        <v>412.94</v>
      </c>
      <c r="BB318" s="121"/>
      <c r="BL318" s="49"/>
      <c r="BM318" s="49"/>
    </row>
    <row r="319" spans="51:65" ht="18.75" hidden="1">
      <c r="AY319" s="153" t="s">
        <v>817</v>
      </c>
      <c r="AZ319" s="126" t="s">
        <v>57</v>
      </c>
      <c r="BA319" s="187">
        <f t="shared" si="85"/>
        <v>401.48</v>
      </c>
      <c r="BB319" s="121"/>
      <c r="BL319" s="49"/>
      <c r="BM319" s="49"/>
    </row>
    <row r="320" spans="51:65" ht="18.75" hidden="1">
      <c r="AY320" s="153" t="s">
        <v>818</v>
      </c>
      <c r="AZ320" s="126" t="s">
        <v>71</v>
      </c>
      <c r="BA320" s="187">
        <f t="shared" si="85"/>
        <v>251.69</v>
      </c>
      <c r="BB320" s="121"/>
      <c r="BL320" s="49"/>
      <c r="BM320" s="49"/>
    </row>
    <row r="321" spans="51:65" ht="18.75" hidden="1">
      <c r="AY321" s="153" t="s">
        <v>819</v>
      </c>
      <c r="AZ321" s="126" t="s">
        <v>237</v>
      </c>
      <c r="BA321" s="187">
        <f t="shared" si="85"/>
        <v>301.82</v>
      </c>
      <c r="BB321" s="121"/>
      <c r="BL321" s="49"/>
      <c r="BM321" s="49"/>
    </row>
    <row r="322" spans="51:65" ht="18.75" hidden="1">
      <c r="AY322" s="153" t="s">
        <v>820</v>
      </c>
      <c r="AZ322" s="126" t="s">
        <v>81</v>
      </c>
      <c r="BA322" s="187">
        <f t="shared" si="85"/>
        <v>393.97</v>
      </c>
      <c r="BB322" s="121"/>
      <c r="BL322" s="49"/>
      <c r="BM322" s="49"/>
    </row>
    <row r="323" spans="51:65" ht="18.75" hidden="1">
      <c r="AY323" s="153" t="s">
        <v>821</v>
      </c>
      <c r="AZ323" s="126" t="s">
        <v>200</v>
      </c>
      <c r="BA323" s="187">
        <f t="shared" si="85"/>
        <v>452.78</v>
      </c>
      <c r="BB323" s="121"/>
      <c r="BL323" s="49"/>
      <c r="BM323" s="49"/>
    </row>
    <row r="324" spans="51:65" ht="18.75" hidden="1">
      <c r="AY324" s="153" t="s">
        <v>822</v>
      </c>
      <c r="AZ324" s="126" t="s">
        <v>214</v>
      </c>
      <c r="BA324" s="187">
        <f t="shared" si="85"/>
        <v>432.4</v>
      </c>
      <c r="BB324" s="121"/>
      <c r="BL324" s="49"/>
      <c r="BM324" s="49"/>
    </row>
    <row r="325" spans="51:65" ht="18.75" hidden="1">
      <c r="AY325" s="153" t="s">
        <v>823</v>
      </c>
      <c r="AZ325" s="126" t="s">
        <v>291</v>
      </c>
      <c r="BA325" s="187">
        <f t="shared" si="85"/>
        <v>509.49</v>
      </c>
      <c r="BB325" s="121"/>
      <c r="BL325" s="49"/>
      <c r="BM325" s="49"/>
    </row>
    <row r="326" spans="51:65" ht="18.75" hidden="1">
      <c r="AY326" s="153" t="s">
        <v>824</v>
      </c>
      <c r="AZ326" s="126" t="s">
        <v>72</v>
      </c>
      <c r="BA326" s="187">
        <f t="shared" si="85"/>
        <v>136.30000000000001</v>
      </c>
      <c r="BB326" s="121"/>
      <c r="BL326" s="49"/>
      <c r="BM326" s="49"/>
    </row>
    <row r="327" spans="51:65" ht="18.75" hidden="1">
      <c r="AY327" s="153" t="s">
        <v>825</v>
      </c>
      <c r="AZ327" s="126" t="s">
        <v>204</v>
      </c>
      <c r="BA327" s="187">
        <f t="shared" si="85"/>
        <v>173.26</v>
      </c>
      <c r="BB327" s="121"/>
      <c r="BL327" s="49"/>
      <c r="BM327" s="49"/>
    </row>
    <row r="328" spans="51:65" ht="18.75" hidden="1">
      <c r="AY328" s="153" t="s">
        <v>826</v>
      </c>
      <c r="AZ328" s="126" t="s">
        <v>121</v>
      </c>
      <c r="BA328" s="187">
        <f t="shared" si="85"/>
        <v>199.46</v>
      </c>
      <c r="BB328" s="121"/>
      <c r="BL328" s="49"/>
      <c r="BM328" s="49"/>
    </row>
    <row r="329" spans="51:65" ht="18.75" hidden="1">
      <c r="AY329" s="153" t="s">
        <v>827</v>
      </c>
      <c r="AZ329" s="126" t="s">
        <v>61</v>
      </c>
      <c r="BA329" s="187">
        <f t="shared" si="85"/>
        <v>230.84</v>
      </c>
      <c r="BB329" s="121"/>
      <c r="BL329" s="49"/>
      <c r="BM329" s="49"/>
    </row>
    <row r="330" spans="51:65" ht="18.75" hidden="1">
      <c r="AY330" s="153" t="s">
        <v>828</v>
      </c>
      <c r="AZ330" s="126" t="s">
        <v>35</v>
      </c>
      <c r="BA330" s="187">
        <f t="shared" si="85"/>
        <v>143.65</v>
      </c>
      <c r="BB330" s="121"/>
      <c r="BL330" s="49"/>
      <c r="BM330" s="49"/>
    </row>
    <row r="331" spans="51:65" ht="18.75" hidden="1">
      <c r="AY331" s="153" t="s">
        <v>829</v>
      </c>
      <c r="AZ331" s="126" t="s">
        <v>119</v>
      </c>
      <c r="BA331" s="187">
        <f t="shared" si="85"/>
        <v>206.3</v>
      </c>
      <c r="BB331" s="121"/>
      <c r="BL331" s="49"/>
      <c r="BM331" s="49"/>
    </row>
    <row r="332" spans="51:65" ht="18.75" hidden="1">
      <c r="AY332" s="153" t="s">
        <v>830</v>
      </c>
      <c r="AZ332" s="126" t="s">
        <v>215</v>
      </c>
      <c r="BA332" s="187">
        <f t="shared" si="85"/>
        <v>205.84</v>
      </c>
      <c r="BB332" s="121"/>
      <c r="BL332" s="49"/>
      <c r="BM332" s="49"/>
    </row>
    <row r="333" spans="51:65" ht="18.75" hidden="1">
      <c r="AY333" s="153" t="s">
        <v>831</v>
      </c>
      <c r="AZ333" s="126" t="s">
        <v>103</v>
      </c>
      <c r="BA333" s="187">
        <f t="shared" si="85"/>
        <v>290.72000000000003</v>
      </c>
      <c r="BB333" s="121"/>
      <c r="BL333" s="49"/>
      <c r="BM333" s="49"/>
    </row>
    <row r="334" spans="51:65" ht="18.75" hidden="1">
      <c r="AY334" s="153" t="s">
        <v>832</v>
      </c>
      <c r="AZ334" s="126" t="s">
        <v>136</v>
      </c>
      <c r="BA334" s="187">
        <f t="shared" si="85"/>
        <v>313.37</v>
      </c>
      <c r="BB334" s="121"/>
      <c r="BL334" s="49"/>
      <c r="BM334" s="49"/>
    </row>
    <row r="335" spans="51:65" ht="18.75" hidden="1">
      <c r="AY335" s="153" t="s">
        <v>833</v>
      </c>
      <c r="AZ335" s="126" t="s">
        <v>88</v>
      </c>
      <c r="BA335" s="187">
        <f t="shared" si="85"/>
        <v>207.91</v>
      </c>
      <c r="BB335" s="121"/>
      <c r="BL335" s="49"/>
      <c r="BM335" s="49"/>
    </row>
    <row r="336" spans="51:65" ht="18.75" hidden="1">
      <c r="AY336" s="153" t="s">
        <v>834</v>
      </c>
      <c r="AZ336" s="126" t="s">
        <v>51</v>
      </c>
      <c r="BA336" s="187">
        <f t="shared" si="85"/>
        <v>261.97000000000003</v>
      </c>
      <c r="BB336" s="121"/>
      <c r="BL336" s="49"/>
      <c r="BM336" s="49"/>
    </row>
    <row r="337" spans="51:65" ht="18.75" hidden="1">
      <c r="AY337" s="153" t="s">
        <v>835</v>
      </c>
      <c r="AZ337" s="126" t="s">
        <v>84</v>
      </c>
      <c r="BA337" s="187">
        <f t="shared" si="85"/>
        <v>271.24</v>
      </c>
      <c r="BB337" s="121"/>
      <c r="BL337" s="49"/>
      <c r="BM337" s="49"/>
    </row>
    <row r="338" spans="51:65" ht="18.75" hidden="1">
      <c r="AY338" s="153" t="s">
        <v>836</v>
      </c>
      <c r="AZ338" s="126" t="s">
        <v>18</v>
      </c>
      <c r="BA338" s="187">
        <f t="shared" si="85"/>
        <v>344.38</v>
      </c>
      <c r="BB338" s="121"/>
      <c r="BL338" s="49"/>
      <c r="BM338" s="49"/>
    </row>
    <row r="339" spans="51:65" ht="18.75" hidden="1">
      <c r="AY339" s="153" t="s">
        <v>837</v>
      </c>
      <c r="AZ339" s="126" t="s">
        <v>124</v>
      </c>
      <c r="BA339" s="187">
        <f t="shared" ref="BA339:BA370" si="86">VLOOKUP(AZ339,Tarieven_ZZP0,9,FALSE)</f>
        <v>366.09</v>
      </c>
      <c r="BB339" s="121"/>
      <c r="BL339" s="49"/>
      <c r="BM339" s="49"/>
    </row>
    <row r="340" spans="51:65" ht="18.75" hidden="1">
      <c r="AY340" s="153" t="s">
        <v>838</v>
      </c>
      <c r="AZ340" s="126" t="s">
        <v>199</v>
      </c>
      <c r="BA340" s="187">
        <f t="shared" si="86"/>
        <v>165.3</v>
      </c>
      <c r="BB340" s="121"/>
      <c r="BL340" s="49"/>
      <c r="BM340" s="49"/>
    </row>
    <row r="341" spans="51:65" ht="18.75" hidden="1">
      <c r="AY341" s="153" t="s">
        <v>839</v>
      </c>
      <c r="AZ341" s="126" t="s">
        <v>63</v>
      </c>
      <c r="BA341" s="187">
        <f t="shared" si="86"/>
        <v>239.72</v>
      </c>
      <c r="BB341" s="121"/>
      <c r="BL341" s="49"/>
      <c r="BM341" s="49"/>
    </row>
    <row r="342" spans="51:65" ht="18.75" hidden="1">
      <c r="AY342" s="153" t="s">
        <v>840</v>
      </c>
      <c r="AZ342" s="126" t="s">
        <v>217</v>
      </c>
      <c r="BA342" s="187">
        <f t="shared" si="86"/>
        <v>252.92</v>
      </c>
      <c r="BB342" s="121"/>
      <c r="BL342" s="49"/>
      <c r="BM342" s="49"/>
    </row>
    <row r="343" spans="51:65" ht="18.75" hidden="1">
      <c r="AY343" s="153" t="s">
        <v>841</v>
      </c>
      <c r="AZ343" s="126" t="s">
        <v>218</v>
      </c>
      <c r="BA343" s="187">
        <f t="shared" si="86"/>
        <v>339.12</v>
      </c>
      <c r="BB343" s="121"/>
      <c r="BL343" s="49"/>
      <c r="BM343" s="49"/>
    </row>
    <row r="344" spans="51:65" ht="18.75" hidden="1">
      <c r="AY344" s="153" t="s">
        <v>842</v>
      </c>
      <c r="AZ344" s="126" t="s">
        <v>142</v>
      </c>
      <c r="BA344" s="187">
        <f t="shared" si="86"/>
        <v>373.57</v>
      </c>
      <c r="BB344" s="121"/>
      <c r="BL344" s="49"/>
      <c r="BM344" s="49"/>
    </row>
    <row r="345" spans="51:65" ht="18.75" hidden="1">
      <c r="AY345" s="153" t="s">
        <v>843</v>
      </c>
      <c r="AZ345" s="126" t="s">
        <v>78</v>
      </c>
      <c r="BA345" s="187">
        <f t="shared" si="86"/>
        <v>230</v>
      </c>
      <c r="BB345" s="121"/>
      <c r="BL345" s="49"/>
      <c r="BM345" s="49"/>
    </row>
    <row r="346" spans="51:65" ht="18.75" hidden="1">
      <c r="AY346" s="153" t="s">
        <v>844</v>
      </c>
      <c r="AZ346" s="126" t="s">
        <v>190</v>
      </c>
      <c r="BA346" s="187">
        <f t="shared" si="86"/>
        <v>294.49</v>
      </c>
      <c r="BB346" s="121"/>
      <c r="BL346" s="49"/>
      <c r="BM346" s="49"/>
    </row>
    <row r="347" spans="51:65" ht="18.75" hidden="1">
      <c r="AY347" s="153" t="s">
        <v>845</v>
      </c>
      <c r="AZ347" s="126" t="s">
        <v>40</v>
      </c>
      <c r="BA347" s="187">
        <f t="shared" si="86"/>
        <v>317.45</v>
      </c>
      <c r="BB347" s="121"/>
      <c r="BL347" s="49"/>
      <c r="BM347" s="49"/>
    </row>
    <row r="348" spans="51:65" ht="18.75" hidden="1">
      <c r="AY348" s="153" t="s">
        <v>846</v>
      </c>
      <c r="AZ348" s="126" t="s">
        <v>77</v>
      </c>
      <c r="BA348" s="187">
        <f t="shared" si="86"/>
        <v>393.26</v>
      </c>
      <c r="BB348" s="121"/>
      <c r="BL348" s="49"/>
      <c r="BM348" s="49"/>
    </row>
    <row r="349" spans="51:65" ht="18.75" hidden="1">
      <c r="AY349" s="153" t="s">
        <v>847</v>
      </c>
      <c r="AZ349" s="126" t="s">
        <v>210</v>
      </c>
      <c r="BA349" s="187">
        <f t="shared" si="86"/>
        <v>405.98</v>
      </c>
      <c r="BB349" s="121"/>
      <c r="BL349" s="49"/>
      <c r="BM349" s="49"/>
    </row>
    <row r="350" spans="51:65" ht="18.75" hidden="1">
      <c r="AY350" s="153" t="s">
        <v>1552</v>
      </c>
      <c r="AZ350" s="126" t="s">
        <v>229</v>
      </c>
      <c r="BA350" s="187">
        <f t="shared" si="86"/>
        <v>195.81</v>
      </c>
      <c r="BB350" s="121"/>
      <c r="BL350" s="49"/>
      <c r="BM350" s="49"/>
    </row>
    <row r="351" spans="51:65" ht="18.75" hidden="1">
      <c r="AY351" s="153" t="s">
        <v>1551</v>
      </c>
      <c r="AZ351" s="126" t="s">
        <v>189</v>
      </c>
      <c r="BA351" s="187">
        <f t="shared" si="86"/>
        <v>202.32</v>
      </c>
      <c r="BB351" s="121"/>
      <c r="BL351" s="49"/>
      <c r="BM351" s="49"/>
    </row>
    <row r="352" spans="51:65" ht="18.75" hidden="1">
      <c r="AY352" s="153" t="s">
        <v>1550</v>
      </c>
      <c r="AZ352" s="126" t="s">
        <v>125</v>
      </c>
      <c r="BA352" s="187">
        <f t="shared" si="86"/>
        <v>222.12</v>
      </c>
      <c r="BB352" s="121"/>
      <c r="BL352" s="49"/>
      <c r="BM352" s="49"/>
    </row>
    <row r="353" spans="51:65" ht="18.75" hidden="1">
      <c r="AY353" s="153" t="s">
        <v>1545</v>
      </c>
      <c r="AZ353" s="126" t="s">
        <v>201</v>
      </c>
      <c r="BA353" s="187">
        <f t="shared" si="86"/>
        <v>384.97</v>
      </c>
      <c r="BB353" s="121"/>
      <c r="BL353" s="49"/>
      <c r="BM353" s="49"/>
    </row>
    <row r="354" spans="51:65" ht="18.75" hidden="1">
      <c r="AY354" s="153" t="s">
        <v>1544</v>
      </c>
      <c r="AZ354" s="126" t="s">
        <v>112</v>
      </c>
      <c r="BA354" s="187">
        <f t="shared" si="86"/>
        <v>428.67</v>
      </c>
      <c r="BB354" s="121"/>
      <c r="BL354" s="49"/>
      <c r="BM354" s="49"/>
    </row>
    <row r="355" spans="51:65" ht="18.75" hidden="1">
      <c r="AY355" s="153" t="s">
        <v>1546</v>
      </c>
      <c r="AZ355" s="126" t="s">
        <v>175</v>
      </c>
      <c r="BA355" s="187">
        <f t="shared" si="86"/>
        <v>242.61</v>
      </c>
      <c r="BB355" s="121"/>
      <c r="BL355" s="49"/>
      <c r="BM355" s="49"/>
    </row>
    <row r="356" spans="51:65" ht="18.75" hidden="1">
      <c r="AY356" s="153" t="s">
        <v>1547</v>
      </c>
      <c r="AZ356" s="126" t="s">
        <v>31</v>
      </c>
      <c r="BA356" s="187">
        <f t="shared" si="86"/>
        <v>256.75</v>
      </c>
      <c r="BB356" s="121"/>
      <c r="BL356" s="49"/>
      <c r="BM356" s="49"/>
    </row>
    <row r="357" spans="51:65" ht="18.75" hidden="1">
      <c r="AY357" s="153" t="s">
        <v>1548</v>
      </c>
      <c r="AZ357" s="126" t="s">
        <v>193</v>
      </c>
      <c r="BA357" s="187">
        <f t="shared" si="86"/>
        <v>269.04000000000002</v>
      </c>
      <c r="BB357" s="121"/>
      <c r="BL357" s="49"/>
      <c r="BM357" s="49"/>
    </row>
    <row r="358" spans="51:65" ht="18.75" hidden="1">
      <c r="AY358" s="153" t="s">
        <v>1549</v>
      </c>
      <c r="AZ358" s="126" t="s">
        <v>192</v>
      </c>
      <c r="BA358" s="187">
        <f t="shared" si="86"/>
        <v>422.56</v>
      </c>
      <c r="BB358" s="121"/>
      <c r="BL358" s="49"/>
      <c r="BM358" s="49"/>
    </row>
    <row r="359" spans="51:65" ht="18.75" hidden="1">
      <c r="AY359" s="153" t="s">
        <v>1543</v>
      </c>
      <c r="AZ359" s="126" t="s">
        <v>209</v>
      </c>
      <c r="BA359" s="187">
        <f t="shared" si="86"/>
        <v>495.44</v>
      </c>
      <c r="BB359" s="121"/>
      <c r="BL359" s="49"/>
      <c r="BM359" s="49"/>
    </row>
    <row r="360" spans="51:65" ht="18.75" hidden="1">
      <c r="AY360" s="153" t="s">
        <v>1542</v>
      </c>
      <c r="AZ360" s="126" t="s">
        <v>1578</v>
      </c>
      <c r="BA360" s="187">
        <f t="shared" si="86"/>
        <v>213.64</v>
      </c>
      <c r="BB360" s="121"/>
      <c r="BL360" s="49"/>
      <c r="BM360" s="49"/>
    </row>
    <row r="361" spans="51:65" ht="18.75" hidden="1">
      <c r="AY361" s="153" t="s">
        <v>1541</v>
      </c>
      <c r="AZ361" s="126" t="s">
        <v>1579</v>
      </c>
      <c r="BA361" s="187">
        <f t="shared" si="86"/>
        <v>247.5</v>
      </c>
      <c r="BB361" s="121"/>
      <c r="BL361" s="49"/>
      <c r="BM361" s="49"/>
    </row>
    <row r="362" spans="51:65" ht="18.75" hidden="1">
      <c r="AY362" s="153" t="s">
        <v>1553</v>
      </c>
      <c r="AZ362" s="126" t="s">
        <v>1580</v>
      </c>
      <c r="BA362" s="187">
        <f t="shared" si="86"/>
        <v>262.92</v>
      </c>
      <c r="BB362" s="121"/>
      <c r="BL362" s="49"/>
      <c r="BM362" s="49"/>
    </row>
    <row r="363" spans="51:65" ht="18.75" hidden="1">
      <c r="AY363" s="153" t="s">
        <v>1554</v>
      </c>
      <c r="AZ363" s="126" t="s">
        <v>1581</v>
      </c>
      <c r="BA363" s="187">
        <f t="shared" si="86"/>
        <v>313.39999999999998</v>
      </c>
      <c r="BB363" s="121"/>
      <c r="BL363" s="49"/>
      <c r="BM363" s="49"/>
    </row>
    <row r="364" spans="51:65" ht="18.75" hidden="1">
      <c r="AY364" s="153" t="s">
        <v>1555</v>
      </c>
      <c r="AZ364" s="126" t="s">
        <v>1582</v>
      </c>
      <c r="BA364" s="187">
        <f t="shared" si="86"/>
        <v>419.8</v>
      </c>
      <c r="BB364" s="121"/>
      <c r="BL364" s="49"/>
      <c r="BM364" s="49"/>
    </row>
    <row r="365" spans="51:65" ht="18.75" hidden="1">
      <c r="AY365" s="153" t="s">
        <v>1539</v>
      </c>
      <c r="AZ365" s="126" t="s">
        <v>1583</v>
      </c>
      <c r="BA365" s="187">
        <f t="shared" si="86"/>
        <v>172.76</v>
      </c>
      <c r="BB365" s="121"/>
      <c r="BL365" s="49"/>
      <c r="BM365" s="49"/>
    </row>
    <row r="366" spans="51:65" ht="18.75" hidden="1">
      <c r="AY366" s="153" t="s">
        <v>1556</v>
      </c>
      <c r="AZ366" s="126" t="s">
        <v>1584</v>
      </c>
      <c r="BA366" s="187">
        <f t="shared" si="86"/>
        <v>203.15</v>
      </c>
      <c r="BB366" s="121"/>
      <c r="BL366" s="49"/>
      <c r="BM366" s="49"/>
    </row>
    <row r="367" spans="51:65" ht="18.75" hidden="1">
      <c r="AY367" s="153" t="s">
        <v>1537</v>
      </c>
      <c r="AZ367" s="126" t="s">
        <v>1585</v>
      </c>
      <c r="BA367" s="187">
        <f t="shared" si="86"/>
        <v>219.02</v>
      </c>
      <c r="BB367" s="121"/>
      <c r="BL367" s="49"/>
      <c r="BM367" s="49"/>
    </row>
    <row r="368" spans="51:65" ht="18.75" hidden="1">
      <c r="AY368" s="153" t="s">
        <v>1538</v>
      </c>
      <c r="AZ368" s="126" t="s">
        <v>1586</v>
      </c>
      <c r="BA368" s="187">
        <f t="shared" si="86"/>
        <v>267.58999999999997</v>
      </c>
      <c r="BB368" s="121"/>
      <c r="BL368" s="49"/>
      <c r="BM368" s="49"/>
    </row>
    <row r="369" spans="51:65" ht="18.75" hidden="1">
      <c r="AY369" s="153" t="s">
        <v>1540</v>
      </c>
      <c r="AZ369" s="126" t="s">
        <v>1587</v>
      </c>
      <c r="BA369" s="187">
        <f t="shared" si="86"/>
        <v>349.2</v>
      </c>
      <c r="BB369" s="121"/>
      <c r="BL369" s="49"/>
      <c r="BM369" s="49"/>
    </row>
    <row r="370" spans="51:65" ht="18.75" hidden="1">
      <c r="AY370" s="153" t="s">
        <v>848</v>
      </c>
      <c r="AZ370" s="126" t="s">
        <v>180</v>
      </c>
      <c r="BA370" s="187">
        <f t="shared" si="86"/>
        <v>194.98</v>
      </c>
      <c r="BB370" s="121"/>
      <c r="BL370" s="49"/>
      <c r="BM370" s="49"/>
    </row>
    <row r="371" spans="51:65" ht="18.75" hidden="1">
      <c r="AY371" s="153" t="s">
        <v>849</v>
      </c>
      <c r="AZ371" s="126" t="s">
        <v>42</v>
      </c>
      <c r="BA371" s="187">
        <f t="shared" ref="BA371:BA401" si="87">VLOOKUP(AZ371,Tarieven_ZZP0,9,FALSE)</f>
        <v>359.75</v>
      </c>
      <c r="BB371" s="121"/>
      <c r="BL371" s="49"/>
      <c r="BM371" s="49"/>
    </row>
    <row r="372" spans="51:65" ht="18.75" hidden="1">
      <c r="AY372" s="153" t="s">
        <v>850</v>
      </c>
      <c r="AZ372" s="126" t="s">
        <v>94</v>
      </c>
      <c r="BA372" s="187">
        <f t="shared" si="87"/>
        <v>405.43</v>
      </c>
      <c r="BB372" s="121"/>
      <c r="BL372" s="49"/>
      <c r="BM372" s="49"/>
    </row>
    <row r="373" spans="51:65" ht="18.75" hidden="1">
      <c r="AY373" s="153" t="s">
        <v>851</v>
      </c>
      <c r="AZ373" s="126" t="s">
        <v>185</v>
      </c>
      <c r="BA373" s="187">
        <f t="shared" si="87"/>
        <v>234.56</v>
      </c>
      <c r="BB373" s="121"/>
      <c r="BL373" s="49"/>
      <c r="BM373" s="49"/>
    </row>
    <row r="374" spans="51:65" ht="18.75" hidden="1">
      <c r="AY374" s="153" t="s">
        <v>852</v>
      </c>
      <c r="AZ374" s="126" t="s">
        <v>21</v>
      </c>
      <c r="BA374" s="187">
        <f t="shared" si="87"/>
        <v>239.89</v>
      </c>
      <c r="BB374" s="121"/>
      <c r="BL374" s="49"/>
      <c r="BM374" s="49"/>
    </row>
    <row r="375" spans="51:65" ht="18.75" hidden="1">
      <c r="AY375" s="153" t="s">
        <v>853</v>
      </c>
      <c r="AZ375" s="126" t="s">
        <v>96</v>
      </c>
      <c r="BA375" s="187">
        <f t="shared" si="87"/>
        <v>417.23</v>
      </c>
      <c r="BB375" s="121"/>
      <c r="BL375" s="49"/>
      <c r="BM375" s="49"/>
    </row>
    <row r="376" spans="51:65" ht="18.75" hidden="1">
      <c r="AY376" s="153" t="s">
        <v>854</v>
      </c>
      <c r="AZ376" s="126" t="s">
        <v>22</v>
      </c>
      <c r="BA376" s="187">
        <f t="shared" si="87"/>
        <v>455.3</v>
      </c>
      <c r="BB376" s="121"/>
      <c r="BL376" s="49"/>
      <c r="BM376" s="49"/>
    </row>
    <row r="377" spans="51:65" ht="18.75" hidden="1">
      <c r="AY377" s="153" t="s">
        <v>855</v>
      </c>
      <c r="AZ377" s="126" t="s">
        <v>198</v>
      </c>
      <c r="BA377" s="187">
        <f t="shared" si="87"/>
        <v>306.55</v>
      </c>
      <c r="BB377" s="121"/>
      <c r="BL377" s="49"/>
      <c r="BM377" s="49"/>
    </row>
    <row r="378" spans="51:65" ht="18.75" hidden="1">
      <c r="AY378" s="153" t="s">
        <v>856</v>
      </c>
      <c r="AZ378" s="126" t="s">
        <v>226</v>
      </c>
      <c r="BA378" s="187">
        <f t="shared" si="87"/>
        <v>186.69</v>
      </c>
      <c r="BB378" s="121"/>
      <c r="BL378" s="49"/>
      <c r="BM378" s="49"/>
    </row>
    <row r="379" spans="51:65" ht="18.75" hidden="1">
      <c r="AY379" s="153" t="s">
        <v>857</v>
      </c>
      <c r="AZ379" s="126" t="s">
        <v>176</v>
      </c>
      <c r="BA379" s="187">
        <f t="shared" si="87"/>
        <v>364.44</v>
      </c>
      <c r="BB379" s="121"/>
      <c r="BL379" s="49"/>
      <c r="BM379" s="49"/>
    </row>
    <row r="380" spans="51:65" ht="18.75" hidden="1">
      <c r="AY380" s="153" t="s">
        <v>858</v>
      </c>
      <c r="AZ380" s="126" t="s">
        <v>187</v>
      </c>
      <c r="BA380" s="187">
        <f t="shared" si="87"/>
        <v>416.6</v>
      </c>
      <c r="BB380" s="121"/>
      <c r="BL380" s="49"/>
      <c r="BM380" s="49"/>
    </row>
    <row r="381" spans="51:65" ht="18.75" hidden="1">
      <c r="AY381" s="153" t="s">
        <v>859</v>
      </c>
      <c r="AZ381" s="126" t="s">
        <v>211</v>
      </c>
      <c r="BA381" s="187">
        <f t="shared" si="87"/>
        <v>272.55</v>
      </c>
      <c r="BB381" s="121"/>
      <c r="BL381" s="49"/>
      <c r="BM381" s="49"/>
    </row>
    <row r="382" spans="51:65" ht="18.75" hidden="1">
      <c r="AY382" s="153" t="s">
        <v>860</v>
      </c>
      <c r="AZ382" s="126" t="s">
        <v>219</v>
      </c>
      <c r="BA382" s="187">
        <f t="shared" si="87"/>
        <v>248.36</v>
      </c>
      <c r="BB382" s="121"/>
      <c r="BL382" s="49"/>
      <c r="BM382" s="49"/>
    </row>
    <row r="383" spans="51:65" ht="18.75" hidden="1">
      <c r="AY383" s="153" t="s">
        <v>861</v>
      </c>
      <c r="AZ383" s="126" t="s">
        <v>19</v>
      </c>
      <c r="BA383" s="187">
        <f t="shared" si="87"/>
        <v>454.16</v>
      </c>
      <c r="BB383" s="121"/>
      <c r="BL383" s="49"/>
      <c r="BM383" s="49"/>
    </row>
    <row r="384" spans="51:65" ht="18.75" hidden="1">
      <c r="AY384" s="153" t="s">
        <v>862</v>
      </c>
      <c r="AZ384" s="126" t="s">
        <v>181</v>
      </c>
      <c r="BA384" s="187">
        <f t="shared" si="87"/>
        <v>532.21</v>
      </c>
      <c r="BB384" s="121"/>
      <c r="BL384" s="49"/>
      <c r="BM384" s="49"/>
    </row>
    <row r="385" spans="51:65" ht="18.75" hidden="1">
      <c r="AY385" s="153" t="s">
        <v>863</v>
      </c>
      <c r="AZ385" s="126" t="s">
        <v>32</v>
      </c>
      <c r="BA385" s="187">
        <f t="shared" si="87"/>
        <v>344.55</v>
      </c>
      <c r="BB385" s="121"/>
      <c r="BL385" s="49"/>
      <c r="BM385" s="49"/>
    </row>
    <row r="386" spans="51:65" ht="18.75" hidden="1">
      <c r="AY386" s="153" t="s">
        <v>864</v>
      </c>
      <c r="AZ386" s="126" t="s">
        <v>62</v>
      </c>
      <c r="BA386" s="187">
        <f t="shared" si="87"/>
        <v>121.31</v>
      </c>
      <c r="BB386" s="121"/>
      <c r="BL386" s="49"/>
      <c r="BM386" s="49"/>
    </row>
    <row r="387" spans="51:65" ht="18.75" hidden="1">
      <c r="AY387" s="153" t="s">
        <v>865</v>
      </c>
      <c r="AZ387" s="126" t="s">
        <v>48</v>
      </c>
      <c r="BA387" s="187">
        <f t="shared" si="87"/>
        <v>172.78</v>
      </c>
      <c r="BB387" s="121"/>
      <c r="BL387" s="49"/>
      <c r="BM387" s="49"/>
    </row>
    <row r="388" spans="51:65" ht="18.75" hidden="1">
      <c r="AY388" s="153" t="s">
        <v>866</v>
      </c>
      <c r="AZ388" s="126" t="s">
        <v>174</v>
      </c>
      <c r="BA388" s="187">
        <f t="shared" si="87"/>
        <v>184.3</v>
      </c>
      <c r="BB388" s="121"/>
      <c r="BL388" s="49"/>
      <c r="BM388" s="49"/>
    </row>
    <row r="389" spans="51:65" ht="18.75" hidden="1">
      <c r="AY389" s="153" t="s">
        <v>867</v>
      </c>
      <c r="AZ389" s="126" t="s">
        <v>43</v>
      </c>
      <c r="BA389" s="187">
        <f t="shared" si="87"/>
        <v>227.36</v>
      </c>
      <c r="BB389" s="121"/>
      <c r="BL389" s="49"/>
      <c r="BM389" s="49"/>
    </row>
    <row r="390" spans="51:65" ht="18.75" hidden="1">
      <c r="AY390" s="153" t="s">
        <v>868</v>
      </c>
      <c r="AZ390" s="126" t="s">
        <v>221</v>
      </c>
      <c r="BA390" s="187">
        <f t="shared" si="87"/>
        <v>210.92</v>
      </c>
      <c r="BB390" s="121"/>
      <c r="BL390" s="49"/>
      <c r="BM390" s="49"/>
    </row>
    <row r="391" spans="51:65" ht="18.75" hidden="1">
      <c r="AY391" s="153" t="s">
        <v>869</v>
      </c>
      <c r="AZ391" s="126" t="s">
        <v>138</v>
      </c>
      <c r="BA391" s="187">
        <f t="shared" si="87"/>
        <v>264.77999999999997</v>
      </c>
      <c r="BB391" s="121"/>
      <c r="BL391" s="49"/>
      <c r="BM391" s="49"/>
    </row>
    <row r="392" spans="51:65" ht="18.75" hidden="1">
      <c r="AY392" s="153" t="s">
        <v>870</v>
      </c>
      <c r="AZ392" s="126" t="s">
        <v>127</v>
      </c>
      <c r="BA392" s="187">
        <f t="shared" si="87"/>
        <v>295.23</v>
      </c>
      <c r="BB392" s="121"/>
      <c r="BL392" s="49"/>
      <c r="BM392" s="49"/>
    </row>
    <row r="393" spans="51:65" ht="18.75" hidden="1">
      <c r="AY393" s="153" t="s">
        <v>871</v>
      </c>
      <c r="AZ393" s="126" t="s">
        <v>97</v>
      </c>
      <c r="BA393" s="187">
        <f t="shared" si="87"/>
        <v>264.01</v>
      </c>
      <c r="BB393" s="121"/>
      <c r="BL393" s="49"/>
      <c r="BM393" s="49"/>
    </row>
    <row r="394" spans="51:65" ht="18.75" hidden="1">
      <c r="AY394" s="153" t="s">
        <v>872</v>
      </c>
      <c r="AZ394" s="126" t="s">
        <v>129</v>
      </c>
      <c r="BA394" s="187">
        <f t="shared" si="87"/>
        <v>333.42</v>
      </c>
      <c r="BB394" s="121"/>
      <c r="BL394" s="49"/>
      <c r="BM394" s="49"/>
    </row>
    <row r="395" spans="51:65" ht="18.75" hidden="1">
      <c r="AY395" s="153" t="s">
        <v>873</v>
      </c>
      <c r="AZ395" s="126" t="s">
        <v>109</v>
      </c>
      <c r="BA395" s="187">
        <f t="shared" si="87"/>
        <v>363.68</v>
      </c>
      <c r="BB395" s="121"/>
      <c r="BL395" s="49"/>
      <c r="BM395" s="49"/>
    </row>
    <row r="396" spans="51:65" ht="18.75" hidden="1">
      <c r="AY396" s="153" t="s">
        <v>874</v>
      </c>
      <c r="AZ396" s="126" t="s">
        <v>232</v>
      </c>
      <c r="BA396" s="187">
        <f t="shared" si="87"/>
        <v>226.76</v>
      </c>
      <c r="BB396" s="121"/>
      <c r="BL396" s="49"/>
      <c r="BM396" s="49"/>
    </row>
    <row r="397" spans="51:65" ht="18.75" hidden="1">
      <c r="AY397" s="153" t="s">
        <v>875</v>
      </c>
      <c r="AZ397" s="126" t="s">
        <v>154</v>
      </c>
      <c r="BA397" s="187">
        <f t="shared" si="87"/>
        <v>291.95</v>
      </c>
      <c r="BB397" s="121"/>
      <c r="BL397" s="49"/>
      <c r="BM397" s="49"/>
    </row>
    <row r="398" spans="51:65" ht="18.75" hidden="1">
      <c r="AY398" s="153" t="s">
        <v>876</v>
      </c>
      <c r="AZ398" s="126" t="s">
        <v>41</v>
      </c>
      <c r="BA398" s="187">
        <f t="shared" si="87"/>
        <v>329.21</v>
      </c>
      <c r="BB398" s="121"/>
      <c r="BL398" s="49"/>
      <c r="BM398" s="49"/>
    </row>
    <row r="399" spans="51:65" ht="18.75" hidden="1">
      <c r="AY399" s="153" t="s">
        <v>877</v>
      </c>
      <c r="AZ399" s="126" t="s">
        <v>36</v>
      </c>
      <c r="BA399" s="187">
        <f t="shared" si="87"/>
        <v>280.36</v>
      </c>
      <c r="BB399" s="121"/>
      <c r="BL399" s="49"/>
      <c r="BM399" s="49"/>
    </row>
    <row r="400" spans="51:65" ht="18.75" hidden="1">
      <c r="AY400" s="153" t="s">
        <v>878</v>
      </c>
      <c r="AZ400" s="126" t="s">
        <v>122</v>
      </c>
      <c r="BA400" s="187">
        <f t="shared" si="87"/>
        <v>361.93</v>
      </c>
      <c r="BB400" s="121"/>
      <c r="BL400" s="49"/>
      <c r="BM400" s="49"/>
    </row>
    <row r="401" spans="51:65" ht="18.75" hidden="1">
      <c r="AY401" s="153" t="s">
        <v>879</v>
      </c>
      <c r="AZ401" s="126" t="s">
        <v>143</v>
      </c>
      <c r="BA401" s="187">
        <f t="shared" si="87"/>
        <v>399.71</v>
      </c>
      <c r="BB401" s="121"/>
      <c r="BL401" s="49"/>
      <c r="BM401" s="49"/>
    </row>
    <row r="402" spans="51:65" ht="18.75" hidden="1">
      <c r="AY402" s="153"/>
      <c r="AZ402" s="58"/>
      <c r="BA402" s="188"/>
      <c r="BB402" s="121"/>
      <c r="BL402" s="49"/>
      <c r="BM402" s="49"/>
    </row>
    <row r="403" spans="51:65" ht="18.75" hidden="1">
      <c r="AY403" s="153"/>
      <c r="AZ403" s="58"/>
      <c r="BA403" s="188"/>
      <c r="BB403" s="121"/>
      <c r="BL403" s="49"/>
      <c r="BM403" s="49"/>
    </row>
    <row r="404" spans="51:65" ht="18.75" hidden="1">
      <c r="AY404" s="153"/>
      <c r="AZ404" s="58"/>
      <c r="BA404" s="188"/>
      <c r="BB404" s="121"/>
      <c r="BL404" s="49"/>
      <c r="BM404" s="49"/>
    </row>
    <row r="405" spans="51:65" ht="18.75" hidden="1">
      <c r="AY405" s="153"/>
      <c r="AZ405" s="58"/>
      <c r="BA405" s="188"/>
      <c r="BB405" s="121"/>
      <c r="BL405" s="49"/>
      <c r="BM405" s="49"/>
    </row>
    <row r="406" spans="51:65" ht="18.75" hidden="1">
      <c r="AY406" s="153"/>
      <c r="AZ406" s="58"/>
      <c r="BA406" s="188"/>
      <c r="BB406" s="121"/>
      <c r="BL406" s="49"/>
      <c r="BM406" s="49"/>
    </row>
    <row r="407" spans="51:65" ht="18.75" hidden="1">
      <c r="AY407" s="153"/>
      <c r="AZ407" s="58"/>
      <c r="BA407" s="188"/>
      <c r="BB407" s="121"/>
      <c r="BL407" s="49"/>
      <c r="BM407" s="49"/>
    </row>
    <row r="408" spans="51:65" ht="18.75" hidden="1">
      <c r="AY408" s="153"/>
      <c r="AZ408" s="58"/>
      <c r="BA408" s="188"/>
      <c r="BB408" s="121"/>
      <c r="BL408" s="49"/>
      <c r="BM408" s="49"/>
    </row>
    <row r="409" spans="51:65" ht="18.75" hidden="1">
      <c r="AY409" s="153"/>
      <c r="AZ409" s="58"/>
      <c r="BA409" s="188"/>
      <c r="BB409" s="121"/>
      <c r="BL409" s="49"/>
      <c r="BM409" s="49"/>
    </row>
    <row r="410" spans="51:65" ht="18.75" hidden="1">
      <c r="AY410" s="153"/>
      <c r="AZ410" s="58"/>
      <c r="BA410" s="188"/>
      <c r="BB410" s="121"/>
      <c r="BL410" s="49"/>
      <c r="BM410" s="49"/>
    </row>
    <row r="411" spans="51:65" ht="18.75" hidden="1">
      <c r="AY411" s="153"/>
      <c r="AZ411" s="58"/>
      <c r="BA411" s="188"/>
      <c r="BB411" s="121"/>
      <c r="BL411" s="49"/>
      <c r="BM411" s="49"/>
    </row>
    <row r="412" spans="51:65" ht="18.75" hidden="1">
      <c r="AY412" s="153"/>
      <c r="AZ412" s="58"/>
      <c r="BA412" s="188"/>
      <c r="BB412" s="121"/>
      <c r="BL412" s="49"/>
      <c r="BM412" s="49"/>
    </row>
    <row r="413" spans="51:65" ht="18.75" hidden="1">
      <c r="AY413" s="153"/>
      <c r="AZ413" s="58"/>
      <c r="BA413" s="188"/>
      <c r="BB413" s="121"/>
      <c r="BL413" s="49"/>
      <c r="BM413" s="49"/>
    </row>
    <row r="414" spans="51:65" ht="18.75" hidden="1">
      <c r="AY414" s="153"/>
      <c r="AZ414" s="58"/>
      <c r="BA414" s="188"/>
      <c r="BB414" s="121"/>
      <c r="BL414" s="49"/>
      <c r="BM414" s="49"/>
    </row>
    <row r="415" spans="51:65" ht="18.75" hidden="1">
      <c r="AY415" s="153"/>
      <c r="AZ415" s="58"/>
      <c r="BA415" s="188"/>
      <c r="BB415" s="121"/>
      <c r="BL415" s="49"/>
      <c r="BM415" s="49"/>
    </row>
    <row r="416" spans="51:65" ht="18.75" hidden="1">
      <c r="AY416" s="153"/>
      <c r="AZ416" s="58"/>
      <c r="BA416" s="188"/>
      <c r="BB416" s="121"/>
      <c r="BL416" s="49"/>
      <c r="BM416" s="49"/>
    </row>
    <row r="417" spans="51:65" ht="18.75" hidden="1">
      <c r="AY417" s="153"/>
      <c r="AZ417" s="58"/>
      <c r="BA417" s="188"/>
      <c r="BB417" s="121"/>
      <c r="BL417" s="49"/>
      <c r="BM417" s="49"/>
    </row>
    <row r="418" spans="51:65" ht="18.75" hidden="1">
      <c r="AY418" s="153"/>
      <c r="AZ418" s="58"/>
      <c r="BA418" s="188"/>
      <c r="BB418" s="121"/>
      <c r="BL418" s="49"/>
      <c r="BM418" s="49"/>
    </row>
    <row r="419" spans="51:65" ht="18.75" hidden="1">
      <c r="AY419" s="153"/>
      <c r="AZ419" s="58"/>
      <c r="BA419" s="188"/>
      <c r="BB419" s="121"/>
      <c r="BL419" s="49"/>
      <c r="BM419" s="49"/>
    </row>
    <row r="420" spans="51:65" ht="18.75" hidden="1">
      <c r="AY420" s="153"/>
      <c r="AZ420" s="58"/>
      <c r="BA420" s="188"/>
      <c r="BB420" s="121"/>
      <c r="BL420" s="49"/>
      <c r="BM420" s="49"/>
    </row>
    <row r="421" spans="51:65" ht="18.75" hidden="1">
      <c r="AY421" s="153"/>
      <c r="AZ421" s="58"/>
      <c r="BA421" s="188"/>
      <c r="BB421" s="121"/>
      <c r="BL421" s="49"/>
      <c r="BM421" s="49"/>
    </row>
    <row r="422" spans="51:65" ht="18.75" hidden="1">
      <c r="AY422" s="153"/>
      <c r="AZ422" s="58"/>
      <c r="BA422" s="188"/>
      <c r="BB422" s="121"/>
      <c r="BL422" s="49"/>
      <c r="BM422" s="49"/>
    </row>
    <row r="423" spans="51:65" ht="18.75" hidden="1">
      <c r="AY423" s="153"/>
      <c r="AZ423" s="58"/>
      <c r="BA423" s="188"/>
      <c r="BB423" s="121"/>
      <c r="BL423" s="49"/>
      <c r="BM423" s="49"/>
    </row>
    <row r="424" spans="51:65" ht="18.75" hidden="1">
      <c r="AY424" s="153"/>
      <c r="AZ424" s="58"/>
      <c r="BA424" s="188"/>
      <c r="BB424" s="121"/>
      <c r="BL424" s="49"/>
      <c r="BM424" s="49"/>
    </row>
    <row r="425" spans="51:65" ht="18.75" hidden="1">
      <c r="AY425" s="153"/>
      <c r="AZ425" s="58"/>
      <c r="BA425" s="188"/>
      <c r="BB425" s="121"/>
      <c r="BL425" s="49"/>
      <c r="BM425" s="49"/>
    </row>
    <row r="426" spans="51:65" ht="18.75" hidden="1">
      <c r="AY426" s="153"/>
      <c r="AZ426" s="58"/>
      <c r="BA426" s="188"/>
      <c r="BB426" s="121"/>
      <c r="BL426" s="49"/>
      <c r="BM426" s="49"/>
    </row>
    <row r="427" spans="51:65" ht="18.75" hidden="1">
      <c r="AY427" s="153"/>
      <c r="AZ427" s="58"/>
      <c r="BA427" s="188"/>
      <c r="BB427" s="121"/>
      <c r="BL427" s="49"/>
      <c r="BM427" s="49"/>
    </row>
    <row r="428" spans="51:65" ht="18.75" hidden="1">
      <c r="AY428" s="153"/>
      <c r="AZ428" s="58"/>
      <c r="BA428" s="188"/>
      <c r="BB428" s="121"/>
      <c r="BL428" s="49"/>
      <c r="BM428" s="49"/>
    </row>
    <row r="429" spans="51:65" ht="18.75" hidden="1">
      <c r="AY429" s="153"/>
      <c r="AZ429" s="58"/>
      <c r="BA429" s="188"/>
      <c r="BB429" s="121"/>
      <c r="BL429" s="49"/>
      <c r="BM429" s="49"/>
    </row>
    <row r="430" spans="51:65" ht="18.75" hidden="1">
      <c r="AY430" s="153"/>
      <c r="AZ430" s="58"/>
      <c r="BA430" s="188"/>
      <c r="BB430" s="121"/>
      <c r="BL430" s="49"/>
      <c r="BM430" s="49"/>
    </row>
    <row r="431" spans="51:65" ht="18.75" hidden="1">
      <c r="AY431" s="153"/>
      <c r="AZ431" s="58"/>
      <c r="BA431" s="188"/>
      <c r="BB431" s="121"/>
      <c r="BL431" s="49"/>
      <c r="BM431" s="49"/>
    </row>
    <row r="432" spans="51:65" ht="18.75" hidden="1">
      <c r="AY432" s="153"/>
      <c r="AZ432" s="58"/>
      <c r="BA432" s="188"/>
      <c r="BB432" s="121"/>
      <c r="BL432" s="49"/>
      <c r="BM432" s="49"/>
    </row>
    <row r="433" spans="51:65" ht="18.75" hidden="1">
      <c r="AY433" s="153"/>
      <c r="AZ433" s="58"/>
      <c r="BA433" s="188"/>
      <c r="BB433" s="121"/>
      <c r="BL433" s="49"/>
      <c r="BM433" s="49"/>
    </row>
    <row r="434" spans="51:65" ht="18.75" hidden="1">
      <c r="AY434" s="153"/>
      <c r="AZ434" s="58"/>
      <c r="BA434" s="188"/>
      <c r="BB434" s="121"/>
      <c r="BL434" s="49"/>
      <c r="BM434" s="49"/>
    </row>
    <row r="435" spans="51:65" ht="18.75" hidden="1">
      <c r="AY435" s="153"/>
      <c r="AZ435" s="58"/>
      <c r="BA435" s="188"/>
      <c r="BB435" s="121"/>
      <c r="BL435" s="49"/>
      <c r="BM435" s="49"/>
    </row>
    <row r="436" spans="51:65" ht="18.75" hidden="1">
      <c r="AY436" s="153"/>
      <c r="AZ436" s="58"/>
      <c r="BA436" s="188"/>
      <c r="BB436" s="121"/>
      <c r="BL436" s="49"/>
      <c r="BM436" s="49"/>
    </row>
    <row r="437" spans="51:65" ht="18.75" hidden="1">
      <c r="AY437" s="153"/>
      <c r="AZ437" s="58"/>
      <c r="BA437" s="188"/>
      <c r="BB437" s="121"/>
      <c r="BL437" s="49"/>
      <c r="BM437" s="49"/>
    </row>
    <row r="438" spans="51:65" ht="18.75" hidden="1">
      <c r="AY438" s="153"/>
      <c r="AZ438" s="58"/>
      <c r="BA438" s="188"/>
      <c r="BB438" s="121"/>
      <c r="BL438" s="49"/>
      <c r="BM438" s="49"/>
    </row>
    <row r="439" spans="51:65" ht="18.75" hidden="1">
      <c r="AY439" s="153"/>
      <c r="AZ439" s="58"/>
      <c r="BA439" s="188"/>
      <c r="BB439" s="121"/>
      <c r="BL439" s="49"/>
      <c r="BM439" s="49"/>
    </row>
    <row r="440" spans="51:65" ht="18.75" hidden="1">
      <c r="AY440" s="153"/>
      <c r="AZ440" s="58"/>
      <c r="BA440" s="188"/>
      <c r="BB440" s="121"/>
      <c r="BL440" s="49"/>
      <c r="BM440" s="49"/>
    </row>
    <row r="441" spans="51:65" ht="18.75" hidden="1">
      <c r="AY441" s="153"/>
      <c r="AZ441" s="58"/>
      <c r="BA441" s="188"/>
      <c r="BB441" s="121"/>
      <c r="BL441" s="49"/>
      <c r="BM441" s="49"/>
    </row>
    <row r="442" spans="51:65" ht="18.75" hidden="1">
      <c r="AY442" s="153"/>
      <c r="AZ442" s="58"/>
      <c r="BA442" s="188"/>
      <c r="BB442" s="121"/>
      <c r="BL442" s="49"/>
      <c r="BM442" s="49"/>
    </row>
    <row r="443" spans="51:65" ht="18.75" hidden="1">
      <c r="AY443" s="153"/>
      <c r="AZ443" s="58"/>
      <c r="BA443" s="188"/>
      <c r="BB443" s="121"/>
      <c r="BL443" s="49"/>
      <c r="BM443" s="49"/>
    </row>
    <row r="444" spans="51:65" ht="18.75" hidden="1">
      <c r="AY444" s="153"/>
      <c r="AZ444" s="58"/>
      <c r="BA444" s="188"/>
      <c r="BB444" s="121"/>
      <c r="BL444" s="49"/>
      <c r="BM444" s="49"/>
    </row>
    <row r="445" spans="51:65" ht="18.75" hidden="1">
      <c r="AY445" s="153"/>
      <c r="AZ445" s="58"/>
      <c r="BA445" s="188"/>
      <c r="BB445" s="121"/>
      <c r="BL445" s="49"/>
      <c r="BM445" s="49"/>
    </row>
    <row r="446" spans="51:65" ht="18.75" hidden="1">
      <c r="AY446" s="153"/>
      <c r="AZ446" s="58"/>
      <c r="BA446" s="188"/>
      <c r="BB446" s="121"/>
      <c r="BL446" s="49"/>
      <c r="BM446" s="49"/>
    </row>
    <row r="447" spans="51:65" ht="18.75" hidden="1">
      <c r="AY447" s="153"/>
      <c r="AZ447" s="58"/>
      <c r="BA447" s="188"/>
      <c r="BB447" s="121"/>
      <c r="BL447" s="49"/>
      <c r="BM447" s="49"/>
    </row>
    <row r="448" spans="51:65" ht="18.75" hidden="1">
      <c r="AY448" s="153"/>
      <c r="AZ448" s="58"/>
      <c r="BA448" s="188"/>
      <c r="BB448" s="121"/>
      <c r="BL448" s="49"/>
      <c r="BM448" s="49"/>
    </row>
    <row r="449" spans="51:65" ht="18.75" hidden="1">
      <c r="AY449" s="153"/>
      <c r="AZ449" s="58"/>
      <c r="BA449" s="188"/>
      <c r="BB449" s="121"/>
      <c r="BL449" s="49"/>
      <c r="BM449" s="49"/>
    </row>
    <row r="450" spans="51:65" ht="18.75" hidden="1">
      <c r="AY450" s="153"/>
      <c r="AZ450" s="58"/>
      <c r="BA450" s="188"/>
      <c r="BB450" s="121"/>
      <c r="BL450" s="49"/>
      <c r="BM450" s="49"/>
    </row>
    <row r="451" spans="51:65" ht="18.75" hidden="1">
      <c r="AY451" s="153"/>
      <c r="AZ451" s="58"/>
      <c r="BA451" s="188"/>
      <c r="BB451" s="121"/>
      <c r="BL451" s="49"/>
      <c r="BM451" s="49"/>
    </row>
    <row r="452" spans="51:65" ht="18.75" hidden="1">
      <c r="AY452" s="153"/>
      <c r="AZ452" s="58"/>
      <c r="BA452" s="188"/>
      <c r="BB452" s="121"/>
      <c r="BL452" s="49"/>
      <c r="BM452" s="49"/>
    </row>
    <row r="453" spans="51:65" ht="18.75" hidden="1">
      <c r="AY453" s="153"/>
      <c r="AZ453" s="58"/>
      <c r="BA453" s="188"/>
      <c r="BB453" s="121"/>
      <c r="BL453" s="49"/>
      <c r="BM453" s="49"/>
    </row>
    <row r="454" spans="51:65" ht="18.75" hidden="1">
      <c r="AY454" s="153"/>
      <c r="AZ454" s="58"/>
      <c r="BA454" s="188"/>
      <c r="BB454" s="121"/>
      <c r="BL454" s="49"/>
      <c r="BM454" s="49"/>
    </row>
    <row r="455" spans="51:65" ht="18.75" hidden="1">
      <c r="AY455" s="153"/>
      <c r="AZ455" s="58"/>
      <c r="BA455" s="188"/>
      <c r="BB455" s="121"/>
      <c r="BL455" s="49"/>
      <c r="BM455" s="49"/>
    </row>
    <row r="456" spans="51:65" ht="18.75" hidden="1">
      <c r="AY456" s="153"/>
      <c r="AZ456" s="58"/>
      <c r="BA456" s="188"/>
      <c r="BB456" s="121"/>
      <c r="BL456" s="49"/>
      <c r="BM456" s="49"/>
    </row>
    <row r="457" spans="51:65" ht="18.75" hidden="1">
      <c r="AY457" s="153"/>
      <c r="AZ457" s="58"/>
      <c r="BA457" s="188"/>
      <c r="BB457" s="121"/>
      <c r="BL457" s="49"/>
      <c r="BM457" s="49"/>
    </row>
    <row r="458" spans="51:65" ht="18.75" hidden="1">
      <c r="AY458" s="153"/>
      <c r="AZ458" s="58"/>
      <c r="BA458" s="188"/>
      <c r="BB458" s="121"/>
      <c r="BL458" s="49"/>
      <c r="BM458" s="49"/>
    </row>
    <row r="459" spans="51:65" ht="18.75" hidden="1">
      <c r="AY459" s="153"/>
      <c r="AZ459" s="58"/>
      <c r="BA459" s="188"/>
      <c r="BB459" s="121"/>
      <c r="BL459" s="49"/>
      <c r="BM459" s="49"/>
    </row>
    <row r="460" spans="51:65" ht="18.75" hidden="1">
      <c r="AY460" s="153"/>
      <c r="AZ460" s="58"/>
      <c r="BA460" s="188"/>
      <c r="BB460" s="121"/>
      <c r="BL460" s="49"/>
      <c r="BM460" s="49"/>
    </row>
    <row r="461" spans="51:65" ht="18.75" hidden="1">
      <c r="AY461" s="153"/>
      <c r="AZ461" s="58"/>
      <c r="BA461" s="188"/>
      <c r="BB461" s="121"/>
      <c r="BL461" s="49"/>
      <c r="BM461" s="49"/>
    </row>
    <row r="462" spans="51:65" ht="18.75" hidden="1">
      <c r="AY462" s="153"/>
      <c r="AZ462" s="58"/>
      <c r="BA462" s="188"/>
      <c r="BB462" s="121"/>
      <c r="BL462" s="49"/>
      <c r="BM462" s="49"/>
    </row>
    <row r="463" spans="51:65" ht="18.75" hidden="1">
      <c r="AY463" s="153"/>
      <c r="AZ463" s="58"/>
      <c r="BA463" s="188"/>
      <c r="BB463" s="121"/>
      <c r="BL463" s="49"/>
      <c r="BM463" s="49"/>
    </row>
    <row r="464" spans="51:65" ht="18.75" hidden="1">
      <c r="AY464" s="153"/>
      <c r="AZ464" s="58"/>
      <c r="BA464" s="188"/>
      <c r="BB464" s="121"/>
      <c r="BL464" s="49"/>
      <c r="BM464" s="49"/>
    </row>
    <row r="465" spans="51:65" ht="18.75" hidden="1">
      <c r="AY465" s="153"/>
      <c r="AZ465" s="58"/>
      <c r="BA465" s="188"/>
      <c r="BB465" s="121"/>
      <c r="BL465" s="49"/>
      <c r="BM465" s="49"/>
    </row>
    <row r="466" spans="51:65" ht="18.75" hidden="1">
      <c r="AY466" s="153"/>
      <c r="AZ466" s="58"/>
      <c r="BA466" s="188"/>
      <c r="BB466" s="121"/>
      <c r="BL466" s="49"/>
      <c r="BM466" s="49"/>
    </row>
    <row r="467" spans="51:65" ht="18.75" hidden="1">
      <c r="AY467" s="153"/>
      <c r="AZ467" s="58"/>
      <c r="BA467" s="188"/>
      <c r="BB467" s="121"/>
      <c r="BL467" s="49"/>
      <c r="BM467" s="49"/>
    </row>
    <row r="468" spans="51:65" ht="18.75" hidden="1">
      <c r="AY468" s="153"/>
      <c r="AZ468" s="58"/>
      <c r="BA468" s="188"/>
      <c r="BB468" s="121"/>
      <c r="BL468" s="49"/>
      <c r="BM468" s="49"/>
    </row>
    <row r="469" spans="51:65" ht="18.75" hidden="1">
      <c r="AY469" s="153"/>
      <c r="AZ469" s="58"/>
      <c r="BA469" s="188"/>
      <c r="BB469" s="121"/>
      <c r="BL469" s="49"/>
      <c r="BM469" s="49"/>
    </row>
    <row r="470" spans="51:65" ht="18.75" hidden="1">
      <c r="AY470" s="153"/>
      <c r="AZ470" s="58"/>
      <c r="BA470" s="188"/>
      <c r="BB470" s="121"/>
      <c r="BL470" s="49"/>
      <c r="BM470" s="49"/>
    </row>
    <row r="471" spans="51:65" ht="18.75" hidden="1">
      <c r="AY471" s="153"/>
      <c r="AZ471" s="58"/>
      <c r="BA471" s="188"/>
      <c r="BB471" s="121"/>
      <c r="BL471" s="49"/>
      <c r="BM471" s="49"/>
    </row>
    <row r="472" spans="51:65" ht="18.75" hidden="1">
      <c r="AY472" s="153"/>
      <c r="AZ472" s="58"/>
      <c r="BA472" s="188"/>
      <c r="BB472" s="121"/>
      <c r="BL472" s="49"/>
      <c r="BM472" s="49"/>
    </row>
    <row r="473" spans="51:65" ht="18.75" hidden="1">
      <c r="AY473" s="153"/>
      <c r="AZ473" s="58"/>
      <c r="BA473" s="188"/>
      <c r="BB473" s="121"/>
      <c r="BL473" s="49"/>
      <c r="BM473" s="49"/>
    </row>
    <row r="474" spans="51:65" ht="18.75" hidden="1">
      <c r="AY474" s="153"/>
      <c r="AZ474" s="58"/>
      <c r="BA474" s="188"/>
      <c r="BB474" s="121"/>
      <c r="BL474" s="49"/>
      <c r="BM474" s="49"/>
    </row>
    <row r="475" spans="51:65" ht="18.75" hidden="1">
      <c r="AY475" s="153"/>
      <c r="AZ475" s="58"/>
      <c r="BA475" s="188"/>
      <c r="BB475" s="121"/>
      <c r="BL475" s="49"/>
      <c r="BM475" s="49"/>
    </row>
    <row r="476" spans="51:65" ht="18.75" hidden="1">
      <c r="AY476" s="153"/>
      <c r="AZ476" s="58"/>
      <c r="BA476" s="188"/>
      <c r="BB476" s="121"/>
      <c r="BL476" s="49"/>
      <c r="BM476" s="49"/>
    </row>
    <row r="477" spans="51:65" ht="18.75" hidden="1">
      <c r="AY477" s="153"/>
      <c r="AZ477" s="58"/>
      <c r="BA477" s="188"/>
      <c r="BB477" s="121"/>
      <c r="BL477" s="49"/>
      <c r="BM477" s="49"/>
    </row>
    <row r="478" spans="51:65" ht="18.75" hidden="1">
      <c r="AY478" s="153"/>
      <c r="AZ478" s="58"/>
      <c r="BA478" s="188"/>
      <c r="BB478" s="121"/>
      <c r="BL478" s="49"/>
      <c r="BM478" s="49"/>
    </row>
    <row r="479" spans="51:65" ht="18.75" hidden="1">
      <c r="AY479" s="153"/>
      <c r="AZ479" s="58"/>
      <c r="BA479" s="188"/>
      <c r="BB479" s="121"/>
      <c r="BL479" s="49"/>
      <c r="BM479" s="49"/>
    </row>
    <row r="480" spans="51:65" ht="18.75" hidden="1">
      <c r="AY480" s="153"/>
      <c r="AZ480" s="58"/>
      <c r="BA480" s="188"/>
      <c r="BB480" s="121"/>
      <c r="BL480" s="49"/>
      <c r="BM480" s="49"/>
    </row>
    <row r="481" spans="51:65" ht="18.75" hidden="1">
      <c r="AY481" s="153"/>
      <c r="AZ481" s="58"/>
      <c r="BA481" s="188"/>
      <c r="BB481" s="121"/>
      <c r="BL481" s="49"/>
      <c r="BM481" s="49"/>
    </row>
    <row r="482" spans="51:65" ht="18.75" hidden="1">
      <c r="AY482" s="153"/>
      <c r="AZ482" s="58"/>
      <c r="BA482" s="188"/>
      <c r="BB482" s="121"/>
      <c r="BL482" s="49"/>
      <c r="BM482" s="49"/>
    </row>
    <row r="483" spans="51:65" ht="18.75" hidden="1">
      <c r="AY483" s="153"/>
      <c r="AZ483" s="58"/>
      <c r="BA483" s="188"/>
      <c r="BB483" s="121"/>
      <c r="BL483" s="49"/>
      <c r="BM483" s="49"/>
    </row>
    <row r="484" spans="51:65" ht="18.75" hidden="1">
      <c r="AY484" s="153"/>
      <c r="AZ484" s="58"/>
      <c r="BA484" s="188"/>
      <c r="BB484" s="121"/>
      <c r="BL484" s="49"/>
      <c r="BM484" s="49"/>
    </row>
    <row r="485" spans="51:65" ht="18.75" hidden="1">
      <c r="AY485" s="153"/>
      <c r="AZ485" s="58"/>
      <c r="BA485" s="188"/>
      <c r="BB485" s="121"/>
      <c r="BL485" s="49"/>
      <c r="BM485" s="49"/>
    </row>
    <row r="486" spans="51:65" ht="18.75" hidden="1">
      <c r="AY486" s="153"/>
      <c r="AZ486" s="58"/>
      <c r="BA486" s="188"/>
      <c r="BB486" s="121"/>
      <c r="BL486" s="49"/>
      <c r="BM486" s="49"/>
    </row>
    <row r="487" spans="51:65" ht="18.75" hidden="1">
      <c r="AY487" s="153"/>
      <c r="AZ487" s="58"/>
      <c r="BA487" s="188"/>
      <c r="BB487" s="121"/>
      <c r="BL487" s="49"/>
      <c r="BM487" s="49"/>
    </row>
    <row r="488" spans="51:65" ht="18.75" hidden="1">
      <c r="AY488" s="153"/>
      <c r="AZ488" s="58"/>
      <c r="BA488" s="188"/>
      <c r="BB488" s="121"/>
      <c r="BL488" s="49"/>
      <c r="BM488" s="49"/>
    </row>
    <row r="489" spans="51:65" ht="18.75" hidden="1">
      <c r="AY489" s="153"/>
      <c r="AZ489" s="58"/>
      <c r="BA489" s="188"/>
      <c r="BB489" s="121"/>
      <c r="BL489" s="49"/>
      <c r="BM489" s="49"/>
    </row>
    <row r="490" spans="51:65" ht="18.75" hidden="1">
      <c r="AY490" s="153"/>
      <c r="AZ490" s="58"/>
      <c r="BA490" s="188"/>
      <c r="BB490" s="121"/>
      <c r="BL490" s="49"/>
      <c r="BM490" s="49"/>
    </row>
    <row r="491" spans="51:65" ht="18.75" hidden="1">
      <c r="AY491" s="153"/>
      <c r="AZ491" s="58"/>
      <c r="BA491" s="188"/>
      <c r="BB491" s="121"/>
      <c r="BL491" s="49"/>
      <c r="BM491" s="49"/>
    </row>
    <row r="492" spans="51:65" ht="18.75" hidden="1">
      <c r="AY492" s="153"/>
      <c r="AZ492" s="58"/>
      <c r="BA492" s="188"/>
      <c r="BB492" s="121"/>
      <c r="BL492" s="49"/>
      <c r="BM492" s="49"/>
    </row>
    <row r="493" spans="51:65" ht="18.75" hidden="1">
      <c r="AY493" s="153"/>
      <c r="AZ493" s="58"/>
      <c r="BA493" s="188"/>
      <c r="BB493" s="121"/>
      <c r="BL493" s="49"/>
      <c r="BM493" s="49"/>
    </row>
    <row r="494" spans="51:65" ht="18.75" hidden="1">
      <c r="AY494" s="153"/>
      <c r="AZ494" s="58"/>
      <c r="BA494" s="188"/>
      <c r="BB494" s="121"/>
      <c r="BL494" s="49"/>
      <c r="BM494" s="49"/>
    </row>
    <row r="495" spans="51:65" ht="18.75" hidden="1">
      <c r="AY495" s="153"/>
      <c r="AZ495" s="58"/>
      <c r="BA495" s="188"/>
      <c r="BB495" s="121"/>
      <c r="BL495" s="49"/>
      <c r="BM495" s="49"/>
    </row>
    <row r="496" spans="51:65" ht="18.75" hidden="1">
      <c r="AY496" s="153"/>
      <c r="AZ496" s="58"/>
      <c r="BA496" s="188"/>
      <c r="BB496" s="121"/>
      <c r="BL496" s="49"/>
      <c r="BM496" s="49"/>
    </row>
    <row r="497" spans="51:65" ht="18.75" hidden="1">
      <c r="AY497" s="153"/>
      <c r="AZ497" s="58"/>
      <c r="BA497" s="188"/>
      <c r="BB497" s="121"/>
      <c r="BL497" s="49"/>
      <c r="BM497" s="49"/>
    </row>
    <row r="498" spans="51:65" ht="18.75" hidden="1">
      <c r="AY498" s="153"/>
      <c r="AZ498" s="58"/>
      <c r="BA498" s="188"/>
      <c r="BB498" s="121"/>
      <c r="BL498" s="49"/>
      <c r="BM498" s="49"/>
    </row>
    <row r="499" spans="51:65" ht="18.75" hidden="1">
      <c r="AY499" s="153"/>
      <c r="AZ499" s="58"/>
      <c r="BA499" s="188"/>
      <c r="BB499" s="121"/>
      <c r="BL499" s="49"/>
      <c r="BM499" s="49"/>
    </row>
    <row r="500" spans="51:65" ht="18.75" hidden="1">
      <c r="AY500" s="153"/>
      <c r="AZ500" s="58"/>
      <c r="BA500" s="188"/>
      <c r="BB500" s="121"/>
      <c r="BL500" s="49"/>
      <c r="BM500" s="49"/>
    </row>
    <row r="501" spans="51:65" ht="18.75" hidden="1">
      <c r="AY501" s="153"/>
      <c r="AZ501" s="58"/>
      <c r="BA501" s="188"/>
      <c r="BB501" s="121"/>
      <c r="BL501" s="49"/>
      <c r="BM501" s="49"/>
    </row>
    <row r="502" spans="51:65" ht="18.75" hidden="1">
      <c r="AY502" s="153"/>
      <c r="AZ502" s="58"/>
      <c r="BA502" s="188"/>
      <c r="BB502" s="121"/>
      <c r="BL502" s="49"/>
      <c r="BM502" s="49"/>
    </row>
    <row r="503" spans="51:65" ht="18.75" hidden="1">
      <c r="AY503" s="153"/>
      <c r="AZ503" s="58"/>
      <c r="BA503" s="188"/>
      <c r="BB503" s="121"/>
      <c r="BL503" s="49"/>
      <c r="BM503" s="49"/>
    </row>
    <row r="504" spans="51:65" ht="18.75" hidden="1">
      <c r="AY504" s="153"/>
      <c r="AZ504" s="58"/>
      <c r="BA504" s="188"/>
      <c r="BB504" s="121"/>
      <c r="BL504" s="49"/>
      <c r="BM504" s="49"/>
    </row>
    <row r="505" spans="51:65" ht="18.75" hidden="1">
      <c r="AY505" s="153"/>
      <c r="AZ505" s="58"/>
      <c r="BA505" s="188"/>
      <c r="BB505" s="121"/>
      <c r="BL505" s="49"/>
      <c r="BM505" s="49"/>
    </row>
    <row r="506" spans="51:65" ht="18.75" hidden="1">
      <c r="AY506" s="153"/>
      <c r="AZ506" s="58"/>
      <c r="BA506" s="188"/>
      <c r="BB506" s="121"/>
      <c r="BL506" s="49"/>
      <c r="BM506" s="49"/>
    </row>
    <row r="507" spans="51:65" ht="18.75" hidden="1">
      <c r="AY507" s="153"/>
      <c r="AZ507" s="58"/>
      <c r="BA507" s="188"/>
      <c r="BB507" s="121"/>
      <c r="BL507" s="49"/>
      <c r="BM507" s="49"/>
    </row>
    <row r="508" spans="51:65" ht="18.75" hidden="1">
      <c r="AY508" s="153"/>
      <c r="AZ508" s="58"/>
      <c r="BA508" s="188"/>
      <c r="BB508" s="121"/>
      <c r="BL508" s="49"/>
      <c r="BM508" s="49"/>
    </row>
    <row r="509" spans="51:65" ht="18.75" hidden="1">
      <c r="AY509" s="153"/>
      <c r="AZ509" s="58"/>
      <c r="BA509" s="188"/>
      <c r="BB509" s="121"/>
      <c r="BL509" s="49"/>
      <c r="BM509" s="49"/>
    </row>
    <row r="510" spans="51:65" ht="18.75" hidden="1">
      <c r="AY510" s="153"/>
      <c r="AZ510" s="58"/>
      <c r="BA510" s="188"/>
      <c r="BB510" s="121"/>
      <c r="BL510" s="49"/>
      <c r="BM510" s="49"/>
    </row>
    <row r="511" spans="51:65" ht="18.75" hidden="1">
      <c r="AY511" s="153"/>
      <c r="AZ511" s="58"/>
      <c r="BA511" s="188"/>
      <c r="BB511" s="121"/>
      <c r="BL511" s="49"/>
      <c r="BM511" s="49"/>
    </row>
    <row r="512" spans="51:65" ht="18.75" hidden="1">
      <c r="AY512" s="153"/>
      <c r="AZ512" s="58"/>
      <c r="BA512" s="188"/>
      <c r="BB512" s="121"/>
      <c r="BL512" s="49"/>
      <c r="BM512" s="49"/>
    </row>
    <row r="513" spans="51:65" ht="18.75" hidden="1">
      <c r="AY513" s="153"/>
      <c r="AZ513" s="58"/>
      <c r="BA513" s="188"/>
      <c r="BB513" s="121"/>
      <c r="BL513" s="49"/>
      <c r="BM513" s="49"/>
    </row>
    <row r="514" spans="51:65" ht="18.75" hidden="1">
      <c r="AY514" s="153"/>
      <c r="AZ514" s="58"/>
      <c r="BA514" s="188"/>
      <c r="BB514" s="121"/>
      <c r="BL514" s="49"/>
      <c r="BM514" s="49"/>
    </row>
    <row r="515" spans="51:65" ht="18.75" hidden="1">
      <c r="AY515" s="153"/>
      <c r="AZ515" s="58"/>
      <c r="BA515" s="188"/>
      <c r="BB515" s="121"/>
      <c r="BL515" s="49"/>
      <c r="BM515" s="49"/>
    </row>
    <row r="516" spans="51:65" ht="18.75" hidden="1">
      <c r="AY516" s="153"/>
      <c r="AZ516" s="58"/>
      <c r="BA516" s="188"/>
      <c r="BB516" s="121"/>
      <c r="BL516" s="49"/>
      <c r="BM516" s="49"/>
    </row>
    <row r="517" spans="51:65" ht="18.75" hidden="1">
      <c r="AY517" s="153"/>
      <c r="AZ517" s="58"/>
      <c r="BA517" s="188"/>
      <c r="BB517" s="121"/>
      <c r="BL517" s="49"/>
      <c r="BM517" s="49"/>
    </row>
    <row r="518" spans="51:65" ht="18.75" hidden="1">
      <c r="AY518" s="153"/>
      <c r="AZ518" s="58"/>
      <c r="BA518" s="188"/>
      <c r="BB518" s="121"/>
      <c r="BL518" s="49"/>
      <c r="BM518" s="49"/>
    </row>
    <row r="519" spans="51:65" ht="18.75" hidden="1">
      <c r="AY519" s="153"/>
      <c r="AZ519" s="58"/>
      <c r="BA519" s="188"/>
      <c r="BB519" s="121"/>
      <c r="BL519" s="49"/>
      <c r="BM519" s="49"/>
    </row>
    <row r="520" spans="51:65" ht="18.75" hidden="1">
      <c r="AY520" s="153"/>
      <c r="AZ520" s="58"/>
      <c r="BA520" s="188"/>
      <c r="BB520" s="121"/>
      <c r="BL520" s="49"/>
      <c r="BM520" s="49"/>
    </row>
    <row r="521" spans="51:65" ht="18.75" hidden="1">
      <c r="AY521" s="153"/>
      <c r="AZ521" s="58"/>
      <c r="BA521" s="188"/>
      <c r="BB521" s="121"/>
      <c r="BL521" s="49"/>
      <c r="BM521" s="49"/>
    </row>
    <row r="522" spans="51:65" ht="18.75" hidden="1">
      <c r="AY522" s="153"/>
      <c r="AZ522" s="58"/>
      <c r="BA522" s="188"/>
      <c r="BB522" s="121"/>
      <c r="BL522" s="49"/>
      <c r="BM522" s="49"/>
    </row>
    <row r="523" spans="51:65" ht="18.75" hidden="1">
      <c r="AY523" s="153"/>
      <c r="AZ523" s="58"/>
      <c r="BA523" s="188"/>
      <c r="BB523" s="121"/>
      <c r="BL523" s="49"/>
      <c r="BM523" s="49"/>
    </row>
    <row r="524" spans="51:65" ht="18.75" hidden="1">
      <c r="AY524" s="153"/>
      <c r="AZ524" s="58"/>
      <c r="BA524" s="188"/>
      <c r="BB524" s="121"/>
      <c r="BL524" s="49"/>
      <c r="BM524" s="49"/>
    </row>
    <row r="525" spans="51:65" ht="18.75" hidden="1">
      <c r="AY525" s="153"/>
      <c r="AZ525" s="58"/>
      <c r="BA525" s="188"/>
      <c r="BB525" s="121"/>
      <c r="BL525" s="49"/>
      <c r="BM525" s="49"/>
    </row>
    <row r="526" spans="51:65" ht="18.75" hidden="1">
      <c r="AY526" s="153"/>
      <c r="AZ526" s="58"/>
      <c r="BA526" s="188"/>
      <c r="BB526" s="121"/>
      <c r="BL526" s="49"/>
      <c r="BM526" s="49"/>
    </row>
    <row r="527" spans="51:65" ht="18.75" hidden="1">
      <c r="AY527" s="153"/>
      <c r="AZ527" s="58"/>
      <c r="BA527" s="188"/>
      <c r="BB527" s="121"/>
      <c r="BL527" s="49"/>
      <c r="BM527" s="49"/>
    </row>
    <row r="528" spans="51:65" ht="18.75" hidden="1">
      <c r="AY528" s="153"/>
      <c r="AZ528" s="58"/>
      <c r="BA528" s="188"/>
      <c r="BB528" s="121"/>
      <c r="BL528" s="49"/>
      <c r="BM528" s="49"/>
    </row>
    <row r="529" spans="51:65" ht="18.75" hidden="1">
      <c r="AY529" s="153"/>
      <c r="AZ529" s="58"/>
      <c r="BA529" s="188"/>
      <c r="BB529" s="121"/>
      <c r="BL529" s="49"/>
      <c r="BM529" s="49"/>
    </row>
    <row r="530" spans="51:65" ht="18.75" hidden="1">
      <c r="AY530" s="153"/>
      <c r="AZ530" s="58"/>
      <c r="BA530" s="188"/>
      <c r="BB530" s="121"/>
      <c r="BL530" s="49"/>
      <c r="BM530" s="49"/>
    </row>
    <row r="531" spans="51:65" ht="18.75" hidden="1">
      <c r="AY531" s="153"/>
      <c r="AZ531" s="58"/>
      <c r="BA531" s="188"/>
      <c r="BB531" s="121"/>
      <c r="BL531" s="49"/>
      <c r="BM531" s="49"/>
    </row>
    <row r="532" spans="51:65" ht="18.75" hidden="1">
      <c r="AY532" s="153"/>
      <c r="AZ532" s="58"/>
      <c r="BA532" s="188"/>
      <c r="BB532" s="121"/>
      <c r="BL532" s="49"/>
      <c r="BM532" s="49"/>
    </row>
    <row r="533" spans="51:65" ht="18.75" hidden="1">
      <c r="AY533" s="153"/>
      <c r="AZ533" s="58"/>
      <c r="BA533" s="188"/>
      <c r="BB533" s="121"/>
      <c r="BL533" s="49"/>
      <c r="BM533" s="49"/>
    </row>
    <row r="534" spans="51:65" ht="18.75" hidden="1">
      <c r="AY534" s="153"/>
      <c r="AZ534" s="58"/>
      <c r="BA534" s="188"/>
      <c r="BB534" s="121"/>
      <c r="BL534" s="49"/>
      <c r="BM534" s="49"/>
    </row>
    <row r="535" spans="51:65" ht="18.75" hidden="1">
      <c r="AY535" s="153"/>
      <c r="AZ535" s="58"/>
      <c r="BA535" s="188"/>
      <c r="BB535" s="121"/>
      <c r="BL535" s="49"/>
      <c r="BM535" s="49"/>
    </row>
    <row r="536" spans="51:65" ht="18.75" hidden="1">
      <c r="AY536" s="153"/>
      <c r="AZ536" s="58"/>
      <c r="BA536" s="188"/>
      <c r="BB536" s="121"/>
      <c r="BL536" s="49"/>
      <c r="BM536" s="49"/>
    </row>
    <row r="537" spans="51:65" ht="18.75" hidden="1">
      <c r="AY537" s="153"/>
      <c r="AZ537" s="58"/>
      <c r="BA537" s="188"/>
      <c r="BB537" s="121"/>
      <c r="BL537" s="49"/>
      <c r="BM537" s="49"/>
    </row>
    <row r="538" spans="51:65" ht="18.75" hidden="1">
      <c r="AY538" s="153"/>
      <c r="AZ538" s="58"/>
      <c r="BA538" s="188"/>
      <c r="BB538" s="121"/>
      <c r="BL538" s="49"/>
      <c r="BM538" s="49"/>
    </row>
    <row r="539" spans="51:65" ht="18.75" hidden="1">
      <c r="AY539" s="153"/>
      <c r="AZ539" s="58"/>
      <c r="BA539" s="188"/>
      <c r="BB539" s="121"/>
      <c r="BL539" s="49"/>
      <c r="BM539" s="49"/>
    </row>
    <row r="540" spans="51:65" ht="18.75" hidden="1">
      <c r="AY540" s="153"/>
      <c r="AZ540" s="58"/>
      <c r="BA540" s="188"/>
      <c r="BB540" s="121"/>
      <c r="BL540" s="49"/>
      <c r="BM540" s="49"/>
    </row>
    <row r="541" spans="51:65" ht="18.75" hidden="1">
      <c r="AY541" s="153"/>
      <c r="AZ541" s="58"/>
      <c r="BA541" s="188"/>
      <c r="BB541" s="121"/>
      <c r="BL541" s="49"/>
      <c r="BM541" s="49"/>
    </row>
    <row r="542" spans="51:65" ht="18.75" hidden="1">
      <c r="AY542" s="153"/>
      <c r="AZ542" s="58"/>
      <c r="BA542" s="188"/>
      <c r="BB542" s="121"/>
      <c r="BL542" s="49"/>
      <c r="BM542" s="49"/>
    </row>
    <row r="543" spans="51:65" ht="18.75" hidden="1">
      <c r="AY543" s="153"/>
      <c r="AZ543" s="58"/>
      <c r="BA543" s="188"/>
      <c r="BB543" s="121"/>
      <c r="BL543" s="49"/>
      <c r="BM543" s="49"/>
    </row>
    <row r="544" spans="51:65" ht="18.75" hidden="1">
      <c r="AY544" s="153"/>
      <c r="AZ544" s="58"/>
      <c r="BA544" s="188"/>
      <c r="BB544" s="121"/>
      <c r="BL544" s="49"/>
      <c r="BM544" s="49"/>
    </row>
    <row r="545" spans="51:65" ht="18.75" hidden="1">
      <c r="AY545" s="153"/>
      <c r="AZ545" s="58"/>
      <c r="BA545" s="188"/>
      <c r="BB545" s="121"/>
      <c r="BL545" s="49"/>
      <c r="BM545" s="49"/>
    </row>
    <row r="546" spans="51:65" ht="18.75" hidden="1">
      <c r="AY546" s="153"/>
      <c r="AZ546" s="58"/>
      <c r="BA546" s="188"/>
      <c r="BB546" s="121"/>
      <c r="BL546" s="49"/>
      <c r="BM546" s="49"/>
    </row>
    <row r="547" spans="51:65" ht="18.75" hidden="1">
      <c r="AY547" s="153"/>
      <c r="AZ547" s="58"/>
      <c r="BA547" s="188"/>
      <c r="BB547" s="121"/>
      <c r="BL547" s="49"/>
      <c r="BM547" s="49"/>
    </row>
    <row r="548" spans="51:65" ht="18.75" hidden="1">
      <c r="AY548" s="153"/>
      <c r="AZ548" s="58"/>
      <c r="BA548" s="188"/>
      <c r="BB548" s="121"/>
      <c r="BL548" s="49"/>
      <c r="BM548" s="49"/>
    </row>
    <row r="549" spans="51:65" ht="18.75" hidden="1">
      <c r="AY549" s="153"/>
      <c r="AZ549" s="58"/>
      <c r="BA549" s="188"/>
      <c r="BB549" s="121"/>
      <c r="BL549" s="49"/>
      <c r="BM549" s="49"/>
    </row>
    <row r="550" spans="51:65" ht="18.75" hidden="1">
      <c r="AY550" s="153"/>
      <c r="AZ550" s="58"/>
      <c r="BA550" s="188"/>
      <c r="BB550" s="121"/>
      <c r="BL550" s="49"/>
      <c r="BM550" s="49"/>
    </row>
    <row r="551" spans="51:65" ht="18.75" hidden="1">
      <c r="AY551" s="153"/>
      <c r="AZ551" s="58"/>
      <c r="BA551" s="188"/>
      <c r="BB551" s="121"/>
      <c r="BL551" s="49"/>
      <c r="BM551" s="49"/>
    </row>
    <row r="552" spans="51:65" ht="18.75" hidden="1">
      <c r="AY552" s="153"/>
      <c r="AZ552" s="58"/>
      <c r="BA552" s="188"/>
      <c r="BB552" s="121"/>
      <c r="BL552" s="49"/>
      <c r="BM552" s="49"/>
    </row>
    <row r="553" spans="51:65" ht="18.75" hidden="1">
      <c r="AY553" s="153"/>
      <c r="AZ553" s="58"/>
      <c r="BA553" s="188"/>
      <c r="BB553" s="121"/>
      <c r="BL553" s="49"/>
      <c r="BM553" s="49"/>
    </row>
    <row r="554" spans="51:65" ht="18.75" hidden="1">
      <c r="AY554" s="153"/>
      <c r="AZ554" s="58"/>
      <c r="BA554" s="188"/>
      <c r="BB554" s="121"/>
      <c r="BL554" s="49"/>
      <c r="BM554" s="49"/>
    </row>
    <row r="555" spans="51:65" ht="18.75" hidden="1">
      <c r="AY555" s="153"/>
      <c r="AZ555" s="58"/>
      <c r="BA555" s="188"/>
      <c r="BB555" s="121"/>
      <c r="BL555" s="49"/>
      <c r="BM555" s="49"/>
    </row>
    <row r="556" spans="51:65" ht="18.75" hidden="1">
      <c r="AY556" s="153"/>
      <c r="AZ556" s="58"/>
      <c r="BA556" s="188"/>
      <c r="BB556" s="121"/>
      <c r="BL556" s="49"/>
      <c r="BM556" s="49"/>
    </row>
    <row r="557" spans="51:65" ht="18.75" hidden="1">
      <c r="AY557" s="153"/>
      <c r="AZ557" s="58"/>
      <c r="BA557" s="188"/>
      <c r="BB557" s="121"/>
      <c r="BL557" s="49"/>
      <c r="BM557" s="49"/>
    </row>
    <row r="558" spans="51:65" ht="18.75" hidden="1">
      <c r="AY558" s="153"/>
      <c r="AZ558" s="58"/>
      <c r="BA558" s="188"/>
      <c r="BB558" s="121"/>
      <c r="BL558" s="49"/>
      <c r="BM558" s="49"/>
    </row>
    <row r="559" spans="51:65" ht="18.75" hidden="1">
      <c r="AY559" s="153"/>
      <c r="AZ559" s="58"/>
      <c r="BA559" s="188"/>
      <c r="BB559" s="121"/>
      <c r="BL559" s="49"/>
      <c r="BM559" s="49"/>
    </row>
    <row r="560" spans="51:65" ht="18.75" hidden="1">
      <c r="AY560" s="153"/>
      <c r="AZ560" s="58"/>
      <c r="BA560" s="188"/>
      <c r="BB560" s="121"/>
      <c r="BL560" s="49"/>
      <c r="BM560" s="49"/>
    </row>
    <row r="561" spans="51:65" ht="18.75" hidden="1">
      <c r="AY561" s="153"/>
      <c r="AZ561" s="58"/>
      <c r="BA561" s="188"/>
      <c r="BB561" s="121"/>
      <c r="BL561" s="49"/>
      <c r="BM561" s="49"/>
    </row>
    <row r="562" spans="51:65" ht="18.75" hidden="1">
      <c r="AY562" s="153"/>
      <c r="AZ562" s="58"/>
      <c r="BA562" s="188"/>
      <c r="BB562" s="121"/>
      <c r="BL562" s="49"/>
      <c r="BM562" s="49"/>
    </row>
    <row r="563" spans="51:65" ht="18.75" hidden="1">
      <c r="AY563" s="153"/>
      <c r="AZ563" s="58"/>
      <c r="BA563" s="188"/>
      <c r="BB563" s="121"/>
      <c r="BC563" s="70"/>
      <c r="BL563" s="49"/>
      <c r="BM563" s="49"/>
    </row>
    <row r="564" spans="51:65" ht="18.75" hidden="1">
      <c r="AY564" s="153"/>
      <c r="AZ564" s="58"/>
      <c r="BA564" s="188"/>
      <c r="BB564" s="121"/>
      <c r="BL564" s="49"/>
      <c r="BM564" s="49"/>
    </row>
    <row r="565" spans="51:65" ht="18.75" hidden="1">
      <c r="AY565" s="153"/>
      <c r="AZ565" s="58"/>
      <c r="BA565" s="188"/>
      <c r="BB565" s="121"/>
      <c r="BL565" s="49"/>
      <c r="BM565" s="49"/>
    </row>
    <row r="566" spans="51:65" ht="18.75" hidden="1">
      <c r="AY566" s="153"/>
      <c r="AZ566" s="58"/>
      <c r="BA566" s="188"/>
      <c r="BB566" s="121"/>
      <c r="BL566" s="49"/>
      <c r="BM566" s="49"/>
    </row>
    <row r="567" spans="51:65" ht="18.75" hidden="1">
      <c r="AY567" s="153"/>
      <c r="AZ567" s="58"/>
      <c r="BA567" s="188"/>
      <c r="BB567" s="121"/>
      <c r="BL567" s="49"/>
      <c r="BM567" s="49"/>
    </row>
    <row r="568" spans="51:65" ht="18.75" hidden="1">
      <c r="AY568" s="153"/>
      <c r="AZ568" s="58"/>
      <c r="BA568" s="188"/>
      <c r="BB568" s="121"/>
      <c r="BL568" s="49"/>
      <c r="BM568" s="49"/>
    </row>
    <row r="569" spans="51:65" ht="18.75" hidden="1">
      <c r="AY569" s="153"/>
      <c r="AZ569" s="58"/>
      <c r="BA569" s="188"/>
      <c r="BB569" s="121"/>
      <c r="BL569" s="49"/>
      <c r="BM569" s="49"/>
    </row>
    <row r="570" spans="51:65" ht="18.75" hidden="1">
      <c r="AY570" s="153"/>
      <c r="AZ570" s="58"/>
      <c r="BA570" s="188"/>
      <c r="BB570" s="121"/>
      <c r="BL570" s="49"/>
      <c r="BM570" s="49"/>
    </row>
    <row r="571" spans="51:65" ht="18.75" hidden="1">
      <c r="AY571" s="153"/>
      <c r="AZ571" s="58"/>
      <c r="BA571" s="188"/>
      <c r="BB571" s="121"/>
      <c r="BL571" s="49"/>
      <c r="BM571" s="49"/>
    </row>
    <row r="572" spans="51:65" ht="18.75" hidden="1">
      <c r="AY572" s="153"/>
      <c r="AZ572" s="58"/>
      <c r="BA572" s="188"/>
      <c r="BB572" s="121"/>
      <c r="BL572" s="49"/>
      <c r="BM572" s="49"/>
    </row>
    <row r="573" spans="51:65" ht="18.75" hidden="1">
      <c r="AY573" s="153"/>
      <c r="AZ573" s="58"/>
      <c r="BA573" s="188"/>
      <c r="BB573" s="121"/>
      <c r="BL573" s="49"/>
      <c r="BM573" s="49"/>
    </row>
    <row r="574" spans="51:65" ht="18.75" hidden="1">
      <c r="AY574" s="153"/>
      <c r="AZ574" s="58"/>
      <c r="BA574" s="188"/>
      <c r="BB574" s="121"/>
      <c r="BL574" s="49"/>
      <c r="BM574" s="49"/>
    </row>
    <row r="575" spans="51:65" ht="18.75" hidden="1">
      <c r="AY575" s="153"/>
      <c r="AZ575" s="58"/>
      <c r="BA575" s="188"/>
      <c r="BB575" s="121"/>
      <c r="BL575" s="49"/>
      <c r="BM575" s="49"/>
    </row>
    <row r="576" spans="51:65" ht="18.75" hidden="1">
      <c r="AY576" s="153"/>
      <c r="AZ576" s="58"/>
      <c r="BA576" s="188"/>
      <c r="BB576" s="121"/>
      <c r="BL576" s="49"/>
      <c r="BM576" s="49"/>
    </row>
    <row r="577" spans="51:65" ht="18.75" hidden="1">
      <c r="AY577" s="153"/>
      <c r="AZ577" s="58"/>
      <c r="BA577" s="188"/>
      <c r="BB577" s="121"/>
      <c r="BL577" s="49"/>
      <c r="BM577" s="49"/>
    </row>
    <row r="578" spans="51:65" ht="18.75" hidden="1">
      <c r="AY578" s="153"/>
      <c r="AZ578" s="58"/>
      <c r="BA578" s="188"/>
      <c r="BB578" s="121"/>
      <c r="BL578" s="49"/>
      <c r="BM578" s="49"/>
    </row>
    <row r="579" spans="51:65" ht="18.75" hidden="1">
      <c r="AY579" s="153"/>
      <c r="AZ579" s="58"/>
      <c r="BA579" s="188"/>
      <c r="BB579" s="121"/>
      <c r="BL579" s="49"/>
      <c r="BM579" s="49"/>
    </row>
    <row r="580" spans="51:65" ht="18.75" hidden="1">
      <c r="AY580" s="153"/>
      <c r="AZ580" s="58"/>
      <c r="BA580" s="188"/>
      <c r="BB580" s="121"/>
      <c r="BL580" s="49"/>
      <c r="BM580" s="49"/>
    </row>
    <row r="581" spans="51:65" ht="18.75" hidden="1">
      <c r="AY581" s="153"/>
      <c r="AZ581" s="58"/>
      <c r="BA581" s="188"/>
      <c r="BB581" s="121"/>
      <c r="BL581" s="49"/>
      <c r="BM581" s="49"/>
    </row>
    <row r="582" spans="51:65" ht="18.75" hidden="1">
      <c r="AY582" s="153"/>
      <c r="AZ582" s="58"/>
      <c r="BA582" s="188"/>
      <c r="BB582" s="121"/>
      <c r="BL582" s="49"/>
      <c r="BM582" s="49"/>
    </row>
    <row r="583" spans="51:65" ht="18.75" hidden="1">
      <c r="AY583" s="153"/>
      <c r="AZ583" s="58"/>
      <c r="BA583" s="188"/>
      <c r="BB583" s="121"/>
      <c r="BL583" s="49"/>
      <c r="BM583" s="49"/>
    </row>
    <row r="584" spans="51:65" ht="18.75" hidden="1">
      <c r="AY584" s="153"/>
      <c r="AZ584" s="58"/>
      <c r="BA584" s="188"/>
      <c r="BB584" s="379">
        <v>0</v>
      </c>
      <c r="BL584" s="49"/>
      <c r="BM584" s="49"/>
    </row>
    <row r="585" spans="51:65" ht="18.75" hidden="1">
      <c r="AY585" s="153"/>
      <c r="AZ585" s="58"/>
      <c r="BA585" s="188"/>
      <c r="BB585" s="379">
        <v>0</v>
      </c>
      <c r="BL585" s="49"/>
      <c r="BM585" s="49"/>
    </row>
    <row r="586" spans="51:65" ht="18.75" hidden="1">
      <c r="AY586" s="153"/>
      <c r="AZ586" s="58"/>
      <c r="BA586" s="188"/>
      <c r="BB586" s="121"/>
      <c r="BL586" s="49"/>
      <c r="BM586" s="49"/>
    </row>
    <row r="587" spans="51:65" ht="18.75" hidden="1">
      <c r="AY587" s="153"/>
      <c r="AZ587" s="58"/>
      <c r="BA587" s="188"/>
      <c r="BB587" s="379">
        <v>0</v>
      </c>
      <c r="BL587" s="49"/>
      <c r="BM587" s="49"/>
    </row>
    <row r="588" spans="51:65" ht="18.75" hidden="1">
      <c r="AY588" s="153"/>
      <c r="AZ588" s="58"/>
      <c r="BA588" s="188"/>
      <c r="BB588" s="121"/>
      <c r="BL588" s="49"/>
      <c r="BM588" s="49"/>
    </row>
    <row r="589" spans="51:65" ht="18.75" hidden="1">
      <c r="AY589" s="153"/>
      <c r="AZ589" s="58"/>
      <c r="BA589" s="188"/>
      <c r="BB589" s="121"/>
      <c r="BL589" s="49"/>
      <c r="BM589" s="49"/>
    </row>
    <row r="590" spans="51:65" ht="18.75" hidden="1">
      <c r="AY590" s="153"/>
      <c r="AZ590" s="58"/>
      <c r="BA590" s="188"/>
      <c r="BB590" s="121"/>
      <c r="BL590" s="49"/>
      <c r="BM590" s="49"/>
    </row>
    <row r="591" spans="51:65" ht="18.75" hidden="1">
      <c r="AY591" s="153"/>
      <c r="AZ591" s="58"/>
      <c r="BA591" s="188"/>
      <c r="BB591" s="121"/>
      <c r="BL591" s="49"/>
      <c r="BM591" s="49"/>
    </row>
    <row r="592" spans="51:65" ht="18.75" hidden="1">
      <c r="AY592" s="153"/>
      <c r="AZ592" s="58"/>
      <c r="BA592" s="188"/>
      <c r="BB592" s="121"/>
      <c r="BL592" s="49"/>
      <c r="BM592" s="49"/>
    </row>
    <row r="593" spans="51:187" ht="18.75" hidden="1">
      <c r="AY593" s="153"/>
      <c r="AZ593" s="58"/>
      <c r="BA593" s="188"/>
      <c r="BB593" s="121"/>
      <c r="BL593" s="49"/>
      <c r="BM593" s="49"/>
    </row>
    <row r="594" spans="51:187" ht="18.75" hidden="1">
      <c r="AY594" s="153"/>
      <c r="AZ594" s="58"/>
      <c r="BA594" s="188"/>
      <c r="BB594" s="121"/>
      <c r="BL594" s="49"/>
      <c r="BM594" s="49"/>
    </row>
    <row r="595" spans="51:187" ht="18.75" hidden="1">
      <c r="AY595" s="153"/>
      <c r="AZ595" s="58"/>
      <c r="BA595" s="188"/>
      <c r="BB595" s="121"/>
      <c r="BL595" s="49"/>
      <c r="BM595" s="49"/>
    </row>
    <row r="596" spans="51:187" ht="18.75" hidden="1">
      <c r="AY596" s="153"/>
      <c r="AZ596" s="58"/>
      <c r="BA596" s="188"/>
      <c r="BB596" s="121"/>
      <c r="BL596" s="49"/>
      <c r="BM596" s="49"/>
    </row>
    <row r="597" spans="51:187" ht="18.75" hidden="1">
      <c r="AY597" s="153"/>
      <c r="AZ597" s="58"/>
      <c r="BA597" s="188"/>
      <c r="BB597" s="121"/>
      <c r="BL597" s="49"/>
      <c r="BM597" s="49"/>
    </row>
    <row r="598" spans="51:187" ht="18.75" hidden="1">
      <c r="AY598" s="153"/>
      <c r="AZ598" s="58"/>
      <c r="BA598" s="188"/>
      <c r="BB598" s="121"/>
      <c r="BL598" s="49"/>
      <c r="BM598" s="49"/>
    </row>
    <row r="599" spans="51:187" ht="18.75" hidden="1">
      <c r="AY599" s="153"/>
      <c r="AZ599" s="58"/>
      <c r="BA599" s="188"/>
      <c r="BB599" s="121"/>
    </row>
    <row r="600" spans="51:187" ht="18.75" hidden="1">
      <c r="AY600" s="153"/>
      <c r="AZ600" s="58"/>
      <c r="BA600" s="188"/>
      <c r="BB600" s="121"/>
    </row>
    <row r="601" spans="51:187" ht="18.75" hidden="1">
      <c r="AY601" s="153"/>
      <c r="AZ601" s="58"/>
      <c r="BA601" s="188"/>
      <c r="BB601" s="121"/>
      <c r="GE601" s="1"/>
    </row>
    <row r="602" spans="51:187" ht="0" hidden="1" customHeight="1">
      <c r="AY602" s="153"/>
      <c r="AZ602" s="58"/>
      <c r="BA602" s="188"/>
      <c r="BB602" s="121"/>
    </row>
    <row r="603" spans="51:187" ht="0" hidden="1" customHeight="1">
      <c r="AY603" s="153"/>
      <c r="AZ603" s="58"/>
      <c r="BA603" s="188"/>
      <c r="BB603" s="121"/>
    </row>
    <row r="604" spans="51:187" ht="0" hidden="1" customHeight="1">
      <c r="AY604" s="153"/>
      <c r="AZ604" s="58"/>
      <c r="BA604" s="188"/>
      <c r="BB604" s="121"/>
    </row>
    <row r="605" spans="51:187" ht="0" hidden="1" customHeight="1">
      <c r="AY605" s="153"/>
      <c r="AZ605" s="58"/>
      <c r="BA605" s="188"/>
      <c r="BB605" s="121"/>
    </row>
    <row r="606" spans="51:187" ht="0" hidden="1" customHeight="1">
      <c r="AY606" s="153"/>
      <c r="AZ606" s="58"/>
      <c r="BA606" s="188"/>
      <c r="BB606" s="121"/>
    </row>
    <row r="607" spans="51:187" ht="0" hidden="1" customHeight="1">
      <c r="AY607" s="153"/>
      <c r="AZ607" s="58"/>
      <c r="BA607" s="188"/>
      <c r="BB607" s="121"/>
    </row>
    <row r="608" spans="51:187" ht="0" hidden="1" customHeight="1">
      <c r="AY608" s="153"/>
      <c r="AZ608" s="58"/>
      <c r="BA608" s="188"/>
      <c r="BB608" s="121"/>
    </row>
    <row r="609" spans="51:54" ht="0" hidden="1" customHeight="1">
      <c r="AY609" s="153"/>
      <c r="AZ609" s="58"/>
      <c r="BA609" s="188"/>
      <c r="BB609" s="121"/>
    </row>
    <row r="610" spans="51:54" ht="0" hidden="1" customHeight="1">
      <c r="AY610" s="153"/>
      <c r="AZ610" s="58"/>
      <c r="BA610" s="188"/>
      <c r="BB610" s="121"/>
    </row>
    <row r="611" spans="51:54" ht="0" hidden="1" customHeight="1">
      <c r="AY611" s="153"/>
      <c r="AZ611" s="58"/>
      <c r="BA611" s="188"/>
      <c r="BB611" s="121"/>
    </row>
    <row r="612" spans="51:54" ht="0" hidden="1" customHeight="1">
      <c r="AY612" s="153"/>
      <c r="AZ612" s="58"/>
      <c r="BA612" s="188"/>
      <c r="BB612" s="121"/>
    </row>
    <row r="613" spans="51:54" ht="0" hidden="1" customHeight="1">
      <c r="AY613" s="153"/>
      <c r="AZ613" s="58"/>
      <c r="BA613" s="188"/>
      <c r="BB613" s="121"/>
    </row>
    <row r="614" spans="51:54" ht="0" hidden="1" customHeight="1">
      <c r="AY614" s="153"/>
      <c r="AZ614" s="58"/>
      <c r="BA614" s="188"/>
      <c r="BB614" s="121"/>
    </row>
    <row r="615" spans="51:54" ht="0" hidden="1" customHeight="1">
      <c r="AY615" s="153"/>
      <c r="AZ615" s="58"/>
      <c r="BA615" s="188"/>
      <c r="BB615" s="121"/>
    </row>
    <row r="616" spans="51:54" ht="0" hidden="1" customHeight="1">
      <c r="AY616" s="153"/>
      <c r="AZ616" s="58"/>
      <c r="BA616" s="188"/>
      <c r="BB616" s="121"/>
    </row>
    <row r="617" spans="51:54" ht="0" hidden="1" customHeight="1">
      <c r="AY617" s="153"/>
      <c r="AZ617" s="58"/>
      <c r="BA617" s="188"/>
      <c r="BB617" s="121"/>
    </row>
    <row r="618" spans="51:54" ht="0" hidden="1" customHeight="1">
      <c r="AY618" s="153"/>
      <c r="AZ618" s="58"/>
      <c r="BA618" s="188"/>
      <c r="BB618" s="121"/>
    </row>
    <row r="619" spans="51:54" ht="0" hidden="1" customHeight="1">
      <c r="AY619" s="153"/>
      <c r="AZ619" s="58"/>
      <c r="BA619" s="188"/>
      <c r="BB619" s="121"/>
    </row>
    <row r="620" spans="51:54" ht="0" hidden="1" customHeight="1">
      <c r="AY620" s="153"/>
      <c r="AZ620" s="58"/>
      <c r="BA620" s="188"/>
      <c r="BB620" s="121"/>
    </row>
    <row r="621" spans="51:54" ht="0" hidden="1" customHeight="1">
      <c r="AY621" s="153"/>
      <c r="AZ621" s="58"/>
      <c r="BA621" s="188"/>
      <c r="BB621" s="121"/>
    </row>
    <row r="622" spans="51:54" ht="0" hidden="1" customHeight="1">
      <c r="AY622" s="153"/>
      <c r="AZ622" s="58"/>
      <c r="BA622" s="188"/>
      <c r="BB622" s="121"/>
    </row>
    <row r="623" spans="51:54" ht="0" hidden="1" customHeight="1">
      <c r="AY623" s="153"/>
      <c r="AZ623" s="58"/>
      <c r="BA623" s="188"/>
      <c r="BB623" s="121"/>
    </row>
    <row r="624" spans="51:54" ht="0" hidden="1" customHeight="1">
      <c r="AY624" s="153"/>
      <c r="AZ624" s="58"/>
      <c r="BA624" s="188"/>
      <c r="BB624" s="121"/>
    </row>
    <row r="625" spans="51:53" ht="0" hidden="1" customHeight="1">
      <c r="AY625" s="153"/>
      <c r="AZ625" s="58"/>
      <c r="BA625" s="188"/>
    </row>
    <row r="626" spans="51:53" ht="0" hidden="1" customHeight="1">
      <c r="AY626" s="153"/>
      <c r="AZ626" s="58"/>
      <c r="BA626" s="188"/>
    </row>
    <row r="627" spans="51:53" ht="0" hidden="1" customHeight="1">
      <c r="AY627" s="153"/>
      <c r="AZ627" s="58"/>
      <c r="BA627" s="188"/>
    </row>
    <row r="628" spans="51:53" ht="0" hidden="1" customHeight="1">
      <c r="AY628" s="153"/>
      <c r="AZ628" s="58"/>
      <c r="BA628" s="188"/>
    </row>
    <row r="629" spans="51:53" ht="0" hidden="1" customHeight="1">
      <c r="AY629" s="153"/>
      <c r="AZ629" s="58"/>
      <c r="BA629" s="188"/>
    </row>
    <row r="630" spans="51:53" ht="0" hidden="1" customHeight="1"/>
    <row r="631" spans="51:53" ht="0" hidden="1" customHeight="1"/>
  </sheetData>
  <sheetProtection algorithmName="SHA-512" hashValue="Wea0qDFsy9rXxDS/+xLGqBRUcZqveqTuLOUWpjuVaUVhEGNtZ7tup4wVFAXnQ/73bTXgf1LKmzrqjMGgOmO8aw==" saltValue="PhhVBuYkoNUfTV3wD+RU5Q==" spinCount="100000" sheet="1" selectLockedCells="1"/>
  <protectedRanges>
    <protectedRange sqref="M8" name="Bereik2_1"/>
    <protectedRange sqref="G8 G10 G12 M10 M8 G15 B18:B31 AY119 D18:F31" name="Bereik1_1"/>
  </protectedRanges>
  <dataConsolidate/>
  <mergeCells count="45">
    <mergeCell ref="D42:F42"/>
    <mergeCell ref="D40:F40"/>
    <mergeCell ref="L41:M41"/>
    <mergeCell ref="L27:M27"/>
    <mergeCell ref="H1:I1"/>
    <mergeCell ref="G8:H8"/>
    <mergeCell ref="G16:G17"/>
    <mergeCell ref="G10:H10"/>
    <mergeCell ref="G12:H12"/>
    <mergeCell ref="I9:L9"/>
    <mergeCell ref="G15:H15"/>
    <mergeCell ref="F5:H6"/>
    <mergeCell ref="I8:L8"/>
    <mergeCell ref="J99:K99"/>
    <mergeCell ref="L42:M42"/>
    <mergeCell ref="BE2:BK2"/>
    <mergeCell ref="M20:R20"/>
    <mergeCell ref="M19:R19"/>
    <mergeCell ref="O12:S12"/>
    <mergeCell ref="O10:R11"/>
    <mergeCell ref="AC2:AN6"/>
    <mergeCell ref="V2:AA6"/>
    <mergeCell ref="AB2:AB6"/>
    <mergeCell ref="T2:U6"/>
    <mergeCell ref="P14:S17"/>
    <mergeCell ref="Q24:R24"/>
    <mergeCell ref="Q23:R23"/>
    <mergeCell ref="Q22:R22"/>
    <mergeCell ref="K15:L15"/>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s>
  <conditionalFormatting sqref="L22:N24">
    <cfRule type="expression" dxfId="180" priority="267">
      <formula>$R$21="ja"</formula>
    </cfRule>
  </conditionalFormatting>
  <conditionalFormatting sqref="L21">
    <cfRule type="expression" dxfId="179" priority="282">
      <formula>$M$20="niet akkoord"</formula>
    </cfRule>
  </conditionalFormatting>
  <conditionalFormatting sqref="T20">
    <cfRule type="expression" dxfId="178" priority="254">
      <formula>$I$33&gt;0</formula>
    </cfRule>
  </conditionalFormatting>
  <conditionalFormatting sqref="M14">
    <cfRule type="expression" dxfId="177" priority="253">
      <formula>$I$33=0</formula>
    </cfRule>
  </conditionalFormatting>
  <conditionalFormatting sqref="M25">
    <cfRule type="expression" dxfId="176" priority="245">
      <formula>$Q$22="Ja; ouder met kind jonger dan 18 die thuis woont"</formula>
    </cfRule>
    <cfRule type="expression" dxfId="175" priority="249">
      <formula>$Q$22="ja; sprake van betaalde arbeid"</formula>
    </cfRule>
    <cfRule type="expression" dxfId="174" priority="250">
      <formula>$Q$22="ja; opgroeiend kind thuis jonger dan 23 jaar"</formula>
    </cfRule>
  </conditionalFormatting>
  <conditionalFormatting sqref="D40:F41">
    <cfRule type="expression" dxfId="173" priority="240">
      <formula>$AA$33=2</formula>
    </cfRule>
  </conditionalFormatting>
  <conditionalFormatting sqref="O12">
    <cfRule type="expression" dxfId="172" priority="232">
      <formula>$Q$24="meerzorg"</formula>
    </cfRule>
  </conditionalFormatting>
  <conditionalFormatting sqref="D46">
    <cfRule type="expression" dxfId="171" priority="225">
      <formula>$L$41=1</formula>
    </cfRule>
  </conditionalFormatting>
  <conditionalFormatting sqref="G13:K13 I14:K15 B15 G14:H14">
    <cfRule type="expression" dxfId="170" priority="285">
      <formula>$G$12="ja"</formula>
    </cfRule>
  </conditionalFormatting>
  <conditionalFormatting sqref="I9:L9">
    <cfRule type="expression" dxfId="169" priority="289">
      <formula>$M$8&gt;0</formula>
    </cfRule>
    <cfRule type="expression" dxfId="168" priority="290">
      <formula>$G$12="ja"</formula>
    </cfRule>
  </conditionalFormatting>
  <conditionalFormatting sqref="N28:O28 O28:P38">
    <cfRule type="expression" dxfId="167" priority="219">
      <formula>$N$28=0</formula>
    </cfRule>
  </conditionalFormatting>
  <conditionalFormatting sqref="N29:P29">
    <cfRule type="expression" dxfId="166" priority="218">
      <formula>$N$29=0</formula>
    </cfRule>
  </conditionalFormatting>
  <conditionalFormatting sqref="N30:O30 O28:P38">
    <cfRule type="expression" dxfId="165" priority="203">
      <formula>$L$30=0</formula>
    </cfRule>
    <cfRule type="expression" dxfId="164" priority="204">
      <formula>$L$30=""</formula>
    </cfRule>
    <cfRule type="expression" dxfId="163" priority="217">
      <formula>$N$30=0</formula>
    </cfRule>
  </conditionalFormatting>
  <conditionalFormatting sqref="N31:P31">
    <cfRule type="expression" dxfId="162" priority="216">
      <formula>$N$31=0</formula>
    </cfRule>
  </conditionalFormatting>
  <conditionalFormatting sqref="N32">
    <cfRule type="expression" dxfId="161" priority="215">
      <formula>$N$32=0</formula>
    </cfRule>
  </conditionalFormatting>
  <conditionalFormatting sqref="N33">
    <cfRule type="expression" dxfId="160" priority="214">
      <formula>$N$33=0</formula>
    </cfRule>
  </conditionalFormatting>
  <conditionalFormatting sqref="N34">
    <cfRule type="expression" dxfId="159" priority="213">
      <formula>$N$34=0</formula>
    </cfRule>
  </conditionalFormatting>
  <conditionalFormatting sqref="K18:K34">
    <cfRule type="expression" dxfId="158" priority="199">
      <formula>$M$17=0</formula>
    </cfRule>
  </conditionalFormatting>
  <conditionalFormatting sqref="K17">
    <cfRule type="expression" dxfId="157" priority="184">
      <formula>$F$18=0</formula>
    </cfRule>
  </conditionalFormatting>
  <conditionalFormatting sqref="L29:M29">
    <cfRule type="expression" dxfId="156" priority="178">
      <formula>$L$29=0</formula>
    </cfRule>
  </conditionalFormatting>
  <conditionalFormatting sqref="L28:M28">
    <cfRule type="expression" dxfId="155" priority="177">
      <formula>$L$28=0</formula>
    </cfRule>
  </conditionalFormatting>
  <conditionalFormatting sqref="L30:M30">
    <cfRule type="expression" dxfId="154" priority="176">
      <formula>$L$30=0</formula>
    </cfRule>
  </conditionalFormatting>
  <conditionalFormatting sqref="Q22:R24">
    <cfRule type="expression" dxfId="153" priority="175" stopIfTrue="1">
      <formula>"en($M$5=""financiële ruimte"";$R$21=""ja"")"</formula>
    </cfRule>
  </conditionalFormatting>
  <conditionalFormatting sqref="K19">
    <cfRule type="expression" dxfId="152" priority="172">
      <formula>$K$19=0</formula>
    </cfRule>
  </conditionalFormatting>
  <conditionalFormatting sqref="K20">
    <cfRule type="expression" dxfId="151" priority="171">
      <formula>$K$20=0</formula>
    </cfRule>
  </conditionalFormatting>
  <conditionalFormatting sqref="K21">
    <cfRule type="expression" dxfId="150" priority="170">
      <formula>$K$21=0</formula>
    </cfRule>
  </conditionalFormatting>
  <conditionalFormatting sqref="K22">
    <cfRule type="expression" dxfId="149" priority="169">
      <formula>$K$22=0</formula>
    </cfRule>
  </conditionalFormatting>
  <conditionalFormatting sqref="K23">
    <cfRule type="expression" dxfId="148" priority="168">
      <formula>$K$23=0</formula>
    </cfRule>
  </conditionalFormatting>
  <conditionalFormatting sqref="K24">
    <cfRule type="expression" dxfId="147" priority="167">
      <formula>$K$24=0</formula>
    </cfRule>
  </conditionalFormatting>
  <conditionalFormatting sqref="K25">
    <cfRule type="expression" dxfId="146" priority="166">
      <formula>$K$25=0</formula>
    </cfRule>
  </conditionalFormatting>
  <conditionalFormatting sqref="K26">
    <cfRule type="expression" dxfId="145" priority="165">
      <formula>$K$26=0</formula>
    </cfRule>
  </conditionalFormatting>
  <conditionalFormatting sqref="H27:K27">
    <cfRule type="expression" dxfId="144" priority="164">
      <formula>$K$27=0</formula>
    </cfRule>
  </conditionalFormatting>
  <conditionalFormatting sqref="H28:K28">
    <cfRule type="expression" dxfId="143" priority="163">
      <formula>$K$28=0</formula>
    </cfRule>
  </conditionalFormatting>
  <conditionalFormatting sqref="H29:K29">
    <cfRule type="expression" dxfId="142" priority="162">
      <formula>$K$29=0</formula>
    </cfRule>
  </conditionalFormatting>
  <conditionalFormatting sqref="H30:K30">
    <cfRule type="expression" dxfId="141" priority="161">
      <formula>$K$30=0</formula>
    </cfRule>
  </conditionalFormatting>
  <conditionalFormatting sqref="H31:K31">
    <cfRule type="expression" dxfId="140" priority="160">
      <formula>$K$31=0</formula>
    </cfRule>
  </conditionalFormatting>
  <conditionalFormatting sqref="H26:I26">
    <cfRule type="expression" dxfId="139" priority="159">
      <formula>$K$26=0</formula>
    </cfRule>
  </conditionalFormatting>
  <conditionalFormatting sqref="H25:I25">
    <cfRule type="expression" dxfId="138" priority="158">
      <formula>$G$25=0</formula>
    </cfRule>
  </conditionalFormatting>
  <conditionalFormatting sqref="H24:I24">
    <cfRule type="expression" dxfId="137" priority="157">
      <formula>$G$24=0</formula>
    </cfRule>
  </conditionalFormatting>
  <conditionalFormatting sqref="H23:I23">
    <cfRule type="expression" dxfId="136" priority="156">
      <formula>$G$23=0</formula>
    </cfRule>
  </conditionalFormatting>
  <conditionalFormatting sqref="H22:I22">
    <cfRule type="expression" dxfId="135" priority="155">
      <formula>$G$22=0</formula>
    </cfRule>
  </conditionalFormatting>
  <conditionalFormatting sqref="H21:I21">
    <cfRule type="expression" dxfId="134" priority="154">
      <formula>$G$21=0</formula>
    </cfRule>
  </conditionalFormatting>
  <conditionalFormatting sqref="I19">
    <cfRule type="expression" dxfId="133" priority="152">
      <formula>$G$19=0</formula>
    </cfRule>
  </conditionalFormatting>
  <conditionalFormatting sqref="H18:I18">
    <cfRule type="expression" dxfId="132" priority="151">
      <formula>$G$18=0</formula>
    </cfRule>
  </conditionalFormatting>
  <conditionalFormatting sqref="G19">
    <cfRule type="expression" dxfId="131" priority="150">
      <formula>$G$19=0</formula>
    </cfRule>
  </conditionalFormatting>
  <conditionalFormatting sqref="G20">
    <cfRule type="expression" dxfId="130" priority="148">
      <formula>$G$20=0</formula>
    </cfRule>
  </conditionalFormatting>
  <conditionalFormatting sqref="G21">
    <cfRule type="expression" dxfId="129" priority="147">
      <formula>$G$21=0</formula>
    </cfRule>
  </conditionalFormatting>
  <conditionalFormatting sqref="G22">
    <cfRule type="expression" dxfId="128" priority="146">
      <formula>$G$22=0</formula>
    </cfRule>
  </conditionalFormatting>
  <conditionalFormatting sqref="G23">
    <cfRule type="expression" dxfId="127" priority="145">
      <formula>$G$23=0</formula>
    </cfRule>
  </conditionalFormatting>
  <conditionalFormatting sqref="G24">
    <cfRule type="expression" dxfId="126" priority="144">
      <formula>$G$24=0</formula>
    </cfRule>
  </conditionalFormatting>
  <conditionalFormatting sqref="G25">
    <cfRule type="expression" dxfId="125" priority="143">
      <formula>$G$25=0</formula>
    </cfRule>
  </conditionalFormatting>
  <conditionalFormatting sqref="G26">
    <cfRule type="expression" dxfId="124" priority="142">
      <formula>$G$26=0</formula>
    </cfRule>
  </conditionalFormatting>
  <conditionalFormatting sqref="G27">
    <cfRule type="expression" dxfId="123" priority="141">
      <formula>$G$27=0</formula>
    </cfRule>
  </conditionalFormatting>
  <conditionalFormatting sqref="G28">
    <cfRule type="expression" dxfId="122" priority="140">
      <formula>$G$28=0</formula>
    </cfRule>
  </conditionalFormatting>
  <conditionalFormatting sqref="G29">
    <cfRule type="expression" dxfId="121" priority="139">
      <formula>$G$29=0</formula>
    </cfRule>
  </conditionalFormatting>
  <conditionalFormatting sqref="G30">
    <cfRule type="expression" dxfId="120" priority="138">
      <formula>$G$30=0</formula>
    </cfRule>
  </conditionalFormatting>
  <conditionalFormatting sqref="G31">
    <cfRule type="expression" dxfId="119" priority="137">
      <formula>$G$31=0</formula>
    </cfRule>
  </conditionalFormatting>
  <conditionalFormatting sqref="L31:M31">
    <cfRule type="expression" dxfId="118" priority="136">
      <formula>$L$31=0</formula>
    </cfRule>
  </conditionalFormatting>
  <conditionalFormatting sqref="L32:M32">
    <cfRule type="expression" dxfId="117" priority="135">
      <formula>$L$32=0</formula>
    </cfRule>
  </conditionalFormatting>
  <conditionalFormatting sqref="L33:M33">
    <cfRule type="expression" dxfId="116" priority="134">
      <formula>$L$33=0</formula>
    </cfRule>
  </conditionalFormatting>
  <conditionalFormatting sqref="L34:M34">
    <cfRule type="expression" dxfId="115" priority="133">
      <formula>$L$34=0</formula>
    </cfRule>
  </conditionalFormatting>
  <conditionalFormatting sqref="L35:M35">
    <cfRule type="expression" dxfId="114" priority="132">
      <formula>$L$35=0</formula>
    </cfRule>
  </conditionalFormatting>
  <conditionalFormatting sqref="L36:M36">
    <cfRule type="expression" dxfId="113" priority="131">
      <formula>$L$36=0</formula>
    </cfRule>
  </conditionalFormatting>
  <conditionalFormatting sqref="L37:M37">
    <cfRule type="expression" dxfId="112" priority="130">
      <formula>$L$37=0</formula>
    </cfRule>
  </conditionalFormatting>
  <conditionalFormatting sqref="L38:M39">
    <cfRule type="expression" dxfId="111" priority="129">
      <formula>$L$38=0</formula>
    </cfRule>
  </conditionalFormatting>
  <conditionalFormatting sqref="I8:L8">
    <cfRule type="expression" dxfId="110" priority="128">
      <formula>$G$12="ja"</formula>
    </cfRule>
  </conditionalFormatting>
  <conditionalFormatting sqref="M8">
    <cfRule type="expression" dxfId="109" priority="127">
      <formula>$G$12="ja"</formula>
    </cfRule>
  </conditionalFormatting>
  <conditionalFormatting sqref="M15">
    <cfRule type="expression" dxfId="108" priority="126">
      <formula>$I$33&gt;0</formula>
    </cfRule>
  </conditionalFormatting>
  <conditionalFormatting sqref="N8">
    <cfRule type="expression" dxfId="107" priority="122">
      <formula>$M$8&gt;0</formula>
    </cfRule>
  </conditionalFormatting>
  <conditionalFormatting sqref="N17">
    <cfRule type="expression" dxfId="106" priority="123">
      <formula>$M$17&gt;0</formula>
    </cfRule>
  </conditionalFormatting>
  <conditionalFormatting sqref="H18">
    <cfRule type="expression" dxfId="105" priority="120">
      <formula>$H$18="fout splitsing"</formula>
    </cfRule>
  </conditionalFormatting>
  <conditionalFormatting sqref="N15">
    <cfRule type="expression" dxfId="104" priority="119">
      <formula>$I$33&gt;0</formula>
    </cfRule>
  </conditionalFormatting>
  <conditionalFormatting sqref="K38">
    <cfRule type="expression" dxfId="103" priority="115">
      <formula>$I$38&gt;0</formula>
    </cfRule>
  </conditionalFormatting>
  <conditionalFormatting sqref="K40">
    <cfRule type="expression" dxfId="102" priority="114">
      <formula>$I$40&gt;0</formula>
    </cfRule>
  </conditionalFormatting>
  <conditionalFormatting sqref="K41">
    <cfRule type="expression" dxfId="101" priority="113">
      <formula>$I$41&gt;0</formula>
    </cfRule>
  </conditionalFormatting>
  <conditionalFormatting sqref="K42">
    <cfRule type="expression" dxfId="100" priority="111">
      <formula>$I$42&gt;0</formula>
    </cfRule>
  </conditionalFormatting>
  <conditionalFormatting sqref="D44">
    <cfRule type="expression" dxfId="99" priority="110">
      <formula>$L$41=1</formula>
    </cfRule>
  </conditionalFormatting>
  <conditionalFormatting sqref="K35">
    <cfRule type="expression" dxfId="98" priority="333">
      <formula>$E$45&gt;0</formula>
    </cfRule>
  </conditionalFormatting>
  <conditionalFormatting sqref="I35">
    <cfRule type="expression" dxfId="97" priority="109">
      <formula>$I$35&gt;0</formula>
    </cfRule>
  </conditionalFormatting>
  <conditionalFormatting sqref="H20">
    <cfRule type="expression" dxfId="96" priority="108">
      <formula>G20=0</formula>
    </cfRule>
  </conditionalFormatting>
  <conditionalFormatting sqref="H19">
    <cfRule type="expression" dxfId="95" priority="107">
      <formula>$G$19=0</formula>
    </cfRule>
  </conditionalFormatting>
  <conditionalFormatting sqref="I20">
    <cfRule type="expression" dxfId="94" priority="106">
      <formula>$G$20=0</formula>
    </cfRule>
  </conditionalFormatting>
  <conditionalFormatting sqref="I34">
    <cfRule type="expression" dxfId="93" priority="105">
      <formula>$M$8&gt;0</formula>
    </cfRule>
  </conditionalFormatting>
  <conditionalFormatting sqref="K39">
    <cfRule type="expression" dxfId="92" priority="104">
      <formula>$I$39&gt;0</formula>
    </cfRule>
  </conditionalFormatting>
  <conditionalFormatting sqref="F14">
    <cfRule type="expression" dxfId="91" priority="103">
      <formula>$G$12="ja"</formula>
    </cfRule>
  </conditionalFormatting>
  <conditionalFormatting sqref="K14">
    <cfRule type="expression" dxfId="90" priority="102">
      <formula>$G$12="ja"</formula>
    </cfRule>
  </conditionalFormatting>
  <conditionalFormatting sqref="I33">
    <cfRule type="expression" dxfId="89" priority="101">
      <formula>$I$33=0</formula>
    </cfRule>
  </conditionalFormatting>
  <conditionalFormatting sqref="O8">
    <cfRule type="expression" dxfId="88" priority="99">
      <formula>$G$12="ja"</formula>
    </cfRule>
  </conditionalFormatting>
  <conditionalFormatting sqref="D40:F40">
    <cfRule type="expression" dxfId="87" priority="98">
      <formula>$D$40=0</formula>
    </cfRule>
  </conditionalFormatting>
  <conditionalFormatting sqref="D42:F42">
    <cfRule type="expression" dxfId="86" priority="97">
      <formula>$D$42=0</formula>
    </cfRule>
  </conditionalFormatting>
  <conditionalFormatting sqref="U20">
    <cfRule type="expression" dxfId="85" priority="96">
      <formula>$I$33&gt;0</formula>
    </cfRule>
  </conditionalFormatting>
  <conditionalFormatting sqref="O39 N35:N38">
    <cfRule type="expression" dxfId="84" priority="340">
      <formula>$N$35=0</formula>
    </cfRule>
  </conditionalFormatting>
  <conditionalFormatting sqref="Q28">
    <cfRule type="expression" dxfId="83" priority="93">
      <formula>$N$28=0</formula>
    </cfRule>
  </conditionalFormatting>
  <conditionalFormatting sqref="Q28:S30">
    <cfRule type="expression" dxfId="82" priority="18">
      <formula>$F$18=0</formula>
    </cfRule>
    <cfRule type="expression" dxfId="81" priority="81">
      <formula>$R$27="ja"</formula>
    </cfRule>
    <cfRule type="expression" dxfId="80" priority="82">
      <formula>$R$27="Ja"</formula>
    </cfRule>
  </conditionalFormatting>
  <conditionalFormatting sqref="Q27:S27">
    <cfRule type="expression" dxfId="79" priority="79">
      <formula>SUM($N$28:$N$38)&lt;1%</formula>
    </cfRule>
    <cfRule type="expression" dxfId="78" priority="80">
      <formula>$M$20="eerst zorgvraag invullen"</formula>
    </cfRule>
  </conditionalFormatting>
  <conditionalFormatting sqref="R29:S29">
    <cfRule type="expression" dxfId="77" priority="78">
      <formula>$R$21=""</formula>
    </cfRule>
  </conditionalFormatting>
  <conditionalFormatting sqref="Q28:Q30">
    <cfRule type="expression" dxfId="76" priority="77">
      <formula>$R$27="ja"</formula>
    </cfRule>
  </conditionalFormatting>
  <conditionalFormatting sqref="I5">
    <cfRule type="expression" dxfId="75" priority="66">
      <formula>$F$5="logeren icm MPT"</formula>
    </cfRule>
    <cfRule type="expression" dxfId="74" priority="74">
      <formula>$F$5="Deeltijd verblijf icm zorg thuis"</formula>
    </cfRule>
  </conditionalFormatting>
  <conditionalFormatting sqref="I6">
    <cfRule type="expression" dxfId="73" priority="30">
      <formula>$F$5="opname"</formula>
    </cfRule>
    <cfRule type="expression" dxfId="72" priority="31">
      <formula>$F$5="VPT"</formula>
    </cfRule>
    <cfRule type="expression" dxfId="71" priority="60">
      <formula>$F$5="MPT"</formula>
    </cfRule>
    <cfRule type="expression" dxfId="70" priority="65">
      <formula>$F$5="logeren icm MPT"</formula>
    </cfRule>
    <cfRule type="expression" dxfId="69" priority="73">
      <formula>$F$5="Deeltijd verblijf icm zorg thuis"</formula>
    </cfRule>
  </conditionalFormatting>
  <conditionalFormatting sqref="Q22:R22 Q23:Q24">
    <cfRule type="expression" dxfId="68" priority="350">
      <formula>AND($R$21="ja",$M$5&lt;&gt;"financiële ruimte")</formula>
    </cfRule>
  </conditionalFormatting>
  <conditionalFormatting sqref="I33:I34">
    <cfRule type="expression" dxfId="67" priority="352">
      <formula>$M$5&lt;&gt;"ruimte"</formula>
    </cfRule>
  </conditionalFormatting>
  <conditionalFormatting sqref="M22:N24">
    <cfRule type="expression" dxfId="66" priority="353">
      <formula>$M$5="financiële ruimte"</formula>
    </cfRule>
  </conditionalFormatting>
  <conditionalFormatting sqref="P14">
    <cfRule type="expression" dxfId="65" priority="354">
      <formula>AND($M$5="financiële ruimte",$R$21="ja")</formula>
    </cfRule>
  </conditionalFormatting>
  <conditionalFormatting sqref="M9 M11">
    <cfRule type="expression" dxfId="64" priority="355">
      <formula>$M$5="ruimte"</formula>
    </cfRule>
  </conditionalFormatting>
  <conditionalFormatting sqref="M10 FS8">
    <cfRule type="expression" dxfId="63" priority="357">
      <formula>$M$5="ruimte"</formula>
    </cfRule>
  </conditionalFormatting>
  <conditionalFormatting sqref="M12">
    <cfRule type="expression" dxfId="62" priority="63">
      <formula>$M$5="ruimte"</formula>
    </cfRule>
  </conditionalFormatting>
  <conditionalFormatting sqref="FS12:FS14">
    <cfRule type="expression" dxfId="61" priority="61">
      <formula>$I$33&gt;0</formula>
    </cfRule>
  </conditionalFormatting>
  <conditionalFormatting sqref="R21">
    <cfRule type="expression" dxfId="60" priority="364">
      <formula>$M$20="PGB: Rekenmodule voorleggen aan Zorgkantoor"</formula>
    </cfRule>
    <cfRule type="expression" dxfId="59" priority="365">
      <formula>$T$24=3</formula>
    </cfRule>
    <cfRule type="expression" dxfId="58" priority="366">
      <formula>$R$21="ja"</formula>
    </cfRule>
    <cfRule type="expression" dxfId="57" priority="367">
      <formula>$M$20="rekenmodule voorleggen aan zorgkantoor"</formula>
    </cfRule>
    <cfRule type="expression" dxfId="56" priority="368">
      <formula>$M$20="zorg aanvragen via iWLZ, geen extra toestemming vereist"</formula>
    </cfRule>
  </conditionalFormatting>
  <conditionalFormatting sqref="M21">
    <cfRule type="expression" dxfId="55" priority="369">
      <formula>$M$20="PGB: Rekenmodule voorleggen aan Zorgkantoor"</formula>
    </cfRule>
    <cfRule type="expression" dxfId="54" priority="370">
      <formula>$T$24=3</formula>
    </cfRule>
    <cfRule type="expression" dxfId="53" priority="371">
      <formula>$M$20="rekenmodule voorleggen aan zorgkantoor"</formula>
    </cfRule>
    <cfRule type="expression" dxfId="52" priority="372">
      <formula>R21="ja"</formula>
    </cfRule>
  </conditionalFormatting>
  <conditionalFormatting sqref="M7">
    <cfRule type="expression" dxfId="51" priority="59">
      <formula>$F$5="Deeltijd verblijf icm zorg thuis"</formula>
    </cfRule>
  </conditionalFormatting>
  <conditionalFormatting sqref="N7">
    <cfRule type="expression" dxfId="50" priority="58">
      <formula>$F$5="deeltijd verblijf icm zorg thuis"</formula>
    </cfRule>
  </conditionalFormatting>
  <conditionalFormatting sqref="O27:P38">
    <cfRule type="expression" dxfId="49" priority="22" stopIfTrue="1">
      <formula>$F$5="MPT"</formula>
    </cfRule>
    <cfRule type="expression" dxfId="48" priority="23" stopIfTrue="1">
      <formula>$F$5="VPT"</formula>
    </cfRule>
    <cfRule type="expression" dxfId="47" priority="55">
      <formula>$F$5="MPT"</formula>
    </cfRule>
    <cfRule type="expression" dxfId="46" priority="56">
      <formula>$F$5="opname"</formula>
    </cfRule>
    <cfRule type="expression" dxfId="45" priority="57">
      <formula>$F$5="deeltijd verblijf icm zorg thuis"</formula>
    </cfRule>
  </conditionalFormatting>
  <conditionalFormatting sqref="Q33">
    <cfRule type="expression" dxfId="44" priority="54">
      <formula>$F$5="VPT"</formula>
    </cfRule>
  </conditionalFormatting>
  <conditionalFormatting sqref="N6">
    <cfRule type="expression" dxfId="43" priority="53">
      <formula>$F$5="deeltijd verblijf icm zorg thuis"</formula>
    </cfRule>
  </conditionalFormatting>
  <conditionalFormatting sqref="B36:K36">
    <cfRule type="expression" dxfId="42" priority="52">
      <formula>$I$36&gt;0</formula>
    </cfRule>
  </conditionalFormatting>
  <conditionalFormatting sqref="B37:I37">
    <cfRule type="expression" dxfId="41" priority="50">
      <formula>$I$37&gt;0</formula>
    </cfRule>
  </conditionalFormatting>
  <conditionalFormatting sqref="B36:I37">
    <cfRule type="expression" dxfId="40" priority="49">
      <formula>$K$35&lt;$I$39</formula>
    </cfRule>
  </conditionalFormatting>
  <conditionalFormatting sqref="K15:L15">
    <cfRule type="expression" dxfId="39" priority="47">
      <formula>$K$16=1</formula>
    </cfRule>
  </conditionalFormatting>
  <conditionalFormatting sqref="D14">
    <cfRule type="expression" dxfId="38" priority="44">
      <formula>$B$13=0</formula>
    </cfRule>
    <cfRule type="expression" dxfId="37" priority="46">
      <formula>$D$13=1</formula>
    </cfRule>
  </conditionalFormatting>
  <conditionalFormatting sqref="G18">
    <cfRule type="expression" dxfId="36" priority="45">
      <formula>$G$18=0</formula>
    </cfRule>
  </conditionalFormatting>
  <conditionalFormatting sqref="DH20:DH30">
    <cfRule type="expression" dxfId="35" priority="42">
      <formula>$N$28=0</formula>
    </cfRule>
  </conditionalFormatting>
  <conditionalFormatting sqref="DH21">
    <cfRule type="expression" dxfId="34" priority="41">
      <formula>$N$29=0</formula>
    </cfRule>
  </conditionalFormatting>
  <conditionalFormatting sqref="DH20:DH30">
    <cfRule type="expression" dxfId="33" priority="37">
      <formula>$L$30=0</formula>
    </cfRule>
    <cfRule type="expression" dxfId="32" priority="38">
      <formula>$L$30=""</formula>
    </cfRule>
    <cfRule type="expression" dxfId="31" priority="40">
      <formula>$N$30=0</formula>
    </cfRule>
  </conditionalFormatting>
  <conditionalFormatting sqref="DH23">
    <cfRule type="expression" dxfId="30" priority="39">
      <formula>$N$31=0</formula>
    </cfRule>
  </conditionalFormatting>
  <conditionalFormatting sqref="DH20:DH30">
    <cfRule type="expression" dxfId="29" priority="34">
      <formula>$F$5="MPT"</formula>
    </cfRule>
    <cfRule type="expression" dxfId="28" priority="35">
      <formula>$F$5="opname"</formula>
    </cfRule>
    <cfRule type="expression" dxfId="27" priority="36">
      <formula>$F$5="deeltijd verblijf icm zorg thuis"</formula>
    </cfRule>
  </conditionalFormatting>
  <conditionalFormatting sqref="B36">
    <cfRule type="expression" dxfId="26" priority="33">
      <formula>$K$35&lt;125.1%</formula>
    </cfRule>
  </conditionalFormatting>
  <conditionalFormatting sqref="I36">
    <cfRule type="expression" dxfId="25" priority="32">
      <formula>$K$35&lt;125.1%</formula>
    </cfRule>
  </conditionalFormatting>
  <conditionalFormatting sqref="O29">
    <cfRule type="expression" dxfId="24" priority="29">
      <formula>$L$29=0</formula>
    </cfRule>
  </conditionalFormatting>
  <conditionalFormatting sqref="O30">
    <cfRule type="expression" dxfId="23" priority="28">
      <formula>$L$30=0</formula>
    </cfRule>
  </conditionalFormatting>
  <conditionalFormatting sqref="O31">
    <cfRule type="expression" dxfId="22" priority="27">
      <formula>$L$31=0</formula>
    </cfRule>
  </conditionalFormatting>
  <conditionalFormatting sqref="O32">
    <cfRule type="expression" dxfId="21" priority="26">
      <formula>$L$32=0</formula>
    </cfRule>
  </conditionalFormatting>
  <conditionalFormatting sqref="O33">
    <cfRule type="expression" dxfId="20" priority="25">
      <formula>$L$33=0</formula>
    </cfRule>
  </conditionalFormatting>
  <conditionalFormatting sqref="O34">
    <cfRule type="expression" dxfId="19" priority="24">
      <formula>$L$34=0</formula>
    </cfRule>
  </conditionalFormatting>
  <conditionalFormatting sqref="O28">
    <cfRule type="expression" dxfId="18" priority="17">
      <formula>$F$18=0</formula>
    </cfRule>
    <cfRule type="expression" dxfId="17" priority="19">
      <formula>$T$35=2</formula>
    </cfRule>
  </conditionalFormatting>
  <conditionalFormatting sqref="F18">
    <cfRule type="expression" dxfId="16" priority="16">
      <formula>OR($R$65&gt;0,R65&lt;0)</formula>
    </cfRule>
  </conditionalFormatting>
  <conditionalFormatting sqref="F19">
    <cfRule type="expression" dxfId="15" priority="15">
      <formula>OR($R$66&lt;0,R66&gt;0)</formula>
    </cfRule>
  </conditionalFormatting>
  <conditionalFormatting sqref="F20">
    <cfRule type="expression" dxfId="14" priority="14">
      <formula>OR($R$67&gt;0,R67&lt;0)</formula>
    </cfRule>
  </conditionalFormatting>
  <conditionalFormatting sqref="F21">
    <cfRule type="expression" dxfId="13" priority="13">
      <formula>OR($R$68&gt;0,R68&lt;0)</formula>
    </cfRule>
  </conditionalFormatting>
  <conditionalFormatting sqref="F22">
    <cfRule type="expression" dxfId="12" priority="12">
      <formula>OR($R$69&gt;0,R69&lt;0)</formula>
    </cfRule>
  </conditionalFormatting>
  <conditionalFormatting sqref="F23">
    <cfRule type="expression" dxfId="11" priority="11">
      <formula>OR($R$70&gt;0,R70&lt;0)</formula>
    </cfRule>
  </conditionalFormatting>
  <conditionalFormatting sqref="F24">
    <cfRule type="expression" dxfId="10" priority="10">
      <formula>OR($R$71&gt;0,R71&lt;0)</formula>
    </cfRule>
  </conditionalFormatting>
  <conditionalFormatting sqref="F25">
    <cfRule type="expression" dxfId="9" priority="9">
      <formula>OR($R$72&gt;0,R72&lt;0)</formula>
    </cfRule>
  </conditionalFormatting>
  <conditionalFormatting sqref="F26">
    <cfRule type="expression" dxfId="8" priority="8">
      <formula>OR(R73&lt;0,R73&gt;0)</formula>
    </cfRule>
  </conditionalFormatting>
  <conditionalFormatting sqref="F27">
    <cfRule type="expression" dxfId="7" priority="7">
      <formula>OR(R74&lt;0,R74&gt;0)</formula>
    </cfRule>
  </conditionalFormatting>
  <conditionalFormatting sqref="F28">
    <cfRule type="expression" dxfId="6" priority="6">
      <formula>OR(R75&lt;0,R75&gt;0)</formula>
    </cfRule>
  </conditionalFormatting>
  <conditionalFormatting sqref="F29">
    <cfRule type="expression" dxfId="5" priority="5">
      <formula>OR(R76&lt;0,R76&gt;0)</formula>
    </cfRule>
  </conditionalFormatting>
  <conditionalFormatting sqref="F30">
    <cfRule type="expression" dxfId="4" priority="4">
      <formula>OR(R77&lt;0,R77&gt;0)</formula>
    </cfRule>
  </conditionalFormatting>
  <conditionalFormatting sqref="F31">
    <cfRule type="expression" dxfId="3" priority="3">
      <formula>OR(R78&gt;0,R78&lt;0)</formula>
    </cfRule>
  </conditionalFormatting>
  <conditionalFormatting sqref="R30">
    <cfRule type="expression" dxfId="2" priority="1">
      <formula>$R$30=0</formula>
    </cfRule>
  </conditionalFormatting>
  <dataValidations count="15">
    <dataValidation type="list" allowBlank="1" showInputMessage="1" showErrorMessage="1" sqref="G8:H8">
      <formula1>"SOM,PG,LG,VG,ZG,GGZ"</formula1>
    </dataValidation>
    <dataValidation type="list" allowBlank="1" showInputMessage="1" showErrorMessage="1" sqref="G10:H10">
      <formula1>INDIRECT(G8)</formula1>
    </dataValidation>
    <dataValidation type="list" allowBlank="1" showInputMessage="1" showErrorMessage="1" sqref="R21 R25 G12 G15">
      <formula1>"Ja,Nee"</formula1>
    </dataValidation>
    <dataValidation type="list" allowBlank="1" showInputMessage="1" showErrorMessage="1" sqref="Q22:R22">
      <formula1>INDIRECT($DI$7)</formula1>
    </dataValidation>
    <dataValidation type="list" allowBlank="1" showInputMessage="1" showErrorMessage="1" sqref="Q24:R24">
      <formula1>Lijst3</formula1>
    </dataValidation>
    <dataValidation type="list" allowBlank="1" showInputMessage="1" showErrorMessage="1" sqref="Q23:R23">
      <formula1>"ja invasieve beademing,ja non-invasieve beademing,Nee"</formula1>
    </dataValidation>
    <dataValidation type="list" allowBlank="1" showInputMessage="1" showErrorMessage="1" sqref="F5:H6">
      <formula1>$EL$2:$EL$5</formula1>
    </dataValidation>
    <dataValidation type="list" allowBlank="1" showInputMessage="1" showErrorMessage="1" sqref="K14">
      <formula1>"ja,nee"</formula1>
    </dataValidation>
    <dataValidation type="list" allowBlank="1" showInputMessage="1" showErrorMessage="1" sqref="B18:B31">
      <formula1>INDIRECT($EM$16)</formula1>
    </dataValidation>
    <dataValidation allowBlank="1" showInputMessage="1" showErrorMessage="1" errorTitle="Alleen gehele waarden invullen" error="Komma getallen niet toegestaan" sqref="F19:F31"/>
    <dataValidation type="list" allowBlank="1" showInputMessage="1" showErrorMessage="1" sqref="I6">
      <formula1>IF($F$5="deeltijd verblijf icm zorg thuis",$FQ$5:$FQ$7,$FQ$2:$FQ$4)</formula1>
    </dataValidation>
    <dataValidation type="list" allowBlank="1" showInputMessage="1" showErrorMessage="1" sqref="H1">
      <formula1>$AB$7:$AB$28</formula1>
    </dataValidation>
    <dataValidation type="list" allowBlank="1" showInputMessage="1" showErrorMessage="1" sqref="D27:D28">
      <formula1>IF(ES37=0,INDIRECT(C27),INDIRECT(ER41))</formula1>
    </dataValidation>
    <dataValidation type="list" allowBlank="1" showInputMessage="1" showErrorMessage="1" sqref="D29:D31">
      <formula1>IF(ES40=0,INDIRECT(C29),INDIRECT(ER43))</formula1>
    </dataValidation>
    <dataValidation type="list" allowBlank="1" showInputMessage="1" showErrorMessage="1" sqref="D18:D26">
      <formula1>IF(ES28=0,INDIRECT(C18),INDIRECT(ER31))</formula1>
    </dataValidation>
  </dataValidations>
  <hyperlinks>
    <hyperlink ref="O12" location="Blad10!A1" display="LET OP: Meerzorg gekozen, klik hier voor onderbouwing!"/>
    <hyperlink ref="O12:S12" location="'Meerzorg onderbouwing'!A1" display="LET OP: Meerzorg gekozen, klik hier voor onderbouwing!"/>
  </hyperlinks>
  <pageMargins left="0.25" right="0.25" top="0.75" bottom="0.75" header="0.3" footer="0.3"/>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2:X109"/>
  <sheetViews>
    <sheetView workbookViewId="0">
      <selection activeCell="N4" sqref="N4"/>
    </sheetView>
  </sheetViews>
  <sheetFormatPr defaultRowHeight="15"/>
  <cols>
    <col min="4" max="4" width="13.7109375" customWidth="1"/>
    <col min="5" max="7" width="18" customWidth="1"/>
    <col min="9" max="10" width="0" hidden="1" customWidth="1"/>
    <col min="11" max="11" width="18.28515625" bestFit="1" customWidth="1"/>
    <col min="13" max="13" width="11.7109375" customWidth="1"/>
    <col min="14" max="19" width="11.7109375" style="40" customWidth="1"/>
    <col min="21" max="21" width="12.28515625" bestFit="1" customWidth="1"/>
  </cols>
  <sheetData>
    <row r="2" spans="1:24" ht="18.75">
      <c r="A2" s="237"/>
      <c r="B2" s="238"/>
      <c r="C2" s="241"/>
      <c r="D2" s="216"/>
      <c r="M2" t="s">
        <v>1317</v>
      </c>
      <c r="N2" t="s">
        <v>1318</v>
      </c>
      <c r="O2"/>
      <c r="P2" s="2" t="e">
        <f>VLOOKUP(F7,Tarieven_PGB0,15,FALSE)</f>
        <v>#N/A</v>
      </c>
      <c r="Q2"/>
      <c r="X2">
        <v>1</v>
      </c>
    </row>
    <row r="3" spans="1:24" ht="18.75">
      <c r="A3" s="237" t="s">
        <v>1313</v>
      </c>
      <c r="B3" s="238"/>
      <c r="C3" s="242"/>
      <c r="D3" s="217"/>
      <c r="K3" t="s">
        <v>1316</v>
      </c>
      <c r="M3" s="2" t="e">
        <f>VLOOKUP(F7,Tarieven_PGB0,15,0)</f>
        <v>#N/A</v>
      </c>
      <c r="N3" s="2" t="e">
        <f>M3/7</f>
        <v>#N/A</v>
      </c>
      <c r="O3"/>
      <c r="P3"/>
      <c r="Q3"/>
      <c r="X3">
        <v>2</v>
      </c>
    </row>
    <row r="4" spans="1:24">
      <c r="A4" s="238"/>
      <c r="B4" s="238"/>
      <c r="C4" s="238"/>
      <c r="D4" s="206"/>
      <c r="E4" s="206"/>
      <c r="F4" s="207"/>
      <c r="G4" s="207"/>
      <c r="K4" t="s">
        <v>1315</v>
      </c>
      <c r="M4" s="2">
        <f>Rekenblad!FI7*Rekenblad!H1</f>
        <v>0</v>
      </c>
      <c r="N4" s="2">
        <f>M4/7</f>
        <v>0</v>
      </c>
      <c r="O4"/>
      <c r="P4"/>
      <c r="Q4"/>
      <c r="X4">
        <v>3</v>
      </c>
    </row>
    <row r="5" spans="1:24" ht="18.75">
      <c r="A5" s="237" t="s">
        <v>502</v>
      </c>
      <c r="B5" s="243"/>
      <c r="C5" s="243"/>
      <c r="D5" s="214"/>
      <c r="E5" s="214"/>
      <c r="F5" s="530">
        <f>Rekenblad!$G$8</f>
        <v>0</v>
      </c>
      <c r="G5" s="530"/>
      <c r="K5" t="s">
        <v>1</v>
      </c>
      <c r="L5" t="s">
        <v>1399</v>
      </c>
      <c r="M5" s="2" t="e">
        <f>VLOOKUP(F7,Tarieven_PGB0,4,FALSE)</f>
        <v>#N/A</v>
      </c>
      <c r="N5" s="321" t="e">
        <f>M5/365</f>
        <v>#N/A</v>
      </c>
      <c r="O5" t="s">
        <v>1402</v>
      </c>
      <c r="P5"/>
      <c r="Q5"/>
      <c r="X5">
        <v>3.5</v>
      </c>
    </row>
    <row r="6" spans="1:24" ht="18.75">
      <c r="A6" s="243"/>
      <c r="B6" s="243"/>
      <c r="C6" s="243"/>
      <c r="D6" s="214"/>
      <c r="E6" s="214"/>
      <c r="F6" s="311"/>
      <c r="G6" s="311"/>
      <c r="K6" s="4" t="s">
        <v>1400</v>
      </c>
      <c r="L6" s="4">
        <v>7</v>
      </c>
      <c r="M6" s="307" t="e">
        <f>N5*L6</f>
        <v>#N/A</v>
      </c>
      <c r="O6"/>
      <c r="P6"/>
      <c r="Q6"/>
      <c r="X6">
        <v>4</v>
      </c>
    </row>
    <row r="7" spans="1:24" ht="18.75">
      <c r="A7" s="237" t="s">
        <v>528</v>
      </c>
      <c r="B7" s="243"/>
      <c r="C7" s="243"/>
      <c r="D7" s="214"/>
      <c r="E7" s="214"/>
      <c r="F7" s="530">
        <f>Rekenblad!$G$10</f>
        <v>0</v>
      </c>
      <c r="G7" s="530"/>
      <c r="K7" s="302" t="s">
        <v>1320</v>
      </c>
      <c r="L7" s="302">
        <f>7-F9</f>
        <v>0</v>
      </c>
      <c r="M7" s="308" t="e">
        <f>L7*N3</f>
        <v>#N/A</v>
      </c>
      <c r="N7"/>
      <c r="O7"/>
      <c r="P7"/>
      <c r="Q7"/>
      <c r="X7">
        <v>4.5</v>
      </c>
    </row>
    <row r="8" spans="1:24">
      <c r="E8" s="193"/>
      <c r="F8" s="193"/>
      <c r="G8" s="193"/>
      <c r="H8" s="193"/>
      <c r="K8" s="322" t="s">
        <v>1319</v>
      </c>
      <c r="L8" s="322">
        <f>F9</f>
        <v>7</v>
      </c>
      <c r="M8" s="323">
        <f>L8*N4</f>
        <v>0</v>
      </c>
      <c r="N8"/>
      <c r="O8"/>
      <c r="P8"/>
      <c r="Q8"/>
    </row>
    <row r="9" spans="1:24" ht="18.75">
      <c r="A9" s="313" t="s">
        <v>1314</v>
      </c>
      <c r="F9" s="538">
        <f>IF(Rekenblad!$I$6="",7,Rekenblad!$I$6)</f>
        <v>7</v>
      </c>
      <c r="G9" s="538"/>
      <c r="K9" s="324" t="s">
        <v>1321</v>
      </c>
      <c r="L9" s="324">
        <f>SUM(L7:L8)</f>
        <v>7</v>
      </c>
      <c r="M9" s="325" t="e">
        <f>SUM(M6:M8)</f>
        <v>#N/A</v>
      </c>
      <c r="N9"/>
      <c r="O9"/>
      <c r="P9"/>
      <c r="Q9"/>
    </row>
    <row r="10" spans="1:24">
      <c r="N10"/>
      <c r="O10"/>
      <c r="P10"/>
      <c r="Q10"/>
    </row>
    <row r="11" spans="1:24">
      <c r="N11"/>
      <c r="O11"/>
      <c r="P11"/>
      <c r="Q11"/>
    </row>
    <row r="12" spans="1:24">
      <c r="A12" t="s">
        <v>1327</v>
      </c>
      <c r="N12"/>
      <c r="O12"/>
      <c r="P12"/>
      <c r="Q12"/>
    </row>
    <row r="13" spans="1:24">
      <c r="N13"/>
      <c r="O13"/>
      <c r="P13"/>
      <c r="Q13"/>
    </row>
    <row r="14" spans="1:24" ht="18.75">
      <c r="A14" s="237" t="s">
        <v>502</v>
      </c>
      <c r="B14" s="243"/>
      <c r="C14" s="243"/>
      <c r="D14" s="214"/>
      <c r="E14" s="214"/>
      <c r="F14" s="530">
        <f>Rekenblad!$G$8</f>
        <v>0</v>
      </c>
      <c r="G14" s="530"/>
      <c r="K14" t="s">
        <v>1329</v>
      </c>
      <c r="L14" t="str">
        <f>RIGHT(F16,2)</f>
        <v>0</v>
      </c>
      <c r="M14" t="e">
        <f>VLOOKUP(L14,T20:W26,4,0)</f>
        <v>#N/A</v>
      </c>
      <c r="N14"/>
      <c r="O14"/>
      <c r="P14"/>
      <c r="Q14"/>
    </row>
    <row r="15" spans="1:24" ht="18.75">
      <c r="A15" s="243"/>
      <c r="B15" s="243"/>
      <c r="C15" s="243"/>
      <c r="D15" s="214"/>
      <c r="E15" s="214"/>
      <c r="F15" s="311"/>
      <c r="G15" s="311"/>
      <c r="K15" t="s">
        <v>1333</v>
      </c>
      <c r="M15" t="e">
        <f>F18*M14</f>
        <v>#N/A</v>
      </c>
      <c r="N15"/>
      <c r="O15"/>
      <c r="P15"/>
      <c r="Q15"/>
    </row>
    <row r="16" spans="1:24" ht="18.75">
      <c r="A16" s="237" t="s">
        <v>528</v>
      </c>
      <c r="B16" s="243"/>
      <c r="C16" s="243"/>
      <c r="D16" s="214"/>
      <c r="E16" s="214"/>
      <c r="F16" s="530">
        <f>Rekenblad!$G$10</f>
        <v>0</v>
      </c>
      <c r="G16" s="530"/>
      <c r="K16" t="s">
        <v>1334</v>
      </c>
      <c r="M16" s="2" t="e">
        <f>M7</f>
        <v>#N/A</v>
      </c>
      <c r="N16"/>
      <c r="O16"/>
      <c r="P16"/>
      <c r="Q16"/>
    </row>
    <row r="17" spans="1:23">
      <c r="A17" s="40"/>
      <c r="B17" s="40"/>
      <c r="C17" s="40"/>
      <c r="D17" s="40"/>
      <c r="E17" s="193"/>
      <c r="F17" s="193"/>
      <c r="G17" s="193"/>
      <c r="K17" t="s">
        <v>1335</v>
      </c>
      <c r="M17" s="2" t="e">
        <f>SUM(M15:M16)</f>
        <v>#N/A</v>
      </c>
      <c r="N17"/>
      <c r="O17"/>
      <c r="P17"/>
      <c r="Q17"/>
    </row>
    <row r="18" spans="1:23" ht="18.75">
      <c r="A18" s="313" t="s">
        <v>1314</v>
      </c>
      <c r="B18" s="40"/>
      <c r="C18" s="40"/>
      <c r="D18" s="40"/>
      <c r="E18" s="40"/>
      <c r="F18" s="538">
        <f>IF(Rekenblad!$I$6="",7,Rekenblad!$I$6)</f>
        <v>7</v>
      </c>
      <c r="G18" s="538"/>
      <c r="N18"/>
      <c r="O18"/>
      <c r="P18"/>
      <c r="Q18"/>
    </row>
    <row r="20" spans="1:23" ht="25.5">
      <c r="T20" t="s">
        <v>368</v>
      </c>
      <c r="U20" s="303" t="s">
        <v>600</v>
      </c>
      <c r="V20" s="304" t="s">
        <v>627</v>
      </c>
      <c r="W20" s="390">
        <v>0</v>
      </c>
    </row>
    <row r="21" spans="1:23" ht="25.5">
      <c r="T21" t="s">
        <v>1328</v>
      </c>
      <c r="U21" s="303" t="s">
        <v>601</v>
      </c>
      <c r="V21" s="304" t="s">
        <v>628</v>
      </c>
      <c r="W21" s="390">
        <v>0</v>
      </c>
    </row>
    <row r="22" spans="1:23" ht="25.5">
      <c r="T22" t="s">
        <v>1332</v>
      </c>
      <c r="U22" s="303" t="s">
        <v>602</v>
      </c>
      <c r="V22" s="304" t="s">
        <v>629</v>
      </c>
      <c r="W22" s="390">
        <v>0</v>
      </c>
    </row>
    <row r="23" spans="1:23" ht="25.5">
      <c r="T23" t="s">
        <v>618</v>
      </c>
      <c r="U23" s="303" t="s">
        <v>603</v>
      </c>
      <c r="V23" s="304" t="s">
        <v>630</v>
      </c>
      <c r="W23" s="390">
        <v>0</v>
      </c>
    </row>
    <row r="24" spans="1:23" ht="25.5">
      <c r="T24" t="s">
        <v>369</v>
      </c>
      <c r="U24" s="303" t="s">
        <v>599</v>
      </c>
      <c r="V24" s="304" t="s">
        <v>626</v>
      </c>
      <c r="W24" s="390">
        <v>0</v>
      </c>
    </row>
    <row r="25" spans="1:23" ht="25.5">
      <c r="T25" t="s">
        <v>1330</v>
      </c>
      <c r="U25" s="303" t="s">
        <v>603</v>
      </c>
      <c r="V25" s="304" t="s">
        <v>630</v>
      </c>
      <c r="W25" s="390">
        <v>0</v>
      </c>
    </row>
    <row r="26" spans="1:23" ht="25.5">
      <c r="T26" t="s">
        <v>1331</v>
      </c>
      <c r="U26" s="303" t="s">
        <v>602</v>
      </c>
      <c r="V26" s="304" t="s">
        <v>629</v>
      </c>
      <c r="W26" s="390">
        <v>0</v>
      </c>
    </row>
    <row r="44" spans="5:20">
      <c r="Q44" s="40">
        <v>9</v>
      </c>
      <c r="R44" s="40" t="s">
        <v>402</v>
      </c>
    </row>
    <row r="46" spans="5:20" ht="18.75">
      <c r="E46" s="49" t="s">
        <v>758</v>
      </c>
      <c r="G46">
        <f t="shared" ref="G46:G77" si="0">VLOOKUP(E46,Tarieven_ZZP1,7,0)</f>
        <v>115.74</v>
      </c>
      <c r="K46" s="316" t="s">
        <v>758</v>
      </c>
      <c r="L46" s="3"/>
      <c r="M46" s="3">
        <f t="shared" ref="M46:M85" si="1">VLOOKUP(K46,Tarieven_ZZP1,7,0)</f>
        <v>115.74</v>
      </c>
      <c r="N46" s="3">
        <f>M46*7</f>
        <v>810.18</v>
      </c>
      <c r="O46" s="3" t="s">
        <v>2</v>
      </c>
      <c r="P46" s="3">
        <v>0</v>
      </c>
      <c r="Q46" s="3">
        <f>P46*$Q$44</f>
        <v>0</v>
      </c>
      <c r="R46" s="3">
        <f>Q46+N46</f>
        <v>810.18</v>
      </c>
      <c r="T46" s="49" t="s">
        <v>758</v>
      </c>
    </row>
    <row r="47" spans="5:20" ht="18.75">
      <c r="E47" s="49" t="s">
        <v>759</v>
      </c>
      <c r="G47" s="355">
        <f t="shared" si="0"/>
        <v>148.28</v>
      </c>
      <c r="K47" s="316" t="s">
        <v>759</v>
      </c>
      <c r="L47" s="3"/>
      <c r="M47" s="3">
        <f t="shared" si="1"/>
        <v>148.28</v>
      </c>
      <c r="N47" s="3">
        <f t="shared" ref="N47:N85" si="2">M47*7</f>
        <v>1037.96</v>
      </c>
      <c r="O47" s="3" t="s">
        <v>2</v>
      </c>
      <c r="P47" s="3">
        <v>0</v>
      </c>
      <c r="Q47" s="3">
        <f t="shared" ref="Q47:Q68" si="3">P47*$Q$44</f>
        <v>0</v>
      </c>
      <c r="R47" s="3">
        <f t="shared" ref="R47:R85" si="4">Q47+N47</f>
        <v>1037.96</v>
      </c>
      <c r="T47" s="49" t="s">
        <v>759</v>
      </c>
    </row>
    <row r="48" spans="5:20" ht="18.75">
      <c r="E48" s="49" t="s">
        <v>760</v>
      </c>
      <c r="G48" s="355">
        <f t="shared" si="0"/>
        <v>184.61</v>
      </c>
      <c r="K48" s="316" t="s">
        <v>760</v>
      </c>
      <c r="L48" s="3"/>
      <c r="M48" s="3">
        <f t="shared" si="1"/>
        <v>184.61</v>
      </c>
      <c r="N48" s="3">
        <f t="shared" si="2"/>
        <v>1292.27</v>
      </c>
      <c r="O48" s="3" t="s">
        <v>2</v>
      </c>
      <c r="P48" s="3">
        <v>0</v>
      </c>
      <c r="Q48" s="3">
        <f t="shared" si="3"/>
        <v>0</v>
      </c>
      <c r="R48" s="3">
        <f t="shared" si="4"/>
        <v>1292.27</v>
      </c>
      <c r="T48" s="49" t="s">
        <v>760</v>
      </c>
    </row>
    <row r="49" spans="5:20" ht="18.75">
      <c r="E49" s="49" t="s">
        <v>761</v>
      </c>
      <c r="G49" s="355">
        <f t="shared" si="0"/>
        <v>176.9</v>
      </c>
      <c r="K49" s="316" t="s">
        <v>761</v>
      </c>
      <c r="L49" s="3"/>
      <c r="M49" s="3">
        <f t="shared" si="1"/>
        <v>176.9</v>
      </c>
      <c r="N49" s="3">
        <f t="shared" si="2"/>
        <v>1238.3</v>
      </c>
      <c r="O49" s="3" t="s">
        <v>2</v>
      </c>
      <c r="P49" s="3">
        <v>0</v>
      </c>
      <c r="Q49" s="3">
        <f t="shared" si="3"/>
        <v>0</v>
      </c>
      <c r="R49" s="3">
        <f t="shared" si="4"/>
        <v>1238.3</v>
      </c>
      <c r="T49" s="49" t="s">
        <v>761</v>
      </c>
    </row>
    <row r="50" spans="5:20" ht="18.75">
      <c r="E50" s="49" t="s">
        <v>762</v>
      </c>
      <c r="G50" s="355">
        <f t="shared" si="0"/>
        <v>310.11</v>
      </c>
      <c r="K50" s="316" t="s">
        <v>762</v>
      </c>
      <c r="L50" s="3"/>
      <c r="M50" s="3">
        <f t="shared" si="1"/>
        <v>310.11</v>
      </c>
      <c r="N50" s="3">
        <f t="shared" si="2"/>
        <v>2170.77</v>
      </c>
      <c r="O50" s="3" t="s">
        <v>2</v>
      </c>
      <c r="P50" s="3">
        <v>0</v>
      </c>
      <c r="Q50" s="3">
        <f t="shared" si="3"/>
        <v>0</v>
      </c>
      <c r="R50" s="3">
        <f t="shared" si="4"/>
        <v>2170.77</v>
      </c>
      <c r="T50" s="49" t="s">
        <v>762</v>
      </c>
    </row>
    <row r="51" spans="5:20" ht="18.75">
      <c r="E51" s="49" t="s">
        <v>763</v>
      </c>
      <c r="G51" s="355">
        <f t="shared" si="0"/>
        <v>285.67</v>
      </c>
      <c r="K51" s="316" t="s">
        <v>763</v>
      </c>
      <c r="L51" s="3"/>
      <c r="M51" s="3">
        <f t="shared" si="1"/>
        <v>285.67</v>
      </c>
      <c r="N51" s="3">
        <f t="shared" si="2"/>
        <v>1999.69</v>
      </c>
      <c r="O51" s="3" t="s">
        <v>2</v>
      </c>
      <c r="P51" s="3">
        <v>0</v>
      </c>
      <c r="Q51" s="3">
        <f t="shared" si="3"/>
        <v>0</v>
      </c>
      <c r="R51" s="3">
        <f t="shared" si="4"/>
        <v>1999.69</v>
      </c>
      <c r="T51" s="49" t="s">
        <v>763</v>
      </c>
    </row>
    <row r="52" spans="5:20" ht="18.75">
      <c r="E52" s="49" t="s">
        <v>764</v>
      </c>
      <c r="G52" s="355">
        <f t="shared" si="0"/>
        <v>366.17</v>
      </c>
      <c r="K52" s="316" t="s">
        <v>764</v>
      </c>
      <c r="L52" s="3"/>
      <c r="M52" s="3">
        <f t="shared" si="1"/>
        <v>366.17</v>
      </c>
      <c r="N52" s="3">
        <f t="shared" si="2"/>
        <v>2563.19</v>
      </c>
      <c r="O52" s="3" t="s">
        <v>2</v>
      </c>
      <c r="P52" s="3">
        <v>0</v>
      </c>
      <c r="Q52" s="3">
        <f t="shared" si="3"/>
        <v>0</v>
      </c>
      <c r="R52" s="3">
        <f t="shared" si="4"/>
        <v>2563.19</v>
      </c>
      <c r="T52" s="49" t="s">
        <v>764</v>
      </c>
    </row>
    <row r="53" spans="5:20" ht="18.75">
      <c r="E53" s="49" t="s">
        <v>765</v>
      </c>
      <c r="G53" s="355">
        <f t="shared" si="0"/>
        <v>475.62</v>
      </c>
      <c r="K53" s="316" t="s">
        <v>765</v>
      </c>
      <c r="L53" s="3"/>
      <c r="M53" s="3">
        <f t="shared" si="1"/>
        <v>475.62</v>
      </c>
      <c r="N53" s="3">
        <f t="shared" si="2"/>
        <v>3329.34</v>
      </c>
      <c r="O53" s="3" t="s">
        <v>2</v>
      </c>
      <c r="P53" s="3">
        <v>0</v>
      </c>
      <c r="Q53" s="3">
        <f t="shared" si="3"/>
        <v>0</v>
      </c>
      <c r="R53" s="3">
        <f t="shared" si="4"/>
        <v>3329.34</v>
      </c>
      <c r="T53" s="49" t="s">
        <v>765</v>
      </c>
    </row>
    <row r="54" spans="5:20" ht="18.75">
      <c r="E54" s="49" t="s">
        <v>766</v>
      </c>
      <c r="G54" s="355">
        <f t="shared" si="0"/>
        <v>270.82</v>
      </c>
      <c r="K54" s="316" t="s">
        <v>766</v>
      </c>
      <c r="L54" s="3"/>
      <c r="M54" s="3">
        <f t="shared" si="1"/>
        <v>270.82</v>
      </c>
      <c r="N54" s="3">
        <f t="shared" si="2"/>
        <v>1895.74</v>
      </c>
      <c r="O54" s="3" t="s">
        <v>2</v>
      </c>
      <c r="P54" s="3">
        <v>0</v>
      </c>
      <c r="Q54" s="3">
        <f t="shared" si="3"/>
        <v>0</v>
      </c>
      <c r="R54" s="3">
        <f t="shared" si="4"/>
        <v>1895.74</v>
      </c>
      <c r="T54" s="49" t="s">
        <v>766</v>
      </c>
    </row>
    <row r="55" spans="5:20" ht="18.75">
      <c r="E55" s="49" t="s">
        <v>767</v>
      </c>
      <c r="G55" s="355">
        <f t="shared" si="0"/>
        <v>554.39</v>
      </c>
      <c r="K55" s="316" t="s">
        <v>767</v>
      </c>
      <c r="L55" s="3"/>
      <c r="M55" s="3">
        <f t="shared" si="1"/>
        <v>554.39</v>
      </c>
      <c r="N55" s="3">
        <f t="shared" si="2"/>
        <v>3880.73</v>
      </c>
      <c r="O55" s="3" t="s">
        <v>2</v>
      </c>
      <c r="P55" s="3">
        <v>0</v>
      </c>
      <c r="Q55" s="3">
        <f t="shared" si="3"/>
        <v>0</v>
      </c>
      <c r="R55" s="3">
        <f t="shared" si="4"/>
        <v>3880.73</v>
      </c>
      <c r="T55" s="49" t="s">
        <v>767</v>
      </c>
    </row>
    <row r="56" spans="5:20" ht="18.75">
      <c r="E56" s="49" t="s">
        <v>790</v>
      </c>
      <c r="G56" s="355">
        <f t="shared" si="0"/>
        <v>95.76</v>
      </c>
      <c r="K56" s="316" t="s">
        <v>790</v>
      </c>
      <c r="L56" s="3"/>
      <c r="M56" s="3">
        <f t="shared" si="1"/>
        <v>95.76</v>
      </c>
      <c r="N56" s="3">
        <f t="shared" si="2"/>
        <v>670.32</v>
      </c>
      <c r="O56" s="3" t="s">
        <v>264</v>
      </c>
      <c r="P56" s="3">
        <v>-8</v>
      </c>
      <c r="Q56" s="3">
        <f t="shared" ref="Q56:Q63" si="5">P56*$Q$44</f>
        <v>-72</v>
      </c>
      <c r="R56" s="3">
        <f t="shared" si="4"/>
        <v>598.32000000000005</v>
      </c>
      <c r="T56" s="49" t="s">
        <v>792</v>
      </c>
    </row>
    <row r="57" spans="5:20" ht="18.75">
      <c r="E57" s="49" t="s">
        <v>792</v>
      </c>
      <c r="G57" s="355">
        <f t="shared" si="0"/>
        <v>149.15</v>
      </c>
      <c r="K57" s="316" t="s">
        <v>791</v>
      </c>
      <c r="L57" s="3"/>
      <c r="M57" s="3">
        <f t="shared" si="1"/>
        <v>111.29</v>
      </c>
      <c r="N57" s="3">
        <f t="shared" si="2"/>
        <v>779.03000000000009</v>
      </c>
      <c r="O57" s="3" t="s">
        <v>264</v>
      </c>
      <c r="P57" s="3">
        <v>-7</v>
      </c>
      <c r="Q57" s="3">
        <f t="shared" si="5"/>
        <v>-63</v>
      </c>
      <c r="R57" s="3">
        <f t="shared" si="4"/>
        <v>716.03000000000009</v>
      </c>
      <c r="T57" s="49" t="s">
        <v>793</v>
      </c>
    </row>
    <row r="58" spans="5:20" ht="18.75">
      <c r="E58" s="49" t="s">
        <v>791</v>
      </c>
      <c r="G58" s="355">
        <f t="shared" si="0"/>
        <v>111.29</v>
      </c>
      <c r="K58" s="316" t="s">
        <v>794</v>
      </c>
      <c r="L58" s="3"/>
      <c r="M58" s="3">
        <f t="shared" si="1"/>
        <v>147.16999999999999</v>
      </c>
      <c r="N58" s="3">
        <f t="shared" si="2"/>
        <v>1030.1899999999998</v>
      </c>
      <c r="O58" s="3" t="s">
        <v>264</v>
      </c>
      <c r="P58" s="3">
        <v>-6</v>
      </c>
      <c r="Q58" s="3">
        <f t="shared" si="5"/>
        <v>-54</v>
      </c>
      <c r="R58" s="3">
        <f t="shared" si="4"/>
        <v>976.18999999999983</v>
      </c>
      <c r="T58" s="49" t="s">
        <v>800</v>
      </c>
    </row>
    <row r="59" spans="5:20" ht="18.75">
      <c r="E59" s="49" t="s">
        <v>793</v>
      </c>
      <c r="G59" s="355">
        <f t="shared" si="0"/>
        <v>165.69</v>
      </c>
      <c r="K59" s="316" t="s">
        <v>795</v>
      </c>
      <c r="L59" s="3"/>
      <c r="M59" s="3">
        <f t="shared" si="1"/>
        <v>178.81</v>
      </c>
      <c r="N59" s="3">
        <f t="shared" si="2"/>
        <v>1251.67</v>
      </c>
      <c r="O59" s="3" t="s">
        <v>264</v>
      </c>
      <c r="P59" s="3">
        <v>-5</v>
      </c>
      <c r="Q59" s="3">
        <f t="shared" si="5"/>
        <v>-45</v>
      </c>
      <c r="R59" s="3">
        <f t="shared" si="4"/>
        <v>1206.67</v>
      </c>
      <c r="T59" s="49" t="s">
        <v>801</v>
      </c>
    </row>
    <row r="60" spans="5:20" ht="18.75">
      <c r="E60" s="49" t="s">
        <v>794</v>
      </c>
      <c r="G60" s="355">
        <f t="shared" si="0"/>
        <v>147.16999999999999</v>
      </c>
      <c r="K60" s="316" t="s">
        <v>796</v>
      </c>
      <c r="L60" s="3"/>
      <c r="M60" s="3">
        <f t="shared" si="1"/>
        <v>216.32</v>
      </c>
      <c r="N60" s="3">
        <f t="shared" si="2"/>
        <v>1514.24</v>
      </c>
      <c r="O60" s="3" t="s">
        <v>274</v>
      </c>
      <c r="P60" s="3">
        <v>-4</v>
      </c>
      <c r="Q60" s="3">
        <f t="shared" si="5"/>
        <v>-36</v>
      </c>
      <c r="R60" s="3">
        <f t="shared" si="4"/>
        <v>1478.24</v>
      </c>
      <c r="T60" s="49" t="s">
        <v>802</v>
      </c>
    </row>
    <row r="61" spans="5:20" ht="18.75">
      <c r="E61" s="49" t="s">
        <v>800</v>
      </c>
      <c r="G61" s="355">
        <f t="shared" si="0"/>
        <v>197.84</v>
      </c>
      <c r="K61" s="316" t="s">
        <v>797</v>
      </c>
      <c r="L61" s="3"/>
      <c r="M61" s="3">
        <f t="shared" si="1"/>
        <v>189.03</v>
      </c>
      <c r="N61" s="3">
        <f t="shared" si="2"/>
        <v>1323.21</v>
      </c>
      <c r="O61" s="3" t="s">
        <v>274</v>
      </c>
      <c r="P61" s="3">
        <v>-3</v>
      </c>
      <c r="Q61" s="3">
        <f t="shared" si="5"/>
        <v>-27</v>
      </c>
      <c r="R61" s="3">
        <f t="shared" si="4"/>
        <v>1296.21</v>
      </c>
      <c r="T61" s="49" t="s">
        <v>803</v>
      </c>
    </row>
    <row r="62" spans="5:20" ht="18.75">
      <c r="E62" s="49" t="s">
        <v>795</v>
      </c>
      <c r="G62" s="355">
        <f t="shared" si="0"/>
        <v>178.81</v>
      </c>
      <c r="K62" s="316" t="s">
        <v>798</v>
      </c>
      <c r="L62" s="3"/>
      <c r="M62" s="3">
        <f t="shared" si="1"/>
        <v>235.02</v>
      </c>
      <c r="N62" s="3">
        <f t="shared" si="2"/>
        <v>1645.14</v>
      </c>
      <c r="O62" s="3" t="s">
        <v>284</v>
      </c>
      <c r="P62" s="3">
        <v>-2</v>
      </c>
      <c r="Q62" s="3">
        <f t="shared" si="5"/>
        <v>-18</v>
      </c>
      <c r="R62" s="3">
        <f t="shared" si="4"/>
        <v>1627.14</v>
      </c>
      <c r="T62" s="49" t="s">
        <v>804</v>
      </c>
    </row>
    <row r="63" spans="5:20" ht="18.75">
      <c r="E63" s="49" t="s">
        <v>801</v>
      </c>
      <c r="G63" s="355">
        <f t="shared" si="0"/>
        <v>229.91</v>
      </c>
      <c r="K63" s="316" t="s">
        <v>799</v>
      </c>
      <c r="L63" s="3"/>
      <c r="M63" s="3">
        <f t="shared" si="1"/>
        <v>256.43</v>
      </c>
      <c r="N63" s="3">
        <f t="shared" si="2"/>
        <v>1795.01</v>
      </c>
      <c r="O63" s="3" t="s">
        <v>284</v>
      </c>
      <c r="P63" s="3">
        <v>-1</v>
      </c>
      <c r="Q63" s="3">
        <f t="shared" si="5"/>
        <v>-9</v>
      </c>
      <c r="R63" s="3">
        <f t="shared" si="4"/>
        <v>1786.01</v>
      </c>
      <c r="T63" s="49" t="s">
        <v>805</v>
      </c>
    </row>
    <row r="64" spans="5:20" ht="18.75">
      <c r="E64" s="49" t="s">
        <v>796</v>
      </c>
      <c r="G64" s="355">
        <f t="shared" si="0"/>
        <v>216.32</v>
      </c>
      <c r="K64" s="316" t="s">
        <v>818</v>
      </c>
      <c r="L64" s="3"/>
      <c r="M64" s="3">
        <f t="shared" si="1"/>
        <v>251.69</v>
      </c>
      <c r="N64" s="3">
        <f t="shared" si="2"/>
        <v>1761.83</v>
      </c>
      <c r="O64" s="3" t="s">
        <v>341</v>
      </c>
      <c r="P64" s="3">
        <v>0</v>
      </c>
      <c r="Q64" s="3">
        <f t="shared" si="3"/>
        <v>0</v>
      </c>
      <c r="R64" s="3">
        <f t="shared" si="4"/>
        <v>1761.83</v>
      </c>
      <c r="T64" s="49" t="s">
        <v>818</v>
      </c>
    </row>
    <row r="65" spans="5:20" ht="18.75">
      <c r="E65" s="49" t="s">
        <v>802</v>
      </c>
      <c r="G65" s="355">
        <f t="shared" si="0"/>
        <v>283.29000000000002</v>
      </c>
      <c r="K65" s="316" t="s">
        <v>819</v>
      </c>
      <c r="L65" s="3"/>
      <c r="M65" s="3">
        <f t="shared" si="1"/>
        <v>301.82</v>
      </c>
      <c r="N65" s="3">
        <f t="shared" si="2"/>
        <v>2112.7399999999998</v>
      </c>
      <c r="O65" s="3" t="s">
        <v>341</v>
      </c>
      <c r="P65" s="3">
        <v>0</v>
      </c>
      <c r="Q65" s="3">
        <f t="shared" si="3"/>
        <v>0</v>
      </c>
      <c r="R65" s="3">
        <f t="shared" si="4"/>
        <v>2112.7399999999998</v>
      </c>
      <c r="T65" s="49" t="s">
        <v>819</v>
      </c>
    </row>
    <row r="66" spans="5:20" ht="18.75">
      <c r="E66" s="49" t="s">
        <v>797</v>
      </c>
      <c r="G66" s="355">
        <f t="shared" si="0"/>
        <v>189.03</v>
      </c>
      <c r="K66" s="316" t="s">
        <v>820</v>
      </c>
      <c r="L66" s="3"/>
      <c r="M66" s="3">
        <f t="shared" si="1"/>
        <v>393.97</v>
      </c>
      <c r="N66" s="3">
        <f t="shared" si="2"/>
        <v>2757.79</v>
      </c>
      <c r="O66" s="3" t="s">
        <v>341</v>
      </c>
      <c r="P66" s="3">
        <v>0</v>
      </c>
      <c r="Q66" s="3">
        <f t="shared" si="3"/>
        <v>0</v>
      </c>
      <c r="R66" s="3">
        <f t="shared" si="4"/>
        <v>2757.79</v>
      </c>
      <c r="T66" s="49" t="s">
        <v>820</v>
      </c>
    </row>
    <row r="67" spans="5:20" ht="18.75">
      <c r="E67" s="49" t="s">
        <v>803</v>
      </c>
      <c r="G67" s="355">
        <f t="shared" si="0"/>
        <v>254.73</v>
      </c>
      <c r="K67" s="316" t="s">
        <v>821</v>
      </c>
      <c r="L67" s="3"/>
      <c r="M67" s="3">
        <f t="shared" si="1"/>
        <v>452.78</v>
      </c>
      <c r="N67" s="3">
        <f t="shared" si="2"/>
        <v>3169.46</v>
      </c>
      <c r="O67" s="3" t="s">
        <v>341</v>
      </c>
      <c r="P67" s="3">
        <v>0</v>
      </c>
      <c r="Q67" s="3">
        <f t="shared" si="3"/>
        <v>0</v>
      </c>
      <c r="R67" s="3">
        <f t="shared" si="4"/>
        <v>3169.46</v>
      </c>
      <c r="T67" s="49" t="s">
        <v>821</v>
      </c>
    </row>
    <row r="68" spans="5:20" ht="18.75">
      <c r="E68" s="49" t="s">
        <v>798</v>
      </c>
      <c r="G68" s="355">
        <f t="shared" si="0"/>
        <v>235.02</v>
      </c>
      <c r="K68" s="316" t="s">
        <v>822</v>
      </c>
      <c r="L68" s="3"/>
      <c r="M68" s="3">
        <f t="shared" si="1"/>
        <v>432.4</v>
      </c>
      <c r="N68" s="3">
        <f t="shared" si="2"/>
        <v>3026.7999999999997</v>
      </c>
      <c r="O68" s="3" t="s">
        <v>341</v>
      </c>
      <c r="P68" s="3">
        <v>0</v>
      </c>
      <c r="Q68" s="3">
        <f t="shared" si="3"/>
        <v>0</v>
      </c>
      <c r="R68" s="3">
        <f t="shared" si="4"/>
        <v>3026.7999999999997</v>
      </c>
      <c r="T68" s="49" t="s">
        <v>822</v>
      </c>
    </row>
    <row r="69" spans="5:20" ht="18.75">
      <c r="E69" s="49" t="s">
        <v>804</v>
      </c>
      <c r="G69" s="355">
        <f t="shared" si="0"/>
        <v>309.88</v>
      </c>
      <c r="K69" s="316" t="s">
        <v>823</v>
      </c>
      <c r="L69" s="3"/>
      <c r="M69" s="3">
        <f t="shared" si="1"/>
        <v>509.49</v>
      </c>
      <c r="N69" s="3">
        <f t="shared" si="2"/>
        <v>3566.4300000000003</v>
      </c>
      <c r="O69" s="3" t="s">
        <v>341</v>
      </c>
      <c r="P69" s="3">
        <v>0</v>
      </c>
      <c r="Q69" s="3">
        <v>0</v>
      </c>
      <c r="R69" s="3">
        <f t="shared" si="4"/>
        <v>3566.4300000000003</v>
      </c>
      <c r="T69" s="49" t="s">
        <v>823</v>
      </c>
    </row>
    <row r="70" spans="5:20" ht="18.75">
      <c r="E70" s="49" t="s">
        <v>799</v>
      </c>
      <c r="G70" s="355">
        <f t="shared" si="0"/>
        <v>256.43</v>
      </c>
      <c r="K70" s="316" t="s">
        <v>824</v>
      </c>
      <c r="L70" s="3"/>
      <c r="M70" s="3">
        <f t="shared" si="1"/>
        <v>136.30000000000001</v>
      </c>
      <c r="N70" s="3">
        <f t="shared" si="2"/>
        <v>954.10000000000014</v>
      </c>
      <c r="O70" s="3" t="s">
        <v>271</v>
      </c>
      <c r="P70" s="3">
        <v>0</v>
      </c>
      <c r="Q70" s="3">
        <v>0</v>
      </c>
      <c r="R70" s="3">
        <f t="shared" si="4"/>
        <v>954.10000000000014</v>
      </c>
      <c r="T70" s="49" t="s">
        <v>826</v>
      </c>
    </row>
    <row r="71" spans="5:20" ht="18.75">
      <c r="E71" s="49" t="s">
        <v>805</v>
      </c>
      <c r="G71" s="355">
        <f t="shared" si="0"/>
        <v>348.21</v>
      </c>
      <c r="K71" s="316" t="s">
        <v>825</v>
      </c>
      <c r="L71" s="3"/>
      <c r="M71" s="3">
        <f t="shared" si="1"/>
        <v>173.26</v>
      </c>
      <c r="N71" s="3">
        <f t="shared" si="2"/>
        <v>1212.82</v>
      </c>
      <c r="O71" s="3" t="s">
        <v>260</v>
      </c>
      <c r="P71" s="3">
        <v>0</v>
      </c>
      <c r="Q71" s="3">
        <v>0</v>
      </c>
      <c r="R71" s="3">
        <f t="shared" si="4"/>
        <v>1212.82</v>
      </c>
      <c r="T71" s="49" t="s">
        <v>827</v>
      </c>
    </row>
    <row r="72" spans="5:20" ht="18.75">
      <c r="E72" s="49" t="s">
        <v>818</v>
      </c>
      <c r="G72" s="355">
        <f t="shared" si="0"/>
        <v>251.69</v>
      </c>
      <c r="K72" s="316" t="s">
        <v>828</v>
      </c>
      <c r="L72" s="3"/>
      <c r="M72" s="3">
        <f t="shared" si="1"/>
        <v>143.65</v>
      </c>
      <c r="N72" s="3">
        <f t="shared" si="2"/>
        <v>1005.5500000000001</v>
      </c>
      <c r="O72" s="3" t="s">
        <v>271</v>
      </c>
      <c r="P72" s="3">
        <v>0</v>
      </c>
      <c r="Q72" s="3">
        <v>0</v>
      </c>
      <c r="R72" s="3">
        <f t="shared" si="4"/>
        <v>1005.5500000000001</v>
      </c>
      <c r="T72" s="49" t="s">
        <v>833</v>
      </c>
    </row>
    <row r="73" spans="5:20" ht="18.75">
      <c r="E73" s="49" t="s">
        <v>819</v>
      </c>
      <c r="G73" s="355">
        <f t="shared" si="0"/>
        <v>301.82</v>
      </c>
      <c r="K73" s="316" t="s">
        <v>829</v>
      </c>
      <c r="L73" s="3"/>
      <c r="M73" s="3">
        <f t="shared" si="1"/>
        <v>206.3</v>
      </c>
      <c r="N73" s="3">
        <f t="shared" si="2"/>
        <v>1444.1000000000001</v>
      </c>
      <c r="O73" s="3" t="s">
        <v>260</v>
      </c>
      <c r="P73" s="3">
        <v>0</v>
      </c>
      <c r="Q73" s="3">
        <v>0</v>
      </c>
      <c r="R73" s="3">
        <f t="shared" si="4"/>
        <v>1444.1000000000001</v>
      </c>
      <c r="T73" s="49" t="s">
        <v>834</v>
      </c>
    </row>
    <row r="74" spans="5:20" ht="18.75">
      <c r="E74" s="49" t="s">
        <v>820</v>
      </c>
      <c r="G74" s="355">
        <f t="shared" si="0"/>
        <v>393.97</v>
      </c>
      <c r="K74" s="316" t="s">
        <v>830</v>
      </c>
      <c r="L74" s="3"/>
      <c r="M74" s="3">
        <f t="shared" si="1"/>
        <v>205.84</v>
      </c>
      <c r="N74" s="3">
        <f t="shared" si="2"/>
        <v>1440.88</v>
      </c>
      <c r="O74" s="3" t="s">
        <v>260</v>
      </c>
      <c r="P74" s="3">
        <v>0</v>
      </c>
      <c r="Q74" s="3">
        <v>0</v>
      </c>
      <c r="R74" s="3">
        <f t="shared" si="4"/>
        <v>1440.88</v>
      </c>
      <c r="T74" s="49" t="s">
        <v>835</v>
      </c>
    </row>
    <row r="75" spans="5:20" ht="18.75">
      <c r="E75" s="49" t="s">
        <v>821</v>
      </c>
      <c r="G75" s="355">
        <f t="shared" si="0"/>
        <v>452.78</v>
      </c>
      <c r="K75" s="316" t="s">
        <v>831</v>
      </c>
      <c r="L75" s="3"/>
      <c r="M75" s="3">
        <f t="shared" si="1"/>
        <v>290.72000000000003</v>
      </c>
      <c r="N75" s="3">
        <f t="shared" si="2"/>
        <v>2035.0400000000002</v>
      </c>
      <c r="O75" s="3" t="s">
        <v>260</v>
      </c>
      <c r="P75" s="3">
        <v>0</v>
      </c>
      <c r="Q75" s="3">
        <v>0</v>
      </c>
      <c r="R75" s="3">
        <f t="shared" si="4"/>
        <v>2035.0400000000002</v>
      </c>
      <c r="T75" s="49" t="s">
        <v>836</v>
      </c>
    </row>
    <row r="76" spans="5:20" ht="18.75">
      <c r="E76" s="49" t="s">
        <v>822</v>
      </c>
      <c r="G76" s="355">
        <f t="shared" si="0"/>
        <v>432.4</v>
      </c>
      <c r="K76" s="316" t="s">
        <v>832</v>
      </c>
      <c r="L76" s="3"/>
      <c r="M76" s="3">
        <f t="shared" si="1"/>
        <v>313.37</v>
      </c>
      <c r="N76" s="3">
        <f t="shared" si="2"/>
        <v>2193.59</v>
      </c>
      <c r="O76" s="3" t="s">
        <v>282</v>
      </c>
      <c r="P76" s="3">
        <v>0</v>
      </c>
      <c r="Q76" s="3">
        <v>0</v>
      </c>
      <c r="R76" s="3">
        <f t="shared" si="4"/>
        <v>2193.59</v>
      </c>
      <c r="T76" s="49" t="s">
        <v>837</v>
      </c>
    </row>
    <row r="77" spans="5:20" ht="18.75">
      <c r="E77" s="49" t="s">
        <v>823</v>
      </c>
      <c r="G77" s="355">
        <f t="shared" si="0"/>
        <v>509.49</v>
      </c>
      <c r="K77" s="316" t="s">
        <v>848</v>
      </c>
      <c r="L77" s="3"/>
      <c r="M77" s="3">
        <f t="shared" si="1"/>
        <v>194.98</v>
      </c>
      <c r="N77" s="3">
        <f t="shared" si="2"/>
        <v>1364.86</v>
      </c>
      <c r="O77" s="3" t="s">
        <v>283</v>
      </c>
      <c r="P77" s="3">
        <v>0</v>
      </c>
      <c r="Q77" s="3">
        <v>0</v>
      </c>
      <c r="R77" s="3">
        <f t="shared" si="4"/>
        <v>1364.86</v>
      </c>
      <c r="T77" s="49" t="s">
        <v>852</v>
      </c>
    </row>
    <row r="78" spans="5:20" ht="18.75">
      <c r="E78" s="49" t="s">
        <v>824</v>
      </c>
      <c r="G78" s="355">
        <f t="shared" ref="G78:G109" si="6">VLOOKUP(E78,Tarieven_ZZP1,7,0)</f>
        <v>136.30000000000001</v>
      </c>
      <c r="K78" s="316" t="s">
        <v>851</v>
      </c>
      <c r="L78" s="3"/>
      <c r="M78" s="3">
        <f t="shared" si="1"/>
        <v>234.56</v>
      </c>
      <c r="N78" s="3">
        <f t="shared" si="2"/>
        <v>1641.92</v>
      </c>
      <c r="O78" s="3" t="s">
        <v>283</v>
      </c>
      <c r="P78" s="3">
        <v>0</v>
      </c>
      <c r="Q78" s="3">
        <v>0</v>
      </c>
      <c r="R78" s="3">
        <f t="shared" si="4"/>
        <v>1641.92</v>
      </c>
      <c r="T78" s="49" t="s">
        <v>855</v>
      </c>
    </row>
    <row r="79" spans="5:20" ht="18.75">
      <c r="E79" s="49" t="s">
        <v>826</v>
      </c>
      <c r="G79" s="355">
        <f t="shared" si="6"/>
        <v>199.46</v>
      </c>
      <c r="K79" s="316" t="s">
        <v>849</v>
      </c>
      <c r="L79" s="3"/>
      <c r="M79" s="3">
        <f t="shared" si="1"/>
        <v>359.75</v>
      </c>
      <c r="N79" s="3">
        <f t="shared" si="2"/>
        <v>2518.25</v>
      </c>
      <c r="O79" s="3" t="s">
        <v>278</v>
      </c>
      <c r="P79" s="3">
        <v>0</v>
      </c>
      <c r="Q79" s="3">
        <v>0</v>
      </c>
      <c r="R79" s="3">
        <f t="shared" si="4"/>
        <v>2518.25</v>
      </c>
      <c r="T79" s="49" t="s">
        <v>853</v>
      </c>
    </row>
    <row r="80" spans="5:20" ht="18.75">
      <c r="E80" s="49" t="s">
        <v>825</v>
      </c>
      <c r="G80" s="355">
        <f t="shared" si="6"/>
        <v>173.26</v>
      </c>
      <c r="K80" s="316" t="s">
        <v>850</v>
      </c>
      <c r="L80" s="3"/>
      <c r="M80" s="3">
        <f t="shared" si="1"/>
        <v>405.43</v>
      </c>
      <c r="N80" s="3">
        <f t="shared" si="2"/>
        <v>2838.01</v>
      </c>
      <c r="O80" s="3" t="s">
        <v>263</v>
      </c>
      <c r="P80" s="3">
        <v>0</v>
      </c>
      <c r="Q80" s="3">
        <v>0</v>
      </c>
      <c r="R80" s="3">
        <f t="shared" si="4"/>
        <v>2838.01</v>
      </c>
      <c r="T80" s="49" t="s">
        <v>854</v>
      </c>
    </row>
    <row r="81" spans="5:20" ht="18.75">
      <c r="E81" s="49" t="s">
        <v>827</v>
      </c>
      <c r="G81" s="355">
        <f t="shared" si="6"/>
        <v>230.84</v>
      </c>
      <c r="K81" s="316" t="s">
        <v>864</v>
      </c>
      <c r="L81" s="3"/>
      <c r="M81" s="3">
        <f t="shared" si="1"/>
        <v>121.31</v>
      </c>
      <c r="N81" s="3">
        <f t="shared" si="2"/>
        <v>849.17000000000007</v>
      </c>
      <c r="O81" s="3" t="s">
        <v>279</v>
      </c>
      <c r="P81" s="3">
        <v>0</v>
      </c>
      <c r="Q81" s="3">
        <v>0</v>
      </c>
      <c r="R81" s="3">
        <f t="shared" si="4"/>
        <v>849.17000000000007</v>
      </c>
      <c r="T81" s="49" t="s">
        <v>866</v>
      </c>
    </row>
    <row r="82" spans="5:20" ht="18.75">
      <c r="E82" s="49" t="s">
        <v>828</v>
      </c>
      <c r="G82" s="355">
        <f t="shared" si="6"/>
        <v>143.65</v>
      </c>
      <c r="K82" s="316" t="s">
        <v>865</v>
      </c>
      <c r="L82" s="3"/>
      <c r="M82" s="3">
        <f t="shared" si="1"/>
        <v>172.78</v>
      </c>
      <c r="N82" s="3">
        <f t="shared" si="2"/>
        <v>1209.46</v>
      </c>
      <c r="O82" s="3" t="s">
        <v>269</v>
      </c>
      <c r="P82" s="3">
        <v>0</v>
      </c>
      <c r="Q82" s="3">
        <v>0</v>
      </c>
      <c r="R82" s="3">
        <f t="shared" si="4"/>
        <v>1209.46</v>
      </c>
      <c r="T82" s="49" t="s">
        <v>867</v>
      </c>
    </row>
    <row r="83" spans="5:20" ht="18.75">
      <c r="E83" s="49" t="s">
        <v>833</v>
      </c>
      <c r="G83" s="355">
        <f t="shared" si="6"/>
        <v>207.91</v>
      </c>
      <c r="K83" s="316" t="s">
        <v>868</v>
      </c>
      <c r="L83" s="3"/>
      <c r="M83" s="3">
        <f t="shared" si="1"/>
        <v>210.92</v>
      </c>
      <c r="N83" s="3">
        <f t="shared" si="2"/>
        <v>1476.4399999999998</v>
      </c>
      <c r="O83" s="3" t="s">
        <v>269</v>
      </c>
      <c r="P83" s="3">
        <v>0</v>
      </c>
      <c r="Q83" s="3">
        <v>0</v>
      </c>
      <c r="R83" s="3">
        <f t="shared" si="4"/>
        <v>1476.4399999999998</v>
      </c>
      <c r="T83" s="49" t="s">
        <v>871</v>
      </c>
    </row>
    <row r="84" spans="5:20" ht="18.75">
      <c r="E84" s="49" t="s">
        <v>829</v>
      </c>
      <c r="G84" s="355">
        <f t="shared" si="6"/>
        <v>206.3</v>
      </c>
      <c r="K84" s="316" t="s">
        <v>869</v>
      </c>
      <c r="L84" s="3"/>
      <c r="M84" s="3">
        <f t="shared" si="1"/>
        <v>264.77999999999997</v>
      </c>
      <c r="N84" s="3">
        <f t="shared" si="2"/>
        <v>1853.4599999999998</v>
      </c>
      <c r="O84" s="3" t="s">
        <v>275</v>
      </c>
      <c r="P84" s="3">
        <v>0</v>
      </c>
      <c r="Q84" s="3">
        <v>0</v>
      </c>
      <c r="R84" s="3">
        <f t="shared" si="4"/>
        <v>1853.4599999999998</v>
      </c>
      <c r="T84" s="49" t="s">
        <v>872</v>
      </c>
    </row>
    <row r="85" spans="5:20" ht="18.75">
      <c r="E85" s="49" t="s">
        <v>834</v>
      </c>
      <c r="G85" s="355">
        <f t="shared" si="6"/>
        <v>261.97000000000003</v>
      </c>
      <c r="K85" s="316" t="s">
        <v>870</v>
      </c>
      <c r="L85" s="3"/>
      <c r="M85" s="3">
        <f t="shared" si="1"/>
        <v>295.23</v>
      </c>
      <c r="N85" s="3">
        <f t="shared" si="2"/>
        <v>2066.61</v>
      </c>
      <c r="O85" s="3" t="s">
        <v>275</v>
      </c>
      <c r="P85" s="3">
        <v>0</v>
      </c>
      <c r="Q85" s="3">
        <v>0</v>
      </c>
      <c r="R85" s="3">
        <f t="shared" si="4"/>
        <v>2066.61</v>
      </c>
      <c r="T85" s="49" t="s">
        <v>873</v>
      </c>
    </row>
    <row r="86" spans="5:20" ht="18.75">
      <c r="E86" s="49" t="s">
        <v>830</v>
      </c>
      <c r="G86" s="355">
        <f t="shared" si="6"/>
        <v>205.84</v>
      </c>
      <c r="K86" s="49"/>
    </row>
    <row r="87" spans="5:20" ht="18.75">
      <c r="E87" s="49" t="s">
        <v>835</v>
      </c>
      <c r="G87" s="355">
        <f t="shared" si="6"/>
        <v>271.24</v>
      </c>
      <c r="K87" s="49"/>
    </row>
    <row r="88" spans="5:20" ht="18.75">
      <c r="E88" s="49" t="s">
        <v>831</v>
      </c>
      <c r="G88" s="355">
        <f t="shared" si="6"/>
        <v>290.72000000000003</v>
      </c>
      <c r="K88" s="49"/>
    </row>
    <row r="89" spans="5:20" ht="18.75">
      <c r="E89" s="49" t="s">
        <v>836</v>
      </c>
      <c r="G89" s="355">
        <f t="shared" si="6"/>
        <v>344.38</v>
      </c>
      <c r="K89" s="49"/>
    </row>
    <row r="90" spans="5:20" ht="18.75">
      <c r="E90" s="49" t="s">
        <v>832</v>
      </c>
      <c r="G90" s="355">
        <f t="shared" si="6"/>
        <v>313.37</v>
      </c>
      <c r="K90" s="49"/>
    </row>
    <row r="91" spans="5:20" ht="18.75">
      <c r="E91" s="49" t="s">
        <v>837</v>
      </c>
      <c r="G91" s="355">
        <f t="shared" si="6"/>
        <v>366.09</v>
      </c>
      <c r="K91" s="49"/>
    </row>
    <row r="92" spans="5:20" ht="18.75">
      <c r="E92" s="49" t="s">
        <v>848</v>
      </c>
      <c r="G92" s="355">
        <f t="shared" si="6"/>
        <v>194.98</v>
      </c>
      <c r="K92" s="49"/>
    </row>
    <row r="93" spans="5:20" ht="18.75">
      <c r="E93" s="49" t="s">
        <v>852</v>
      </c>
      <c r="G93" s="355">
        <f t="shared" si="6"/>
        <v>239.89</v>
      </c>
      <c r="K93" s="49"/>
    </row>
    <row r="94" spans="5:20" ht="18.75">
      <c r="E94" s="49" t="s">
        <v>851</v>
      </c>
      <c r="G94" s="355">
        <f t="shared" si="6"/>
        <v>234.56</v>
      </c>
      <c r="K94" s="49"/>
    </row>
    <row r="95" spans="5:20" ht="18.75">
      <c r="E95" s="49" t="s">
        <v>855</v>
      </c>
      <c r="G95" s="355">
        <f t="shared" si="6"/>
        <v>306.55</v>
      </c>
      <c r="K95" s="49"/>
    </row>
    <row r="96" spans="5:20" ht="18.75">
      <c r="E96" s="49" t="s">
        <v>849</v>
      </c>
      <c r="G96" s="355">
        <f t="shared" si="6"/>
        <v>359.75</v>
      </c>
      <c r="K96" s="49"/>
    </row>
    <row r="97" spans="5:11" ht="18.75">
      <c r="E97" s="49" t="s">
        <v>853</v>
      </c>
      <c r="G97" s="355">
        <f t="shared" si="6"/>
        <v>417.23</v>
      </c>
      <c r="K97" s="49"/>
    </row>
    <row r="98" spans="5:11" ht="18.75">
      <c r="E98" s="49" t="s">
        <v>850</v>
      </c>
      <c r="G98" s="355">
        <f t="shared" si="6"/>
        <v>405.43</v>
      </c>
      <c r="K98" s="49"/>
    </row>
    <row r="99" spans="5:11" ht="18.75">
      <c r="E99" s="49" t="s">
        <v>854</v>
      </c>
      <c r="G99" s="355">
        <f t="shared" si="6"/>
        <v>455.3</v>
      </c>
      <c r="K99" s="49"/>
    </row>
    <row r="100" spans="5:11" ht="18.75">
      <c r="E100" s="49" t="s">
        <v>864</v>
      </c>
      <c r="G100" s="355">
        <f t="shared" si="6"/>
        <v>121.31</v>
      </c>
      <c r="K100" s="49"/>
    </row>
    <row r="101" spans="5:11" ht="18.75">
      <c r="E101" s="49" t="s">
        <v>866</v>
      </c>
      <c r="G101" s="355">
        <f t="shared" si="6"/>
        <v>184.3</v>
      </c>
      <c r="K101" s="49"/>
    </row>
    <row r="102" spans="5:11" ht="18.75">
      <c r="E102" s="49" t="s">
        <v>865</v>
      </c>
      <c r="G102" s="355">
        <f t="shared" si="6"/>
        <v>172.78</v>
      </c>
      <c r="K102" s="49"/>
    </row>
    <row r="103" spans="5:11" ht="18.75">
      <c r="E103" s="49" t="s">
        <v>867</v>
      </c>
      <c r="G103" s="355">
        <f t="shared" si="6"/>
        <v>227.36</v>
      </c>
    </row>
    <row r="104" spans="5:11" ht="18.75">
      <c r="E104" s="49" t="s">
        <v>868</v>
      </c>
      <c r="G104" s="355">
        <f t="shared" si="6"/>
        <v>210.92</v>
      </c>
    </row>
    <row r="105" spans="5:11" ht="18.75">
      <c r="E105" s="49" t="s">
        <v>871</v>
      </c>
      <c r="G105" s="355">
        <f t="shared" si="6"/>
        <v>264.01</v>
      </c>
    </row>
    <row r="106" spans="5:11" ht="18.75">
      <c r="E106" s="49" t="s">
        <v>869</v>
      </c>
      <c r="G106" s="355">
        <f t="shared" si="6"/>
        <v>264.77999999999997</v>
      </c>
    </row>
    <row r="107" spans="5:11" ht="18.75">
      <c r="E107" s="49" t="s">
        <v>872</v>
      </c>
      <c r="G107" s="355">
        <f t="shared" si="6"/>
        <v>333.42</v>
      </c>
    </row>
    <row r="108" spans="5:11" ht="18.75">
      <c r="E108" s="49" t="s">
        <v>870</v>
      </c>
      <c r="G108" s="355">
        <f t="shared" si="6"/>
        <v>295.23</v>
      </c>
    </row>
    <row r="109" spans="5:11" ht="18.75">
      <c r="E109" s="49" t="s">
        <v>873</v>
      </c>
      <c r="G109" s="355">
        <f t="shared" si="6"/>
        <v>363.68</v>
      </c>
    </row>
  </sheetData>
  <protectedRanges>
    <protectedRange sqref="F5 F7 F14 F16" name="Bereik1_1_1"/>
  </protectedRanges>
  <mergeCells count="6">
    <mergeCell ref="F18:G18"/>
    <mergeCell ref="F5:G5"/>
    <mergeCell ref="F7:G7"/>
    <mergeCell ref="F9:G9"/>
    <mergeCell ref="F14:G14"/>
    <mergeCell ref="F16:G16"/>
  </mergeCells>
  <dataValidations count="1">
    <dataValidation type="list" allowBlank="1" showInputMessage="1" showErrorMessage="1" sqref="F9:G9 F18:G18">
      <formula1>$X$2:$X$7</formula1>
    </dataValidation>
  </dataValidations>
  <pageMargins left="0.7" right="0.7" top="0.75" bottom="0.75" header="0.3" footer="0.3"/>
  <pageSetup paperSize="9" orientation="portrait" horizontalDpi="4294967293" verticalDpi="0" r:id="rId1"/>
  <ignoredErrors>
    <ignoredError sqref="F7 F5 F14 F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A31"/>
  <sheetViews>
    <sheetView zoomScaleNormal="100" workbookViewId="0">
      <selection activeCell="A2" sqref="A2"/>
    </sheetView>
  </sheetViews>
  <sheetFormatPr defaultColWidth="8.7109375" defaultRowHeight="15"/>
  <cols>
    <col min="1" max="1" width="92.28515625" style="40" bestFit="1" customWidth="1"/>
    <col min="2" max="16384" width="8.7109375" style="40"/>
  </cols>
  <sheetData>
    <row r="1" spans="1:1" ht="16.5">
      <c r="A1" s="266" t="s">
        <v>1438</v>
      </c>
    </row>
    <row r="2" spans="1:1">
      <c r="A2" s="267" t="s">
        <v>1439</v>
      </c>
    </row>
    <row r="3" spans="1:1" ht="60">
      <c r="A3" s="267" t="s">
        <v>1440</v>
      </c>
    </row>
    <row r="4" spans="1:1" ht="45">
      <c r="A4" s="267" t="s">
        <v>1441</v>
      </c>
    </row>
    <row r="5" spans="1:1" ht="30">
      <c r="A5" s="267" t="s">
        <v>1442</v>
      </c>
    </row>
    <row r="6" spans="1:1" ht="75">
      <c r="A6" s="347" t="s">
        <v>1443</v>
      </c>
    </row>
    <row r="7" spans="1:1" ht="60">
      <c r="A7" s="267" t="s">
        <v>1444</v>
      </c>
    </row>
    <row r="9" spans="1:1" ht="16.5">
      <c r="A9" s="266" t="s">
        <v>1445</v>
      </c>
    </row>
    <row r="10" spans="1:1" ht="30">
      <c r="A10" s="267" t="s">
        <v>1446</v>
      </c>
    </row>
    <row r="11" spans="1:1" ht="75">
      <c r="A11" s="268" t="s">
        <v>1447</v>
      </c>
    </row>
    <row r="12" spans="1:1" ht="30">
      <c r="A12" s="268" t="s">
        <v>1448</v>
      </c>
    </row>
    <row r="13" spans="1:1" ht="105">
      <c r="A13" s="268" t="s">
        <v>1449</v>
      </c>
    </row>
    <row r="14" spans="1:1" ht="30">
      <c r="A14" s="268" t="s">
        <v>1450</v>
      </c>
    </row>
    <row r="15" spans="1:1" ht="30">
      <c r="A15" s="267" t="s">
        <v>1451</v>
      </c>
    </row>
    <row r="16" spans="1:1">
      <c r="A16" s="268" t="s">
        <v>1452</v>
      </c>
    </row>
    <row r="17" spans="1:1" ht="30">
      <c r="A17" s="268" t="s">
        <v>1453</v>
      </c>
    </row>
    <row r="18" spans="1:1" ht="60">
      <c r="A18" s="268" t="s">
        <v>1454</v>
      </c>
    </row>
    <row r="19" spans="1:1" ht="75">
      <c r="A19" s="268" t="s">
        <v>1455</v>
      </c>
    </row>
    <row r="20" spans="1:1" ht="60">
      <c r="A20" s="267" t="s">
        <v>1211</v>
      </c>
    </row>
    <row r="21" spans="1:1" ht="30">
      <c r="A21" s="268" t="s">
        <v>1212</v>
      </c>
    </row>
    <row r="22" spans="1:1" ht="30">
      <c r="A22" s="268" t="s">
        <v>1456</v>
      </c>
    </row>
    <row r="23" spans="1:1" ht="30">
      <c r="A23" s="268" t="s">
        <v>1457</v>
      </c>
    </row>
    <row r="24" spans="1:1" ht="45">
      <c r="A24" s="268" t="s">
        <v>1458</v>
      </c>
    </row>
    <row r="25" spans="1:1" ht="30">
      <c r="A25" s="348" t="s">
        <v>1459</v>
      </c>
    </row>
    <row r="26" spans="1:1" ht="75">
      <c r="A26" s="348" t="s">
        <v>1460</v>
      </c>
    </row>
    <row r="27" spans="1:1" ht="30">
      <c r="A27" s="348" t="s">
        <v>1461</v>
      </c>
    </row>
    <row r="28" spans="1:1" ht="45">
      <c r="A28" s="349" t="s">
        <v>1462</v>
      </c>
    </row>
    <row r="29" spans="1:1" ht="60">
      <c r="A29" s="348" t="s">
        <v>1463</v>
      </c>
    </row>
    <row r="30" spans="1:1" ht="45">
      <c r="A30" s="267" t="s">
        <v>1464</v>
      </c>
    </row>
    <row r="31" spans="1:1" ht="90">
      <c r="A31" s="267" t="s">
        <v>1465</v>
      </c>
    </row>
  </sheetData>
  <sheetProtection algorithmName="SHA-512" hashValue="I5bC6Qqbz3kVcIy3owq34rrexgZ02JBL439XNoM7JLPGQT7PbY5lfUxcvDJ6BsKiWJsICPck6c7pN/DvyNcRMA==" saltValue="GYYidMIivxtKVU2TukRhK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CC0066"/>
  </sheetPr>
  <dimension ref="A1:V108"/>
  <sheetViews>
    <sheetView workbookViewId="0"/>
  </sheetViews>
  <sheetFormatPr defaultColWidth="0" defaultRowHeight="15" zeroHeight="1"/>
  <cols>
    <col min="1" max="1" width="3.28515625" style="26" customWidth="1"/>
    <col min="2" max="2" width="4" style="26" customWidth="1"/>
    <col min="3" max="3" width="2.7109375" style="26" customWidth="1"/>
    <col min="4" max="4" width="9.28515625" style="26" customWidth="1"/>
    <col min="5" max="5" width="10.42578125" style="26" customWidth="1"/>
    <col min="6" max="6" width="6.7109375" style="26" customWidth="1"/>
    <col min="7" max="10" width="9.28515625" style="26" customWidth="1"/>
    <col min="11" max="12" width="13.28515625" style="26" customWidth="1"/>
    <col min="13" max="18" width="13.28515625" style="26" hidden="1" customWidth="1"/>
    <col min="19" max="19" width="9.28515625" style="26" hidden="1" customWidth="1"/>
    <col min="20" max="22" width="0" style="26" hidden="1" customWidth="1"/>
    <col min="23" max="16384" width="13.28515625" style="26" hidden="1"/>
  </cols>
  <sheetData>
    <row r="1" spans="1:22" ht="26.25">
      <c r="A1" s="7" t="s">
        <v>683</v>
      </c>
      <c r="J1" s="40"/>
      <c r="K1" s="40"/>
    </row>
    <row r="2" spans="1:22" ht="26.25">
      <c r="A2" s="7"/>
      <c r="B2" s="26" t="s">
        <v>684</v>
      </c>
      <c r="F2" s="35">
        <f>P5</f>
        <v>0</v>
      </c>
      <c r="G2" s="26" t="s">
        <v>537</v>
      </c>
      <c r="I2" s="539"/>
      <c r="J2" s="539"/>
      <c r="K2" s="539"/>
      <c r="L2" s="461"/>
      <c r="O2" s="26" t="s">
        <v>342</v>
      </c>
      <c r="P2" s="26">
        <f>SUMIF(Rekenblad!$B$17:$B$31,"PV",Rekenblad!$F$17:$F$31)</f>
        <v>0</v>
      </c>
      <c r="R2" s="26" t="s">
        <v>379</v>
      </c>
      <c r="S2" s="26">
        <f>SUMIF(Rekenblad!$B$17:$B$31,"BGgrp",Rekenblad!$F$17:$F$31)</f>
        <v>0</v>
      </c>
      <c r="V2" s="35">
        <f>F5-K5</f>
        <v>0</v>
      </c>
    </row>
    <row r="3" spans="1:22" ht="26.25">
      <c r="A3" s="7"/>
      <c r="B3" s="26" t="s">
        <v>685</v>
      </c>
      <c r="F3" s="35">
        <f>S2</f>
        <v>0</v>
      </c>
      <c r="G3" s="26" t="s">
        <v>537</v>
      </c>
      <c r="I3" s="539"/>
      <c r="J3" s="539"/>
      <c r="K3" s="539"/>
      <c r="L3" s="461"/>
      <c r="O3" s="26" t="s">
        <v>343</v>
      </c>
      <c r="P3" s="26">
        <f>SUMIF(Rekenblad!$B$17:$B$31,"VP",Rekenblad!$F$17:$F$31)</f>
        <v>0</v>
      </c>
      <c r="R3" s="26" t="s">
        <v>380</v>
      </c>
      <c r="S3" s="26">
        <f>SUMIF(Rekenblad!$B$17:$B$31,"BHgrp",Rekenblad!$F$17:$F$31)</f>
        <v>0</v>
      </c>
    </row>
    <row r="4" spans="1:22" ht="26.25">
      <c r="A4" s="7"/>
      <c r="B4" s="26" t="s">
        <v>686</v>
      </c>
      <c r="F4" s="35">
        <f>S5</f>
        <v>0</v>
      </c>
      <c r="G4" s="26" t="s">
        <v>537</v>
      </c>
      <c r="I4" s="461"/>
      <c r="J4" s="461"/>
      <c r="K4" s="461"/>
      <c r="L4" s="461"/>
      <c r="O4" s="26" t="s">
        <v>378</v>
      </c>
      <c r="P4" s="26">
        <f>SUMIF(Rekenblad!$B$17:$B$31,"BGind",Rekenblad!$F$17:$F$31)</f>
        <v>0</v>
      </c>
      <c r="R4" s="26" t="s">
        <v>381</v>
      </c>
      <c r="S4" s="26">
        <f>SUMIF(Rekenblad!$B$17:$B$31,"BHind",Rekenblad!$F$17:$F$31)</f>
        <v>0</v>
      </c>
      <c r="T4" s="26">
        <f>S4/60</f>
        <v>0</v>
      </c>
      <c r="V4" s="26">
        <f>IF(V2&lt;=0,1,2)</f>
        <v>1</v>
      </c>
    </row>
    <row r="5" spans="1:22" ht="26.25">
      <c r="A5" s="7"/>
      <c r="B5" s="26" t="s">
        <v>704</v>
      </c>
      <c r="F5" s="35">
        <f>SUM(F2:F4)</f>
        <v>0</v>
      </c>
      <c r="H5" s="26" t="s">
        <v>705</v>
      </c>
      <c r="K5" s="35">
        <f>Rekenblad!EC6/7*(7-Rekenblad!I6)</f>
        <v>0</v>
      </c>
      <c r="L5" s="26" t="s">
        <v>707</v>
      </c>
      <c r="P5" s="26">
        <f>SUM(P2:P4)/60</f>
        <v>0</v>
      </c>
      <c r="S5" s="26">
        <f>T4+S3</f>
        <v>0</v>
      </c>
      <c r="V5" s="26">
        <f>IF(Rekenblad!Q24="meerzorg",5,6)</f>
        <v>6</v>
      </c>
    </row>
    <row r="6" spans="1:22">
      <c r="V6" s="26">
        <f>SUM(V4:V5)</f>
        <v>7</v>
      </c>
    </row>
    <row r="7" spans="1:22">
      <c r="A7" s="36" t="s">
        <v>687</v>
      </c>
    </row>
    <row r="8" spans="1:22">
      <c r="B8" s="37"/>
      <c r="D8" s="26" t="s">
        <v>688</v>
      </c>
      <c r="G8" s="38" t="s">
        <v>689</v>
      </c>
      <c r="N8" s="26">
        <f>IF(B8="X",1,0)</f>
        <v>0</v>
      </c>
    </row>
    <row r="9" spans="1:22">
      <c r="B9" s="37"/>
      <c r="D9" s="26" t="s">
        <v>690</v>
      </c>
      <c r="N9" s="26">
        <f>IF(B9="X",1,0)</f>
        <v>0</v>
      </c>
      <c r="Q9" s="26">
        <f>SUM(N8:N9)</f>
        <v>0</v>
      </c>
      <c r="R9" s="26" t="str">
        <f>IF(Q9=0,"X","")</f>
        <v>X</v>
      </c>
    </row>
    <row r="10" spans="1:22"/>
    <row r="11" spans="1:22"/>
    <row r="12" spans="1:22">
      <c r="A12" s="36" t="s">
        <v>691</v>
      </c>
      <c r="N12" s="26">
        <f>IF(B13="X",1,0)</f>
        <v>0</v>
      </c>
    </row>
    <row r="13" spans="1:22">
      <c r="B13" s="37"/>
      <c r="D13" s="26" t="s">
        <v>692</v>
      </c>
      <c r="N13" s="26">
        <f>IF(B14="X",1,0)</f>
        <v>0</v>
      </c>
      <c r="Q13" s="26">
        <f>SUM(N12:N14)</f>
        <v>0</v>
      </c>
      <c r="R13" s="26" t="str">
        <f>IF(Q13=0,"X","")</f>
        <v>X</v>
      </c>
    </row>
    <row r="14" spans="1:22">
      <c r="B14" s="37"/>
      <c r="D14" s="26" t="s">
        <v>693</v>
      </c>
      <c r="N14" s="26">
        <f>IF(B15="X",1,0)</f>
        <v>0</v>
      </c>
    </row>
    <row r="15" spans="1:22">
      <c r="B15" s="37"/>
      <c r="D15" s="26" t="s">
        <v>694</v>
      </c>
    </row>
    <row r="16" spans="1:22"/>
    <row r="17" spans="1:19"/>
    <row r="18" spans="1:19">
      <c r="A18" s="36" t="s">
        <v>695</v>
      </c>
      <c r="S18" s="26">
        <v>0</v>
      </c>
    </row>
    <row r="19" spans="1:19">
      <c r="B19" s="449"/>
      <c r="C19" s="449"/>
      <c r="D19" s="449"/>
      <c r="E19" s="449"/>
      <c r="F19" s="449"/>
      <c r="G19" s="449"/>
      <c r="H19" s="449"/>
      <c r="I19" s="449"/>
      <c r="J19" s="449"/>
      <c r="K19" s="449"/>
      <c r="S19" s="26">
        <v>1</v>
      </c>
    </row>
    <row r="20" spans="1:19">
      <c r="B20" s="449"/>
      <c r="C20" s="449"/>
      <c r="D20" s="449"/>
      <c r="E20" s="449"/>
      <c r="F20" s="449"/>
      <c r="G20" s="449"/>
      <c r="H20" s="449"/>
      <c r="I20" s="449"/>
      <c r="J20" s="449"/>
      <c r="K20" s="449"/>
      <c r="S20" s="26">
        <f>Q9</f>
        <v>0</v>
      </c>
    </row>
    <row r="21" spans="1:19">
      <c r="B21" s="449"/>
      <c r="C21" s="449"/>
      <c r="D21" s="449"/>
      <c r="E21" s="449"/>
      <c r="F21" s="449"/>
      <c r="G21" s="449"/>
      <c r="H21" s="449"/>
      <c r="I21" s="449"/>
      <c r="J21" s="449"/>
      <c r="K21" s="449"/>
      <c r="S21" s="26">
        <f>SUM(S18:S20)</f>
        <v>1</v>
      </c>
    </row>
    <row r="22" spans="1:19">
      <c r="B22" s="449"/>
      <c r="C22" s="449"/>
      <c r="D22" s="449"/>
      <c r="E22" s="449"/>
      <c r="F22" s="449"/>
      <c r="G22" s="449"/>
      <c r="H22" s="449"/>
      <c r="I22" s="449"/>
      <c r="J22" s="449"/>
      <c r="K22" s="449"/>
    </row>
    <row r="23" spans="1:19">
      <c r="B23" s="449"/>
      <c r="C23" s="449"/>
      <c r="D23" s="449"/>
      <c r="E23" s="449"/>
      <c r="F23" s="449"/>
      <c r="G23" s="449"/>
      <c r="H23" s="449"/>
      <c r="I23" s="449"/>
      <c r="J23" s="449"/>
      <c r="K23" s="449"/>
    </row>
    <row r="24" spans="1:19">
      <c r="B24" s="449"/>
      <c r="C24" s="449"/>
      <c r="D24" s="449"/>
      <c r="E24" s="449"/>
      <c r="F24" s="449"/>
      <c r="G24" s="449"/>
      <c r="H24" s="449"/>
      <c r="I24" s="449"/>
      <c r="J24" s="449"/>
      <c r="K24" s="449"/>
    </row>
    <row r="25" spans="1:19">
      <c r="B25" s="449"/>
      <c r="C25" s="449"/>
      <c r="D25" s="449"/>
      <c r="E25" s="449"/>
      <c r="F25" s="449"/>
      <c r="G25" s="449"/>
      <c r="H25" s="449"/>
      <c r="I25" s="449"/>
      <c r="J25" s="449"/>
      <c r="K25" s="449"/>
    </row>
    <row r="26" spans="1:19">
      <c r="B26" s="449"/>
      <c r="C26" s="449"/>
      <c r="D26" s="449"/>
      <c r="E26" s="449"/>
      <c r="F26" s="449"/>
      <c r="G26" s="449"/>
      <c r="H26" s="449"/>
      <c r="I26" s="449"/>
      <c r="J26" s="449"/>
      <c r="K26" s="449"/>
    </row>
    <row r="27" spans="1:19">
      <c r="B27" s="449"/>
      <c r="C27" s="449"/>
      <c r="D27" s="449"/>
      <c r="E27" s="449"/>
      <c r="F27" s="449"/>
      <c r="G27" s="449"/>
      <c r="H27" s="449"/>
      <c r="I27" s="449"/>
      <c r="J27" s="449"/>
      <c r="K27" s="449"/>
    </row>
    <row r="28" spans="1:19">
      <c r="B28" s="449"/>
      <c r="C28" s="449"/>
      <c r="D28" s="449"/>
      <c r="E28" s="449"/>
      <c r="F28" s="449"/>
      <c r="G28" s="449"/>
      <c r="H28" s="449"/>
      <c r="I28" s="449"/>
      <c r="J28" s="449"/>
      <c r="K28" s="449"/>
    </row>
    <row r="29" spans="1:19">
      <c r="B29" s="449"/>
      <c r="C29" s="449"/>
      <c r="D29" s="449"/>
      <c r="E29" s="449"/>
      <c r="F29" s="449"/>
      <c r="G29" s="449"/>
      <c r="H29" s="449"/>
      <c r="I29" s="449"/>
      <c r="J29" s="449"/>
      <c r="K29" s="449"/>
    </row>
    <row r="30" spans="1:19">
      <c r="B30" s="449"/>
      <c r="C30" s="449"/>
      <c r="D30" s="449"/>
      <c r="E30" s="449"/>
      <c r="F30" s="449"/>
      <c r="G30" s="449"/>
      <c r="H30" s="449"/>
      <c r="I30" s="449"/>
      <c r="J30" s="449"/>
      <c r="K30" s="449"/>
    </row>
    <row r="31" spans="1:19">
      <c r="B31" s="449"/>
      <c r="C31" s="449"/>
      <c r="D31" s="449"/>
      <c r="E31" s="449"/>
      <c r="F31" s="449"/>
      <c r="G31" s="449"/>
      <c r="H31" s="449"/>
      <c r="I31" s="449"/>
      <c r="J31" s="449"/>
      <c r="K31" s="449"/>
    </row>
    <row r="32" spans="1:19">
      <c r="B32" s="449"/>
      <c r="C32" s="449"/>
      <c r="D32" s="449"/>
      <c r="E32" s="449"/>
      <c r="F32" s="449"/>
      <c r="G32" s="449"/>
      <c r="H32" s="449"/>
      <c r="I32" s="449"/>
      <c r="J32" s="449"/>
      <c r="K32" s="449"/>
    </row>
    <row r="33" spans="1:11">
      <c r="B33" s="449"/>
      <c r="C33" s="449"/>
      <c r="D33" s="449"/>
      <c r="E33" s="449"/>
      <c r="F33" s="449"/>
      <c r="G33" s="449"/>
      <c r="H33" s="449"/>
      <c r="I33" s="449"/>
      <c r="J33" s="449"/>
      <c r="K33" s="449"/>
    </row>
    <row r="34" spans="1:11"/>
    <row r="35" spans="1:11">
      <c r="A35" s="26" t="s">
        <v>696</v>
      </c>
    </row>
    <row r="36" spans="1:11">
      <c r="B36" s="449"/>
      <c r="C36" s="449"/>
      <c r="D36" s="449"/>
      <c r="E36" s="449"/>
      <c r="F36" s="449"/>
      <c r="G36" s="449"/>
      <c r="H36" s="449"/>
      <c r="I36" s="449"/>
      <c r="J36" s="449"/>
      <c r="K36" s="449"/>
    </row>
    <row r="37" spans="1:11">
      <c r="B37" s="449"/>
      <c r="C37" s="449"/>
      <c r="D37" s="449"/>
      <c r="E37" s="449"/>
      <c r="F37" s="449"/>
      <c r="G37" s="449"/>
      <c r="H37" s="449"/>
      <c r="I37" s="449"/>
      <c r="J37" s="449"/>
      <c r="K37" s="449"/>
    </row>
    <row r="38" spans="1:11">
      <c r="B38" s="449"/>
      <c r="C38" s="449"/>
      <c r="D38" s="449"/>
      <c r="E38" s="449"/>
      <c r="F38" s="449"/>
      <c r="G38" s="449"/>
      <c r="H38" s="449"/>
      <c r="I38" s="449"/>
      <c r="J38" s="449"/>
      <c r="K38" s="449"/>
    </row>
    <row r="39" spans="1:11">
      <c r="B39" s="449"/>
      <c r="C39" s="449"/>
      <c r="D39" s="449"/>
      <c r="E39" s="449"/>
      <c r="F39" s="449"/>
      <c r="G39" s="449"/>
      <c r="H39" s="449"/>
      <c r="I39" s="449"/>
      <c r="J39" s="449"/>
      <c r="K39" s="449"/>
    </row>
    <row r="40" spans="1:11">
      <c r="B40" s="449"/>
      <c r="C40" s="449"/>
      <c r="D40" s="449"/>
      <c r="E40" s="449"/>
      <c r="F40" s="449"/>
      <c r="G40" s="449"/>
      <c r="H40" s="449"/>
      <c r="I40" s="449"/>
      <c r="J40" s="449"/>
      <c r="K40" s="449"/>
    </row>
    <row r="41" spans="1:11">
      <c r="B41" s="449"/>
      <c r="C41" s="449"/>
      <c r="D41" s="449"/>
      <c r="E41" s="449"/>
      <c r="F41" s="449"/>
      <c r="G41" s="449"/>
      <c r="H41" s="449"/>
      <c r="I41" s="449"/>
      <c r="J41" s="449"/>
      <c r="K41" s="449"/>
    </row>
    <row r="42" spans="1:11">
      <c r="B42" s="449"/>
      <c r="C42" s="449"/>
      <c r="D42" s="449"/>
      <c r="E42" s="449"/>
      <c r="F42" s="449"/>
      <c r="G42" s="449"/>
      <c r="H42" s="449"/>
      <c r="I42" s="449"/>
      <c r="J42" s="449"/>
      <c r="K42" s="449"/>
    </row>
    <row r="43" spans="1:11">
      <c r="B43" s="449"/>
      <c r="C43" s="449"/>
      <c r="D43" s="449"/>
      <c r="E43" s="449"/>
      <c r="F43" s="449"/>
      <c r="G43" s="449"/>
      <c r="H43" s="449"/>
      <c r="I43" s="449"/>
      <c r="J43" s="449"/>
      <c r="K43" s="449"/>
    </row>
    <row r="44" spans="1:11">
      <c r="B44" s="449"/>
      <c r="C44" s="449"/>
      <c r="D44" s="449"/>
      <c r="E44" s="449"/>
      <c r="F44" s="449"/>
      <c r="G44" s="449"/>
      <c r="H44" s="449"/>
      <c r="I44" s="449"/>
      <c r="J44" s="449"/>
      <c r="K44" s="449"/>
    </row>
    <row r="45" spans="1:11">
      <c r="B45" s="449"/>
      <c r="C45" s="449"/>
      <c r="D45" s="449"/>
      <c r="E45" s="449"/>
      <c r="F45" s="449"/>
      <c r="G45" s="449"/>
      <c r="H45" s="449"/>
      <c r="I45" s="449"/>
      <c r="J45" s="449"/>
      <c r="K45" s="449"/>
    </row>
    <row r="46" spans="1:11">
      <c r="B46" s="449"/>
      <c r="C46" s="449"/>
      <c r="D46" s="449"/>
      <c r="E46" s="449"/>
      <c r="F46" s="449"/>
      <c r="G46" s="449"/>
      <c r="H46" s="449"/>
      <c r="I46" s="449"/>
      <c r="J46" s="449"/>
      <c r="K46" s="449"/>
    </row>
    <row r="47" spans="1:11">
      <c r="B47" s="449"/>
      <c r="C47" s="449"/>
      <c r="D47" s="449"/>
      <c r="E47" s="449"/>
      <c r="F47" s="449"/>
      <c r="G47" s="449"/>
      <c r="H47" s="449"/>
      <c r="I47" s="449"/>
      <c r="J47" s="449"/>
      <c r="K47" s="449"/>
    </row>
    <row r="48" spans="1:11">
      <c r="B48" s="449"/>
      <c r="C48" s="449"/>
      <c r="D48" s="449"/>
      <c r="E48" s="449"/>
      <c r="F48" s="449"/>
      <c r="G48" s="449"/>
      <c r="H48" s="449"/>
      <c r="I48" s="449"/>
      <c r="J48" s="449"/>
      <c r="K48" s="449"/>
    </row>
    <row r="49" spans="1:11"/>
    <row r="50" spans="1:11"/>
    <row r="51" spans="1:11"/>
    <row r="52" spans="1:11"/>
    <row r="53" spans="1:11"/>
    <row r="54" spans="1:11">
      <c r="A54" s="36" t="s">
        <v>697</v>
      </c>
    </row>
    <row r="55" spans="1:11">
      <c r="B55" s="449"/>
      <c r="C55" s="449"/>
      <c r="D55" s="449"/>
      <c r="E55" s="449"/>
      <c r="F55" s="449"/>
      <c r="G55" s="449"/>
      <c r="H55" s="449"/>
      <c r="I55" s="449"/>
      <c r="J55" s="449"/>
      <c r="K55" s="449"/>
    </row>
    <row r="56" spans="1:11">
      <c r="B56" s="449"/>
      <c r="C56" s="449"/>
      <c r="D56" s="449"/>
      <c r="E56" s="449"/>
      <c r="F56" s="449"/>
      <c r="G56" s="449"/>
      <c r="H56" s="449"/>
      <c r="I56" s="449"/>
      <c r="J56" s="449"/>
      <c r="K56" s="449"/>
    </row>
    <row r="57" spans="1:11">
      <c r="B57" s="449"/>
      <c r="C57" s="449"/>
      <c r="D57" s="449"/>
      <c r="E57" s="449"/>
      <c r="F57" s="449"/>
      <c r="G57" s="449"/>
      <c r="H57" s="449"/>
      <c r="I57" s="449"/>
      <c r="J57" s="449"/>
      <c r="K57" s="449"/>
    </row>
    <row r="58" spans="1:11">
      <c r="B58" s="449"/>
      <c r="C58" s="449"/>
      <c r="D58" s="449"/>
      <c r="E58" s="449"/>
      <c r="F58" s="449"/>
      <c r="G58" s="449"/>
      <c r="H58" s="449"/>
      <c r="I58" s="449"/>
      <c r="J58" s="449"/>
      <c r="K58" s="449"/>
    </row>
    <row r="59" spans="1:11">
      <c r="B59" s="449"/>
      <c r="C59" s="449"/>
      <c r="D59" s="449"/>
      <c r="E59" s="449"/>
      <c r="F59" s="449"/>
      <c r="G59" s="449"/>
      <c r="H59" s="449"/>
      <c r="I59" s="449"/>
      <c r="J59" s="449"/>
      <c r="K59" s="449"/>
    </row>
    <row r="60" spans="1:11">
      <c r="B60" s="449"/>
      <c r="C60" s="449"/>
      <c r="D60" s="449"/>
      <c r="E60" s="449"/>
      <c r="F60" s="449"/>
      <c r="G60" s="449"/>
      <c r="H60" s="449"/>
      <c r="I60" s="449"/>
      <c r="J60" s="449"/>
      <c r="K60" s="449"/>
    </row>
    <row r="61" spans="1:11">
      <c r="B61" s="449"/>
      <c r="C61" s="449"/>
      <c r="D61" s="449"/>
      <c r="E61" s="449"/>
      <c r="F61" s="449"/>
      <c r="G61" s="449"/>
      <c r="H61" s="449"/>
      <c r="I61" s="449"/>
      <c r="J61" s="449"/>
      <c r="K61" s="449"/>
    </row>
    <row r="62" spans="1:11">
      <c r="B62" s="449"/>
      <c r="C62" s="449"/>
      <c r="D62" s="449"/>
      <c r="E62" s="449"/>
      <c r="F62" s="449"/>
      <c r="G62" s="449"/>
      <c r="H62" s="449"/>
      <c r="I62" s="449"/>
      <c r="J62" s="449"/>
      <c r="K62" s="449"/>
    </row>
    <row r="63" spans="1:11">
      <c r="B63" s="449"/>
      <c r="C63" s="449"/>
      <c r="D63" s="449"/>
      <c r="E63" s="449"/>
      <c r="F63" s="449"/>
      <c r="G63" s="449"/>
      <c r="H63" s="449"/>
      <c r="I63" s="449"/>
      <c r="J63" s="449"/>
      <c r="K63" s="449"/>
    </row>
    <row r="64" spans="1:11">
      <c r="B64" s="449"/>
      <c r="C64" s="449"/>
      <c r="D64" s="449"/>
      <c r="E64" s="449"/>
      <c r="F64" s="449"/>
      <c r="G64" s="449"/>
      <c r="H64" s="449"/>
      <c r="I64" s="449"/>
      <c r="J64" s="449"/>
      <c r="K64" s="449"/>
    </row>
    <row r="65" spans="2:11">
      <c r="B65" s="449"/>
      <c r="C65" s="449"/>
      <c r="D65" s="449"/>
      <c r="E65" s="449"/>
      <c r="F65" s="449"/>
      <c r="G65" s="449"/>
      <c r="H65" s="449"/>
      <c r="I65" s="449"/>
      <c r="J65" s="449"/>
      <c r="K65" s="449"/>
    </row>
    <row r="66" spans="2:11">
      <c r="B66" s="449"/>
      <c r="C66" s="449"/>
      <c r="D66" s="449"/>
      <c r="E66" s="449"/>
      <c r="F66" s="449"/>
      <c r="G66" s="449"/>
      <c r="H66" s="449"/>
      <c r="I66" s="449"/>
      <c r="J66" s="449"/>
      <c r="K66" s="449"/>
    </row>
    <row r="67" spans="2:11">
      <c r="B67" s="449"/>
      <c r="C67" s="449"/>
      <c r="D67" s="449"/>
      <c r="E67" s="449"/>
      <c r="F67" s="449"/>
      <c r="G67" s="449"/>
      <c r="H67" s="449"/>
      <c r="I67" s="449"/>
      <c r="J67" s="449"/>
      <c r="K67" s="449"/>
    </row>
    <row r="68" spans="2:11">
      <c r="B68" s="449"/>
      <c r="C68" s="449"/>
      <c r="D68" s="449"/>
      <c r="E68" s="449"/>
      <c r="F68" s="449"/>
      <c r="G68" s="449"/>
      <c r="H68" s="449"/>
      <c r="I68" s="449"/>
      <c r="J68" s="449"/>
      <c r="K68" s="449"/>
    </row>
    <row r="69" spans="2:11"/>
    <row r="70" spans="2:11"/>
    <row r="71" spans="2:11"/>
    <row r="72" spans="2:11"/>
    <row r="73" spans="2:11"/>
    <row r="74" spans="2:11"/>
    <row r="75" spans="2:11"/>
    <row r="76" spans="2:11"/>
    <row r="77" spans="2:11"/>
    <row r="78" spans="2:11"/>
    <row r="79" spans="2:11"/>
    <row r="80" spans="2:11"/>
    <row r="81"/>
    <row r="82"/>
    <row r="83"/>
    <row r="84"/>
    <row r="85"/>
    <row r="86"/>
    <row r="87"/>
    <row r="88"/>
    <row r="89"/>
    <row r="90"/>
    <row r="91"/>
    <row r="92"/>
    <row r="93"/>
    <row r="94"/>
    <row r="95"/>
    <row r="96"/>
    <row r="97" spans="6:6"/>
    <row r="98" spans="6:6"/>
    <row r="99" spans="6:6"/>
    <row r="100" spans="6:6"/>
    <row r="101" spans="6:6"/>
    <row r="102" spans="6:6"/>
    <row r="103" spans="6:6"/>
    <row r="108" spans="6:6" hidden="1">
      <c r="F108" s="26" t="s">
        <v>698</v>
      </c>
    </row>
  </sheetData>
  <sheetProtection algorithmName="SHA-512" hashValue="a/PXT1+vd90UTvCLllxdyDbA/0blL6kTXCtZDtdLIeQT1sXalNsUPsvqQlbfZpAdnjyP/xeMjW14AkRg4/z7Kw==" saltValue="ugr/vWjb4j+cp599GhSBdQ=="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disablePrompts="1" count="2">
    <dataValidation type="list" allowBlank="1" showInputMessage="1" showErrorMessage="1" sqref="B13:B15">
      <formula1>$R$13</formula1>
    </dataValidation>
    <dataValidation type="list" allowBlank="1" showInputMessage="1" showErrorMessage="1" sqref="B8:B9">
      <formula1>$R$9</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T53"/>
  <sheetViews>
    <sheetView zoomScaleNormal="100" workbookViewId="0">
      <selection activeCell="G2" sqref="G2"/>
    </sheetView>
  </sheetViews>
  <sheetFormatPr defaultColWidth="9.28515625" defaultRowHeight="15"/>
  <cols>
    <col min="1" max="1" width="11.28515625" style="363" customWidth="1"/>
    <col min="2" max="2" width="11.28515625" style="366" customWidth="1"/>
    <col min="3" max="3" width="11.28515625" style="392" customWidth="1"/>
    <col min="4" max="4" width="11.5703125" style="392" bestFit="1" customWidth="1"/>
    <col min="5" max="5" width="11.28515625" style="333" customWidth="1"/>
    <col min="6" max="8" width="11.28515625" style="392" customWidth="1"/>
    <col min="9" max="9" width="15.7109375" style="392" bestFit="1" customWidth="1"/>
    <col min="10" max="11" width="12.140625" style="360" bestFit="1" customWidth="1"/>
    <col min="12" max="12" width="11.28515625" style="392" customWidth="1"/>
    <col min="13" max="13" width="15" style="2" bestFit="1" customWidth="1"/>
    <col min="14" max="14" width="11.28515625" style="392" hidden="1" customWidth="1"/>
    <col min="15" max="15" width="17.85546875" style="2" bestFit="1" customWidth="1"/>
    <col min="16" max="16" width="11.7109375" style="2" bestFit="1" customWidth="1"/>
    <col min="17" max="17" width="9.28515625" style="2"/>
    <col min="18" max="18" width="9.28515625" style="392"/>
    <col min="19" max="19" width="12.42578125" style="392" bestFit="1" customWidth="1"/>
    <col min="20" max="20" width="10.7109375" style="392" bestFit="1" customWidth="1"/>
    <col min="21" max="16384" width="9.28515625" style="392"/>
  </cols>
  <sheetData>
    <row r="1" spans="1:20">
      <c r="A1" s="373" t="s">
        <v>1747</v>
      </c>
    </row>
    <row r="3" spans="1:20">
      <c r="A3" s="364" t="s">
        <v>298</v>
      </c>
      <c r="B3" s="367" t="s">
        <v>298</v>
      </c>
      <c r="C3" s="27"/>
      <c r="D3" s="27"/>
      <c r="E3" s="334"/>
      <c r="F3" s="27"/>
      <c r="G3" s="29"/>
      <c r="H3" s="27"/>
      <c r="I3" s="369"/>
      <c r="J3" s="369"/>
      <c r="K3" s="369"/>
      <c r="L3" s="29"/>
      <c r="M3" s="320" t="s">
        <v>1216</v>
      </c>
      <c r="N3" s="1"/>
      <c r="O3" s="408" t="s">
        <v>1217</v>
      </c>
    </row>
    <row r="4" spans="1:20">
      <c r="A4" s="364"/>
      <c r="B4" s="367" t="s">
        <v>346</v>
      </c>
      <c r="C4" s="27"/>
      <c r="D4" s="27"/>
      <c r="E4" s="334"/>
      <c r="F4" s="27"/>
      <c r="G4" s="29"/>
      <c r="H4" s="27"/>
      <c r="I4" s="369"/>
      <c r="J4" s="369"/>
      <c r="K4" s="369"/>
      <c r="L4" s="29"/>
      <c r="M4" s="369"/>
      <c r="N4" s="1"/>
      <c r="O4" s="409"/>
    </row>
    <row r="5" spans="1:20">
      <c r="A5" s="365"/>
      <c r="B5" s="368"/>
      <c r="C5" s="28"/>
      <c r="D5" s="28"/>
      <c r="E5" s="335"/>
      <c r="F5" s="28"/>
      <c r="G5" s="30"/>
      <c r="H5" s="28"/>
      <c r="I5" s="370"/>
      <c r="J5" s="370"/>
      <c r="K5" s="370"/>
      <c r="L5" s="29"/>
      <c r="M5" s="370"/>
      <c r="N5" s="1"/>
      <c r="O5" s="409"/>
    </row>
    <row r="6" spans="1:20" ht="15.75" thickBot="1">
      <c r="A6" s="410" t="s">
        <v>618</v>
      </c>
      <c r="B6" s="411"/>
      <c r="C6" s="412" t="s">
        <v>378</v>
      </c>
      <c r="D6" s="412" t="s">
        <v>300</v>
      </c>
      <c r="E6" s="413" t="s">
        <v>1748</v>
      </c>
      <c r="F6" s="412" t="s">
        <v>1749</v>
      </c>
      <c r="G6" s="414" t="s">
        <v>1750</v>
      </c>
      <c r="H6" s="412"/>
      <c r="I6" s="415" t="s">
        <v>1751</v>
      </c>
      <c r="J6" s="415"/>
      <c r="K6" s="415"/>
      <c r="L6" s="414"/>
      <c r="M6" s="415"/>
      <c r="N6" s="374"/>
      <c r="O6" s="416"/>
    </row>
    <row r="7" spans="1:20">
      <c r="A7" s="417" t="s">
        <v>317</v>
      </c>
      <c r="B7" s="418">
        <v>750</v>
      </c>
      <c r="C7" s="419">
        <v>7477</v>
      </c>
      <c r="D7" s="420">
        <v>0</v>
      </c>
      <c r="E7" s="419">
        <v>4212</v>
      </c>
      <c r="F7" s="419">
        <v>4825</v>
      </c>
      <c r="G7" s="419">
        <v>1878</v>
      </c>
      <c r="H7" s="419"/>
      <c r="I7" s="419">
        <v>18392</v>
      </c>
      <c r="J7" s="421"/>
      <c r="K7" s="421"/>
      <c r="L7" s="421"/>
      <c r="M7" s="419">
        <f t="shared" ref="M7:M51" si="0">I7</f>
        <v>18392</v>
      </c>
      <c r="N7" s="375"/>
      <c r="O7" s="422">
        <f t="shared" ref="O7:O51" si="1">M7/365*7</f>
        <v>352.72328767123287</v>
      </c>
      <c r="P7" s="387"/>
      <c r="Q7" s="387"/>
      <c r="R7" s="388"/>
      <c r="S7" s="387"/>
      <c r="T7" s="387"/>
    </row>
    <row r="8" spans="1:20">
      <c r="A8" s="423" t="s">
        <v>318</v>
      </c>
      <c r="B8" s="424">
        <v>751</v>
      </c>
      <c r="C8" s="425">
        <v>2493</v>
      </c>
      <c r="D8" s="425">
        <v>0</v>
      </c>
      <c r="E8" s="425">
        <v>4212</v>
      </c>
      <c r="F8" s="425">
        <v>9648</v>
      </c>
      <c r="G8" s="425">
        <v>10314</v>
      </c>
      <c r="H8" s="425"/>
      <c r="I8" s="425">
        <v>26667</v>
      </c>
      <c r="J8" s="426"/>
      <c r="K8" s="426"/>
      <c r="L8" s="426"/>
      <c r="M8" s="425">
        <f t="shared" si="0"/>
        <v>26667</v>
      </c>
      <c r="N8" s="376"/>
      <c r="O8" s="427">
        <f t="shared" si="1"/>
        <v>511.42191780821918</v>
      </c>
      <c r="P8" s="387"/>
      <c r="Q8" s="387"/>
      <c r="R8" s="388"/>
      <c r="S8" s="387"/>
      <c r="T8" s="387"/>
    </row>
    <row r="9" spans="1:20">
      <c r="A9" s="417" t="s">
        <v>319</v>
      </c>
      <c r="B9" s="418">
        <v>752</v>
      </c>
      <c r="C9" s="419">
        <v>7477</v>
      </c>
      <c r="D9" s="420">
        <v>0</v>
      </c>
      <c r="E9" s="419">
        <v>4212</v>
      </c>
      <c r="F9" s="419">
        <v>4825</v>
      </c>
      <c r="G9" s="419">
        <v>15949</v>
      </c>
      <c r="H9" s="419"/>
      <c r="I9" s="419">
        <v>32463</v>
      </c>
      <c r="J9" s="421"/>
      <c r="K9" s="421"/>
      <c r="L9" s="421"/>
      <c r="M9" s="419">
        <f t="shared" si="0"/>
        <v>32463</v>
      </c>
      <c r="N9" s="377"/>
      <c r="O9" s="422">
        <f t="shared" si="1"/>
        <v>622.57808219178082</v>
      </c>
      <c r="P9" s="387"/>
      <c r="Q9" s="387"/>
      <c r="R9" s="388"/>
      <c r="S9" s="387"/>
      <c r="T9" s="387"/>
    </row>
    <row r="10" spans="1:20">
      <c r="A10" s="423" t="s">
        <v>320</v>
      </c>
      <c r="B10" s="424">
        <v>753</v>
      </c>
      <c r="C10" s="425">
        <v>13685</v>
      </c>
      <c r="D10" s="425">
        <v>0</v>
      </c>
      <c r="E10" s="425">
        <v>4212</v>
      </c>
      <c r="F10" s="425">
        <v>9648</v>
      </c>
      <c r="G10" s="425">
        <v>15949</v>
      </c>
      <c r="H10" s="425"/>
      <c r="I10" s="425">
        <v>43494</v>
      </c>
      <c r="J10" s="426"/>
      <c r="K10" s="426"/>
      <c r="L10" s="426"/>
      <c r="M10" s="425">
        <f t="shared" si="0"/>
        <v>43494</v>
      </c>
      <c r="N10" s="376"/>
      <c r="O10" s="427">
        <f t="shared" si="1"/>
        <v>834.13150684931509</v>
      </c>
      <c r="P10" s="387"/>
      <c r="Q10" s="387"/>
      <c r="R10" s="388"/>
      <c r="S10" s="387"/>
      <c r="T10" s="387"/>
    </row>
    <row r="11" spans="1:20">
      <c r="A11" s="417" t="s">
        <v>321</v>
      </c>
      <c r="B11" s="418">
        <v>754</v>
      </c>
      <c r="C11" s="419">
        <v>21162</v>
      </c>
      <c r="D11" s="420">
        <v>0</v>
      </c>
      <c r="E11" s="419">
        <v>4212</v>
      </c>
      <c r="F11" s="419">
        <v>17690</v>
      </c>
      <c r="G11" s="419">
        <v>15949</v>
      </c>
      <c r="H11" s="419"/>
      <c r="I11" s="419">
        <v>59013</v>
      </c>
      <c r="J11" s="421"/>
      <c r="K11" s="421"/>
      <c r="L11" s="421"/>
      <c r="M11" s="419">
        <f t="shared" si="0"/>
        <v>59013</v>
      </c>
      <c r="N11" s="377"/>
      <c r="O11" s="422">
        <f t="shared" si="1"/>
        <v>1131.7561643835616</v>
      </c>
      <c r="P11" s="387"/>
      <c r="Q11" s="387"/>
      <c r="R11" s="388"/>
      <c r="S11" s="387"/>
      <c r="T11" s="387"/>
    </row>
    <row r="12" spans="1:20">
      <c r="A12" s="423" t="s">
        <v>322</v>
      </c>
      <c r="B12" s="424">
        <v>755</v>
      </c>
      <c r="C12" s="425">
        <v>21162</v>
      </c>
      <c r="D12" s="425">
        <v>0</v>
      </c>
      <c r="E12" s="425">
        <v>4212</v>
      </c>
      <c r="F12" s="425">
        <v>17690</v>
      </c>
      <c r="G12" s="425">
        <v>15949</v>
      </c>
      <c r="H12" s="425"/>
      <c r="I12" s="425">
        <v>59013</v>
      </c>
      <c r="J12" s="426"/>
      <c r="K12" s="426"/>
      <c r="L12" s="426"/>
      <c r="M12" s="425">
        <f t="shared" si="0"/>
        <v>59013</v>
      </c>
      <c r="N12" s="376"/>
      <c r="O12" s="427">
        <f t="shared" si="1"/>
        <v>1131.7561643835616</v>
      </c>
      <c r="P12" s="387"/>
      <c r="Q12" s="387"/>
      <c r="R12" s="388"/>
      <c r="S12" s="387"/>
      <c r="T12" s="387"/>
    </row>
    <row r="13" spans="1:20">
      <c r="A13" s="417" t="s">
        <v>323</v>
      </c>
      <c r="B13" s="418">
        <v>756</v>
      </c>
      <c r="C13" s="419">
        <v>36071</v>
      </c>
      <c r="D13" s="420">
        <v>0</v>
      </c>
      <c r="E13" s="419">
        <v>4212</v>
      </c>
      <c r="F13" s="419">
        <v>17690</v>
      </c>
      <c r="G13" s="419">
        <v>15949</v>
      </c>
      <c r="H13" s="419"/>
      <c r="I13" s="419">
        <v>73922</v>
      </c>
      <c r="J13" s="421"/>
      <c r="K13" s="421"/>
      <c r="L13" s="421"/>
      <c r="M13" s="419">
        <f t="shared" si="0"/>
        <v>73922</v>
      </c>
      <c r="N13" s="377"/>
      <c r="O13" s="422">
        <f t="shared" si="1"/>
        <v>1417.6821917808218</v>
      </c>
      <c r="P13" s="387"/>
      <c r="Q13" s="387"/>
      <c r="R13" s="388"/>
      <c r="S13" s="387"/>
      <c r="T13" s="387"/>
    </row>
    <row r="14" spans="1:20">
      <c r="A14" s="423" t="s">
        <v>324</v>
      </c>
      <c r="B14" s="424">
        <v>757</v>
      </c>
      <c r="C14" s="425">
        <v>44771</v>
      </c>
      <c r="D14" s="425">
        <v>0</v>
      </c>
      <c r="E14" s="425">
        <v>4212</v>
      </c>
      <c r="F14" s="425">
        <v>17690</v>
      </c>
      <c r="G14" s="425">
        <v>21551</v>
      </c>
      <c r="H14" s="425"/>
      <c r="I14" s="425">
        <v>88224</v>
      </c>
      <c r="J14" s="426"/>
      <c r="K14" s="426"/>
      <c r="L14" s="426"/>
      <c r="M14" s="425">
        <f t="shared" si="0"/>
        <v>88224</v>
      </c>
      <c r="N14" s="376"/>
      <c r="O14" s="427">
        <f t="shared" si="1"/>
        <v>1691.9671232876713</v>
      </c>
      <c r="P14" s="387"/>
      <c r="Q14" s="387"/>
      <c r="R14" s="388"/>
      <c r="S14" s="387"/>
      <c r="T14" s="387"/>
    </row>
    <row r="15" spans="1:20">
      <c r="A15" s="428" t="s">
        <v>325</v>
      </c>
      <c r="B15" s="418">
        <v>191</v>
      </c>
      <c r="C15" s="419"/>
      <c r="D15" s="420">
        <v>0</v>
      </c>
      <c r="E15" s="419"/>
      <c r="F15" s="419"/>
      <c r="G15" s="419"/>
      <c r="H15" s="419"/>
      <c r="I15" s="429">
        <v>56574</v>
      </c>
      <c r="J15" s="421"/>
      <c r="K15" s="421"/>
      <c r="L15" s="421"/>
      <c r="M15" s="419">
        <f t="shared" si="0"/>
        <v>56574</v>
      </c>
      <c r="N15" s="377"/>
      <c r="O15" s="422">
        <f t="shared" si="1"/>
        <v>1084.9808219178083</v>
      </c>
      <c r="P15" s="387"/>
      <c r="Q15" s="387"/>
      <c r="R15" s="388"/>
      <c r="S15" s="387"/>
      <c r="T15" s="387"/>
    </row>
    <row r="16" spans="1:20">
      <c r="A16" s="423" t="s">
        <v>326</v>
      </c>
      <c r="B16" s="424">
        <v>759</v>
      </c>
      <c r="C16" s="425"/>
      <c r="D16" s="425">
        <v>0</v>
      </c>
      <c r="E16" s="425"/>
      <c r="F16" s="425"/>
      <c r="G16" s="425"/>
      <c r="H16" s="425"/>
      <c r="I16" s="430">
        <v>96108</v>
      </c>
      <c r="J16" s="426"/>
      <c r="K16" s="426"/>
      <c r="L16" s="426"/>
      <c r="M16" s="425">
        <f t="shared" si="0"/>
        <v>96108</v>
      </c>
      <c r="N16" s="376"/>
      <c r="O16" s="427">
        <f t="shared" si="1"/>
        <v>1843.1671232876711</v>
      </c>
      <c r="P16" s="387"/>
      <c r="Q16" s="387"/>
      <c r="R16" s="388"/>
      <c r="S16" s="387"/>
      <c r="T16" s="387"/>
    </row>
    <row r="17" spans="1:20">
      <c r="A17" s="428" t="s">
        <v>1467</v>
      </c>
      <c r="B17" s="431">
        <v>880</v>
      </c>
      <c r="C17" s="419">
        <v>28593</v>
      </c>
      <c r="D17" s="420">
        <v>13769</v>
      </c>
      <c r="E17" s="419">
        <v>4212</v>
      </c>
      <c r="F17" s="419">
        <v>1607</v>
      </c>
      <c r="G17" s="419">
        <v>1878</v>
      </c>
      <c r="H17" s="419"/>
      <c r="I17" s="419">
        <v>50059</v>
      </c>
      <c r="J17" s="421"/>
      <c r="K17" s="421"/>
      <c r="L17" s="421"/>
      <c r="M17" s="419">
        <f t="shared" si="0"/>
        <v>50059</v>
      </c>
      <c r="N17" s="377"/>
      <c r="O17" s="422">
        <f t="shared" si="1"/>
        <v>960.03561643835621</v>
      </c>
      <c r="P17" s="387"/>
      <c r="Q17" s="387"/>
      <c r="R17" s="388"/>
      <c r="S17" s="387"/>
      <c r="T17" s="387"/>
    </row>
    <row r="18" spans="1:20">
      <c r="A18" s="423" t="s">
        <v>1468</v>
      </c>
      <c r="B18" s="432">
        <v>882</v>
      </c>
      <c r="C18" s="425">
        <v>21162</v>
      </c>
      <c r="D18" s="425">
        <v>13769</v>
      </c>
      <c r="E18" s="425">
        <v>4212</v>
      </c>
      <c r="F18" s="425">
        <v>4825</v>
      </c>
      <c r="G18" s="425">
        <v>10314</v>
      </c>
      <c r="H18" s="425"/>
      <c r="I18" s="425">
        <v>54282</v>
      </c>
      <c r="J18" s="426"/>
      <c r="K18" s="426"/>
      <c r="L18" s="426"/>
      <c r="M18" s="425">
        <f t="shared" si="0"/>
        <v>54282</v>
      </c>
      <c r="N18" s="377"/>
      <c r="O18" s="427">
        <f t="shared" si="1"/>
        <v>1041.0246575342467</v>
      </c>
      <c r="P18" s="387"/>
      <c r="Q18" s="387"/>
      <c r="R18" s="388"/>
      <c r="S18" s="387"/>
      <c r="T18" s="387"/>
    </row>
    <row r="19" spans="1:20">
      <c r="A19" s="428" t="s">
        <v>1469</v>
      </c>
      <c r="B19" s="431">
        <v>884</v>
      </c>
      <c r="C19" s="419">
        <v>28593</v>
      </c>
      <c r="D19" s="420">
        <v>17216</v>
      </c>
      <c r="E19" s="419">
        <v>4212</v>
      </c>
      <c r="F19" s="419">
        <v>4825</v>
      </c>
      <c r="G19" s="419">
        <v>5635</v>
      </c>
      <c r="H19" s="419"/>
      <c r="I19" s="419">
        <v>60481</v>
      </c>
      <c r="J19" s="421"/>
      <c r="K19" s="421"/>
      <c r="L19" s="421"/>
      <c r="M19" s="419">
        <f t="shared" si="0"/>
        <v>60481</v>
      </c>
      <c r="N19" s="377"/>
      <c r="O19" s="422">
        <f t="shared" si="1"/>
        <v>1159.9095890410958</v>
      </c>
      <c r="P19" s="387"/>
      <c r="Q19" s="387"/>
      <c r="R19" s="388"/>
      <c r="S19" s="387"/>
      <c r="T19" s="387"/>
    </row>
    <row r="20" spans="1:20">
      <c r="A20" s="423" t="s">
        <v>1470</v>
      </c>
      <c r="B20" s="432">
        <v>886</v>
      </c>
      <c r="C20" s="425">
        <v>28593</v>
      </c>
      <c r="D20" s="425">
        <v>13769</v>
      </c>
      <c r="E20" s="425">
        <v>4212</v>
      </c>
      <c r="F20" s="425">
        <v>9648</v>
      </c>
      <c r="G20" s="425">
        <v>15949</v>
      </c>
      <c r="H20" s="425"/>
      <c r="I20" s="425">
        <v>72171</v>
      </c>
      <c r="J20" s="426"/>
      <c r="K20" s="426"/>
      <c r="L20" s="426"/>
      <c r="M20" s="425">
        <f t="shared" si="0"/>
        <v>72171</v>
      </c>
      <c r="N20" s="377"/>
      <c r="O20" s="427">
        <f t="shared" si="1"/>
        <v>1384.1013698630136</v>
      </c>
      <c r="P20" s="387"/>
      <c r="Q20" s="387"/>
      <c r="R20" s="388"/>
      <c r="S20" s="387"/>
      <c r="T20" s="387"/>
    </row>
    <row r="21" spans="1:20">
      <c r="A21" s="428" t="s">
        <v>1471</v>
      </c>
      <c r="B21" s="431">
        <v>888</v>
      </c>
      <c r="C21" s="419">
        <v>44771</v>
      </c>
      <c r="D21" s="421">
        <v>17216</v>
      </c>
      <c r="E21" s="421">
        <v>4212</v>
      </c>
      <c r="F21" s="421">
        <v>9648</v>
      </c>
      <c r="G21" s="421">
        <v>10314</v>
      </c>
      <c r="H21" s="421"/>
      <c r="I21" s="421">
        <v>86161</v>
      </c>
      <c r="J21" s="421"/>
      <c r="K21" s="421"/>
      <c r="L21" s="421"/>
      <c r="M21" s="419">
        <f t="shared" si="0"/>
        <v>86161</v>
      </c>
      <c r="N21" s="377"/>
      <c r="O21" s="422">
        <f t="shared" si="1"/>
        <v>1652.4027397260272</v>
      </c>
      <c r="P21" s="387"/>
      <c r="Q21" s="387"/>
      <c r="R21" s="388"/>
      <c r="S21" s="387"/>
      <c r="T21" s="387"/>
    </row>
    <row r="22" spans="1:20">
      <c r="A22" s="423" t="s">
        <v>335</v>
      </c>
      <c r="B22" s="424">
        <v>780</v>
      </c>
      <c r="C22" s="425">
        <v>21162</v>
      </c>
      <c r="D22" s="425">
        <v>3444</v>
      </c>
      <c r="E22" s="425">
        <v>4212</v>
      </c>
      <c r="F22" s="425">
        <v>0</v>
      </c>
      <c r="G22" s="425">
        <v>5635</v>
      </c>
      <c r="H22" s="425"/>
      <c r="I22" s="425">
        <v>34453</v>
      </c>
      <c r="J22" s="426"/>
      <c r="K22" s="426"/>
      <c r="L22" s="426"/>
      <c r="M22" s="425">
        <f t="shared" si="0"/>
        <v>34453</v>
      </c>
      <c r="N22" s="377"/>
      <c r="O22" s="427">
        <f t="shared" si="1"/>
        <v>660.74246575342465</v>
      </c>
      <c r="P22" s="387"/>
      <c r="Q22" s="387"/>
      <c r="R22" s="388"/>
      <c r="S22" s="387"/>
      <c r="T22" s="387"/>
    </row>
    <row r="23" spans="1:20">
      <c r="A23" s="428" t="s">
        <v>336</v>
      </c>
      <c r="B23" s="418">
        <v>781</v>
      </c>
      <c r="C23" s="419">
        <v>36071</v>
      </c>
      <c r="D23" s="420">
        <v>3444</v>
      </c>
      <c r="E23" s="420">
        <v>4212</v>
      </c>
      <c r="F23" s="419">
        <v>0</v>
      </c>
      <c r="G23" s="419">
        <v>5635</v>
      </c>
      <c r="H23" s="419"/>
      <c r="I23" s="419">
        <v>49362</v>
      </c>
      <c r="J23" s="421"/>
      <c r="K23" s="421"/>
      <c r="L23" s="421"/>
      <c r="M23" s="419">
        <f t="shared" si="0"/>
        <v>49362</v>
      </c>
      <c r="N23" s="377"/>
      <c r="O23" s="422">
        <f t="shared" si="1"/>
        <v>946.66849315068498</v>
      </c>
      <c r="P23" s="387"/>
      <c r="Q23" s="387"/>
      <c r="R23" s="388"/>
      <c r="S23" s="387"/>
      <c r="T23" s="387"/>
    </row>
    <row r="24" spans="1:20">
      <c r="A24" s="423" t="s">
        <v>337</v>
      </c>
      <c r="B24" s="424">
        <v>782</v>
      </c>
      <c r="C24" s="425"/>
      <c r="D24" s="430">
        <v>3031.95</v>
      </c>
      <c r="E24" s="425"/>
      <c r="F24" s="425"/>
      <c r="G24" s="425"/>
      <c r="H24" s="425"/>
      <c r="I24" s="430">
        <v>58608</v>
      </c>
      <c r="J24" s="426"/>
      <c r="K24" s="426"/>
      <c r="L24" s="426"/>
      <c r="M24" s="425">
        <f t="shared" si="0"/>
        <v>58608</v>
      </c>
      <c r="N24" s="377"/>
      <c r="O24" s="427">
        <f t="shared" si="1"/>
        <v>1123.9890410958906</v>
      </c>
      <c r="P24" s="387"/>
      <c r="Q24" s="387"/>
      <c r="R24" s="388"/>
      <c r="S24" s="387"/>
      <c r="T24" s="387"/>
    </row>
    <row r="25" spans="1:20">
      <c r="A25" s="428" t="s">
        <v>338</v>
      </c>
      <c r="B25" s="418">
        <v>783</v>
      </c>
      <c r="C25" s="419"/>
      <c r="D25" s="433">
        <v>6065.991</v>
      </c>
      <c r="E25" s="419"/>
      <c r="F25" s="419"/>
      <c r="G25" s="419"/>
      <c r="H25" s="419"/>
      <c r="I25" s="429">
        <v>76035</v>
      </c>
      <c r="J25" s="421"/>
      <c r="K25" s="421"/>
      <c r="L25" s="421"/>
      <c r="M25" s="419">
        <f t="shared" si="0"/>
        <v>76035</v>
      </c>
      <c r="N25" s="377"/>
      <c r="O25" s="422">
        <f t="shared" si="1"/>
        <v>1458.2054794520548</v>
      </c>
      <c r="P25" s="387"/>
      <c r="Q25" s="387"/>
      <c r="R25" s="388"/>
      <c r="S25" s="387"/>
      <c r="T25" s="387"/>
    </row>
    <row r="26" spans="1:20">
      <c r="A26" s="423" t="s">
        <v>339</v>
      </c>
      <c r="B26" s="424">
        <v>784</v>
      </c>
      <c r="C26" s="425"/>
      <c r="D26" s="430">
        <v>6065.991</v>
      </c>
      <c r="E26" s="425"/>
      <c r="F26" s="425"/>
      <c r="G26" s="425"/>
      <c r="H26" s="425"/>
      <c r="I26" s="430">
        <v>76035</v>
      </c>
      <c r="J26" s="426"/>
      <c r="K26" s="426"/>
      <c r="L26" s="426"/>
      <c r="M26" s="425">
        <f t="shared" si="0"/>
        <v>76035</v>
      </c>
      <c r="N26" s="377"/>
      <c r="O26" s="427">
        <f t="shared" si="1"/>
        <v>1458.2054794520548</v>
      </c>
      <c r="P26" s="387"/>
      <c r="Q26" s="387"/>
      <c r="R26" s="388"/>
      <c r="S26" s="387"/>
      <c r="T26" s="387"/>
    </row>
    <row r="27" spans="1:20">
      <c r="A27" s="428" t="s">
        <v>340</v>
      </c>
      <c r="B27" s="418">
        <v>790</v>
      </c>
      <c r="C27" s="419"/>
      <c r="D27" s="433">
        <v>9098.9864999999991</v>
      </c>
      <c r="E27" s="419"/>
      <c r="F27" s="419"/>
      <c r="G27" s="419"/>
      <c r="H27" s="419"/>
      <c r="I27" s="429">
        <v>68381</v>
      </c>
      <c r="J27" s="421"/>
      <c r="K27" s="421"/>
      <c r="L27" s="421"/>
      <c r="M27" s="419">
        <f t="shared" si="0"/>
        <v>68381</v>
      </c>
      <c r="N27" s="377"/>
      <c r="O27" s="422">
        <f t="shared" si="1"/>
        <v>1311.4164383561645</v>
      </c>
      <c r="P27" s="387"/>
      <c r="Q27" s="387"/>
      <c r="R27" s="388"/>
      <c r="S27" s="387"/>
      <c r="T27" s="387"/>
    </row>
    <row r="28" spans="1:20">
      <c r="A28" s="423" t="s">
        <v>327</v>
      </c>
      <c r="B28" s="424">
        <v>800</v>
      </c>
      <c r="C28" s="425">
        <v>13685</v>
      </c>
      <c r="D28" s="425">
        <v>17216</v>
      </c>
      <c r="E28" s="425">
        <v>4212</v>
      </c>
      <c r="F28" s="425">
        <v>0</v>
      </c>
      <c r="G28" s="425">
        <v>5635</v>
      </c>
      <c r="H28" s="425"/>
      <c r="I28" s="425">
        <v>40748</v>
      </c>
      <c r="J28" s="426"/>
      <c r="K28" s="426"/>
      <c r="L28" s="426"/>
      <c r="M28" s="425">
        <f t="shared" si="0"/>
        <v>40748</v>
      </c>
      <c r="N28" s="377"/>
      <c r="O28" s="427">
        <f t="shared" si="1"/>
        <v>781.46849315068494</v>
      </c>
      <c r="P28" s="387"/>
      <c r="Q28" s="387"/>
      <c r="R28" s="388"/>
      <c r="S28" s="387"/>
      <c r="T28" s="387"/>
    </row>
    <row r="29" spans="1:20">
      <c r="A29" s="417" t="s">
        <v>328</v>
      </c>
      <c r="B29" s="418">
        <v>802</v>
      </c>
      <c r="C29" s="419">
        <v>21162</v>
      </c>
      <c r="D29" s="420">
        <v>17216</v>
      </c>
      <c r="E29" s="419">
        <v>4212</v>
      </c>
      <c r="F29" s="419">
        <v>0</v>
      </c>
      <c r="G29" s="419">
        <v>5635</v>
      </c>
      <c r="H29" s="419"/>
      <c r="I29" s="419">
        <v>48225</v>
      </c>
      <c r="J29" s="421"/>
      <c r="K29" s="421"/>
      <c r="L29" s="421"/>
      <c r="M29" s="419">
        <f t="shared" si="0"/>
        <v>48225</v>
      </c>
      <c r="N29" s="377"/>
      <c r="O29" s="422">
        <f t="shared" si="1"/>
        <v>924.86301369863008</v>
      </c>
      <c r="P29" s="387"/>
      <c r="Q29" s="387"/>
      <c r="R29" s="388"/>
      <c r="S29" s="387"/>
      <c r="T29" s="387"/>
    </row>
    <row r="30" spans="1:20">
      <c r="A30" s="423" t="s">
        <v>329</v>
      </c>
      <c r="B30" s="424">
        <v>804</v>
      </c>
      <c r="C30" s="425">
        <v>28593</v>
      </c>
      <c r="D30" s="425">
        <v>20289</v>
      </c>
      <c r="E30" s="425">
        <v>4212</v>
      </c>
      <c r="F30" s="425">
        <v>0</v>
      </c>
      <c r="G30" s="425">
        <v>1878</v>
      </c>
      <c r="H30" s="425"/>
      <c r="I30" s="425">
        <v>54972</v>
      </c>
      <c r="J30" s="426"/>
      <c r="K30" s="426"/>
      <c r="L30" s="426"/>
      <c r="M30" s="425">
        <f t="shared" si="0"/>
        <v>54972</v>
      </c>
      <c r="N30" s="377"/>
      <c r="O30" s="427">
        <f t="shared" si="1"/>
        <v>1054.2575342465752</v>
      </c>
      <c r="P30" s="387"/>
      <c r="Q30" s="387"/>
      <c r="R30" s="388"/>
      <c r="S30" s="387"/>
      <c r="T30" s="387"/>
    </row>
    <row r="31" spans="1:20">
      <c r="A31" s="417" t="s">
        <v>330</v>
      </c>
      <c r="B31" s="418">
        <v>806</v>
      </c>
      <c r="C31" s="419">
        <v>28593</v>
      </c>
      <c r="D31" s="420">
        <v>20289</v>
      </c>
      <c r="E31" s="419">
        <v>4212</v>
      </c>
      <c r="F31" s="419">
        <v>1607</v>
      </c>
      <c r="G31" s="419">
        <v>5635</v>
      </c>
      <c r="H31" s="419"/>
      <c r="I31" s="419">
        <v>60336</v>
      </c>
      <c r="J31" s="421"/>
      <c r="K31" s="421"/>
      <c r="L31" s="421"/>
      <c r="M31" s="419">
        <f t="shared" si="0"/>
        <v>60336</v>
      </c>
      <c r="N31" s="377"/>
      <c r="O31" s="422">
        <f t="shared" si="1"/>
        <v>1157.1287671232876</v>
      </c>
      <c r="P31" s="387"/>
      <c r="Q31" s="387"/>
      <c r="R31" s="388"/>
      <c r="S31" s="387"/>
      <c r="T31" s="387"/>
    </row>
    <row r="32" spans="1:20">
      <c r="A32" s="423" t="s">
        <v>331</v>
      </c>
      <c r="B32" s="424">
        <v>808</v>
      </c>
      <c r="C32" s="425">
        <v>28593</v>
      </c>
      <c r="D32" s="425">
        <v>23365</v>
      </c>
      <c r="E32" s="425">
        <v>4212</v>
      </c>
      <c r="F32" s="425">
        <v>4825</v>
      </c>
      <c r="G32" s="425">
        <v>15949</v>
      </c>
      <c r="H32" s="425"/>
      <c r="I32" s="425">
        <v>76944</v>
      </c>
      <c r="J32" s="426"/>
      <c r="K32" s="426"/>
      <c r="L32" s="426"/>
      <c r="M32" s="425">
        <f t="shared" si="0"/>
        <v>76944</v>
      </c>
      <c r="N32" s="377"/>
      <c r="O32" s="427">
        <f t="shared" si="1"/>
        <v>1475.6383561643834</v>
      </c>
      <c r="P32" s="387"/>
      <c r="Q32" s="387"/>
      <c r="R32" s="388"/>
      <c r="S32" s="387"/>
      <c r="T32" s="387"/>
    </row>
    <row r="33" spans="1:20">
      <c r="A33" s="417" t="s">
        <v>332</v>
      </c>
      <c r="B33" s="418">
        <v>810</v>
      </c>
      <c r="C33" s="419">
        <v>36071</v>
      </c>
      <c r="D33" s="420">
        <v>26441</v>
      </c>
      <c r="E33" s="419">
        <v>4212</v>
      </c>
      <c r="F33" s="419" t="s">
        <v>1763</v>
      </c>
      <c r="G33" s="419">
        <v>5635</v>
      </c>
      <c r="H33" s="419"/>
      <c r="I33" s="419">
        <v>72359</v>
      </c>
      <c r="J33" s="421"/>
      <c r="K33" s="421"/>
      <c r="L33" s="421"/>
      <c r="M33" s="419">
        <f t="shared" si="0"/>
        <v>72359</v>
      </c>
      <c r="N33" s="377"/>
      <c r="O33" s="422">
        <f t="shared" si="1"/>
        <v>1387.7068493150684</v>
      </c>
      <c r="P33" s="387"/>
      <c r="Q33" s="387"/>
      <c r="R33" s="388"/>
      <c r="S33" s="387"/>
      <c r="T33" s="387"/>
    </row>
    <row r="34" spans="1:20">
      <c r="A34" s="423" t="s">
        <v>333</v>
      </c>
      <c r="B34" s="424">
        <v>812</v>
      </c>
      <c r="C34" s="425">
        <v>44771</v>
      </c>
      <c r="D34" s="425">
        <v>29515</v>
      </c>
      <c r="E34" s="425">
        <v>4212</v>
      </c>
      <c r="F34" s="425">
        <v>1607</v>
      </c>
      <c r="G34" s="425">
        <v>15949</v>
      </c>
      <c r="H34" s="425"/>
      <c r="I34" s="425">
        <v>96054</v>
      </c>
      <c r="J34" s="426"/>
      <c r="K34" s="426"/>
      <c r="L34" s="426"/>
      <c r="M34" s="425">
        <f t="shared" si="0"/>
        <v>96054</v>
      </c>
      <c r="N34" s="377"/>
      <c r="O34" s="427">
        <f t="shared" si="1"/>
        <v>1842.131506849315</v>
      </c>
      <c r="P34" s="387"/>
      <c r="Q34" s="387"/>
      <c r="R34" s="388"/>
      <c r="S34" s="387"/>
      <c r="T34" s="387"/>
    </row>
    <row r="35" spans="1:20">
      <c r="A35" s="417" t="s">
        <v>334</v>
      </c>
      <c r="B35" s="418">
        <v>814</v>
      </c>
      <c r="C35" s="419">
        <v>13685</v>
      </c>
      <c r="D35" s="420">
        <v>23365</v>
      </c>
      <c r="E35" s="419">
        <v>4212</v>
      </c>
      <c r="F35" s="419">
        <v>9648</v>
      </c>
      <c r="G35" s="419">
        <v>33745</v>
      </c>
      <c r="H35" s="419"/>
      <c r="I35" s="419">
        <v>84655</v>
      </c>
      <c r="J35" s="421"/>
      <c r="K35" s="421"/>
      <c r="L35" s="421"/>
      <c r="M35" s="419">
        <f t="shared" si="0"/>
        <v>84655</v>
      </c>
      <c r="N35" s="377"/>
      <c r="O35" s="422">
        <f t="shared" si="1"/>
        <v>1623.5205479452054</v>
      </c>
      <c r="P35" s="387"/>
      <c r="Q35" s="387"/>
      <c r="R35" s="388"/>
      <c r="S35" s="387"/>
      <c r="T35" s="387"/>
    </row>
    <row r="36" spans="1:20">
      <c r="A36" s="423" t="s">
        <v>301</v>
      </c>
      <c r="B36" s="424">
        <v>820</v>
      </c>
      <c r="C36" s="425">
        <v>21162</v>
      </c>
      <c r="D36" s="425">
        <v>20289</v>
      </c>
      <c r="E36" s="425">
        <v>4212</v>
      </c>
      <c r="F36" s="425">
        <v>1607</v>
      </c>
      <c r="G36" s="425">
        <v>5635</v>
      </c>
      <c r="H36" s="425"/>
      <c r="I36" s="425">
        <v>52905</v>
      </c>
      <c r="J36" s="426"/>
      <c r="K36" s="426"/>
      <c r="L36" s="426"/>
      <c r="M36" s="425">
        <f t="shared" si="0"/>
        <v>52905</v>
      </c>
      <c r="N36" s="377"/>
      <c r="O36" s="427">
        <f t="shared" si="1"/>
        <v>1014.6164383561644</v>
      </c>
      <c r="P36" s="387"/>
      <c r="Q36" s="387"/>
      <c r="R36" s="388"/>
      <c r="S36" s="387"/>
      <c r="T36" s="387"/>
    </row>
    <row r="37" spans="1:20">
      <c r="A37" s="417" t="s">
        <v>302</v>
      </c>
      <c r="B37" s="418">
        <v>822</v>
      </c>
      <c r="C37" s="419">
        <v>21162</v>
      </c>
      <c r="D37" s="420">
        <v>20289</v>
      </c>
      <c r="E37" s="419">
        <v>4212</v>
      </c>
      <c r="F37" s="419">
        <v>1607</v>
      </c>
      <c r="G37" s="419">
        <v>15949</v>
      </c>
      <c r="H37" s="419"/>
      <c r="I37" s="419">
        <v>63219</v>
      </c>
      <c r="J37" s="421"/>
      <c r="K37" s="421"/>
      <c r="L37" s="421"/>
      <c r="M37" s="419">
        <f t="shared" si="0"/>
        <v>63219</v>
      </c>
      <c r="N37" s="377"/>
      <c r="O37" s="422">
        <f t="shared" si="1"/>
        <v>1212.4191780821918</v>
      </c>
      <c r="P37" s="387"/>
      <c r="Q37" s="387"/>
      <c r="R37" s="388"/>
      <c r="S37" s="387"/>
      <c r="T37" s="387"/>
    </row>
    <row r="38" spans="1:20">
      <c r="A38" s="423" t="s">
        <v>303</v>
      </c>
      <c r="B38" s="424">
        <v>824</v>
      </c>
      <c r="C38" s="425">
        <v>13685</v>
      </c>
      <c r="D38" s="425">
        <v>23365</v>
      </c>
      <c r="E38" s="425">
        <v>4212</v>
      </c>
      <c r="F38" s="425">
        <v>1607</v>
      </c>
      <c r="G38" s="425">
        <v>15949</v>
      </c>
      <c r="H38" s="425"/>
      <c r="I38" s="425">
        <v>58818</v>
      </c>
      <c r="J38" s="426"/>
      <c r="K38" s="426"/>
      <c r="L38" s="426"/>
      <c r="M38" s="425">
        <f t="shared" si="0"/>
        <v>58818</v>
      </c>
      <c r="N38" s="377"/>
      <c r="O38" s="427">
        <f t="shared" si="1"/>
        <v>1128.0164383561644</v>
      </c>
      <c r="P38" s="387"/>
      <c r="Q38" s="387"/>
      <c r="R38" s="388"/>
      <c r="S38" s="387"/>
      <c r="T38" s="387"/>
    </row>
    <row r="39" spans="1:20">
      <c r="A39" s="417" t="s">
        <v>304</v>
      </c>
      <c r="B39" s="418">
        <v>826</v>
      </c>
      <c r="C39" s="419">
        <v>21162</v>
      </c>
      <c r="D39" s="420">
        <v>20289</v>
      </c>
      <c r="E39" s="419">
        <v>4212</v>
      </c>
      <c r="F39" s="419">
        <v>1607</v>
      </c>
      <c r="G39" s="419">
        <v>15949</v>
      </c>
      <c r="H39" s="419"/>
      <c r="I39" s="419">
        <v>63219</v>
      </c>
      <c r="J39" s="421"/>
      <c r="K39" s="421"/>
      <c r="L39" s="421"/>
      <c r="M39" s="419">
        <f t="shared" si="0"/>
        <v>63219</v>
      </c>
      <c r="N39" s="377"/>
      <c r="O39" s="422">
        <f t="shared" si="1"/>
        <v>1212.4191780821918</v>
      </c>
      <c r="P39" s="387"/>
      <c r="Q39" s="387"/>
      <c r="R39" s="388"/>
      <c r="S39" s="387"/>
      <c r="T39" s="387"/>
    </row>
    <row r="40" spans="1:20">
      <c r="A40" s="423" t="s">
        <v>305</v>
      </c>
      <c r="B40" s="424">
        <v>828</v>
      </c>
      <c r="C40" s="425">
        <v>21162</v>
      </c>
      <c r="D40" s="425">
        <v>23365</v>
      </c>
      <c r="E40" s="425">
        <v>4212</v>
      </c>
      <c r="F40" s="425">
        <v>4825</v>
      </c>
      <c r="G40" s="425">
        <v>21551</v>
      </c>
      <c r="H40" s="425"/>
      <c r="I40" s="425">
        <v>75115</v>
      </c>
      <c r="J40" s="426"/>
      <c r="K40" s="426"/>
      <c r="L40" s="426"/>
      <c r="M40" s="425">
        <f t="shared" si="0"/>
        <v>75115</v>
      </c>
      <c r="N40" s="377"/>
      <c r="O40" s="427">
        <f t="shared" si="1"/>
        <v>1440.5616438356165</v>
      </c>
      <c r="P40" s="387"/>
      <c r="Q40" s="387"/>
      <c r="R40" s="388"/>
      <c r="S40" s="387"/>
      <c r="T40" s="387"/>
    </row>
    <row r="41" spans="1:20">
      <c r="A41" s="417" t="s">
        <v>306</v>
      </c>
      <c r="B41" s="418">
        <v>830</v>
      </c>
      <c r="C41" s="419">
        <v>21162</v>
      </c>
      <c r="D41" s="420">
        <v>20289</v>
      </c>
      <c r="E41" s="419">
        <v>4212</v>
      </c>
      <c r="F41" s="419">
        <v>9648</v>
      </c>
      <c r="G41" s="419">
        <v>27187</v>
      </c>
      <c r="H41" s="419"/>
      <c r="I41" s="419">
        <v>82498</v>
      </c>
      <c r="J41" s="421"/>
      <c r="K41" s="421"/>
      <c r="L41" s="421"/>
      <c r="M41" s="419">
        <f t="shared" si="0"/>
        <v>82498</v>
      </c>
      <c r="N41" s="377"/>
      <c r="O41" s="422">
        <f t="shared" si="1"/>
        <v>1582.1534246575343</v>
      </c>
      <c r="P41" s="387"/>
      <c r="Q41" s="387"/>
      <c r="R41" s="388"/>
      <c r="S41" s="387"/>
      <c r="T41" s="387"/>
    </row>
    <row r="42" spans="1:20">
      <c r="A42" s="423" t="s">
        <v>307</v>
      </c>
      <c r="B42" s="424">
        <v>832</v>
      </c>
      <c r="C42" s="425">
        <v>28593</v>
      </c>
      <c r="D42" s="425">
        <v>17216</v>
      </c>
      <c r="E42" s="425">
        <v>4212</v>
      </c>
      <c r="F42" s="425">
        <v>9648</v>
      </c>
      <c r="G42" s="425">
        <v>27187</v>
      </c>
      <c r="H42" s="425"/>
      <c r="I42" s="425">
        <v>86856</v>
      </c>
      <c r="J42" s="426"/>
      <c r="K42" s="426"/>
      <c r="L42" s="426"/>
      <c r="M42" s="425">
        <f t="shared" si="0"/>
        <v>86856</v>
      </c>
      <c r="N42" s="377"/>
      <c r="O42" s="427">
        <f t="shared" si="1"/>
        <v>1665.7315068493149</v>
      </c>
      <c r="P42" s="387"/>
      <c r="Q42" s="387"/>
      <c r="R42" s="388"/>
      <c r="S42" s="387"/>
      <c r="T42" s="387"/>
    </row>
    <row r="43" spans="1:20">
      <c r="A43" s="417" t="s">
        <v>312</v>
      </c>
      <c r="B43" s="418">
        <v>840</v>
      </c>
      <c r="C43" s="419">
        <v>13685</v>
      </c>
      <c r="D43" s="420">
        <v>20289</v>
      </c>
      <c r="E43" s="419">
        <v>4212</v>
      </c>
      <c r="F43" s="419">
        <v>0</v>
      </c>
      <c r="G43" s="419">
        <v>5635</v>
      </c>
      <c r="H43" s="419"/>
      <c r="I43" s="419">
        <v>43821</v>
      </c>
      <c r="J43" s="421"/>
      <c r="K43" s="421"/>
      <c r="L43" s="421"/>
      <c r="M43" s="419">
        <f t="shared" si="0"/>
        <v>43821</v>
      </c>
      <c r="N43" s="377"/>
      <c r="O43" s="422">
        <f t="shared" si="1"/>
        <v>840.40273972602745</v>
      </c>
      <c r="P43" s="387"/>
      <c r="Q43" s="387"/>
      <c r="R43" s="388"/>
      <c r="S43" s="387"/>
      <c r="T43" s="387"/>
    </row>
    <row r="44" spans="1:20">
      <c r="A44" s="423" t="s">
        <v>313</v>
      </c>
      <c r="B44" s="424">
        <v>842</v>
      </c>
      <c r="C44" s="425">
        <v>28593</v>
      </c>
      <c r="D44" s="425">
        <v>17216</v>
      </c>
      <c r="E44" s="425">
        <v>4212</v>
      </c>
      <c r="F44" s="425">
        <v>0</v>
      </c>
      <c r="G44" s="425">
        <v>5635</v>
      </c>
      <c r="H44" s="425"/>
      <c r="I44" s="425">
        <v>55656</v>
      </c>
      <c r="J44" s="426"/>
      <c r="K44" s="426"/>
      <c r="L44" s="426"/>
      <c r="M44" s="425">
        <f t="shared" si="0"/>
        <v>55656</v>
      </c>
      <c r="N44" s="377"/>
      <c r="O44" s="427">
        <f t="shared" si="1"/>
        <v>1067.3753424657534</v>
      </c>
      <c r="P44" s="387"/>
      <c r="Q44" s="387"/>
      <c r="R44" s="388"/>
      <c r="S44" s="387"/>
      <c r="T44" s="387"/>
    </row>
    <row r="45" spans="1:20">
      <c r="A45" s="417" t="s">
        <v>314</v>
      </c>
      <c r="B45" s="418">
        <v>844</v>
      </c>
      <c r="C45" s="419">
        <v>28593</v>
      </c>
      <c r="D45" s="420">
        <v>17216</v>
      </c>
      <c r="E45" s="419">
        <v>4212</v>
      </c>
      <c r="F45" s="419">
        <v>4825</v>
      </c>
      <c r="G45" s="419">
        <v>10314</v>
      </c>
      <c r="H45" s="419"/>
      <c r="I45" s="419">
        <v>65160</v>
      </c>
      <c r="J45" s="421"/>
      <c r="K45" s="421"/>
      <c r="L45" s="421"/>
      <c r="M45" s="419">
        <f t="shared" si="0"/>
        <v>65160</v>
      </c>
      <c r="N45" s="377"/>
      <c r="O45" s="422">
        <f t="shared" si="1"/>
        <v>1249.6438356164385</v>
      </c>
      <c r="P45" s="387"/>
      <c r="Q45" s="387"/>
      <c r="R45" s="388"/>
      <c r="S45" s="387"/>
      <c r="T45" s="387"/>
    </row>
    <row r="46" spans="1:20">
      <c r="A46" s="423" t="s">
        <v>315</v>
      </c>
      <c r="B46" s="424">
        <v>846</v>
      </c>
      <c r="C46" s="425">
        <v>28593</v>
      </c>
      <c r="D46" s="425">
        <v>23365</v>
      </c>
      <c r="E46" s="425">
        <v>4212</v>
      </c>
      <c r="F46" s="425">
        <v>4825</v>
      </c>
      <c r="G46" s="425">
        <v>27187</v>
      </c>
      <c r="H46" s="425"/>
      <c r="I46" s="425">
        <v>88182</v>
      </c>
      <c r="J46" s="426"/>
      <c r="K46" s="426"/>
      <c r="L46" s="426"/>
      <c r="M46" s="425">
        <f t="shared" si="0"/>
        <v>88182</v>
      </c>
      <c r="N46" s="377"/>
      <c r="O46" s="427">
        <f t="shared" si="1"/>
        <v>1691.1616438356164</v>
      </c>
      <c r="P46" s="387"/>
      <c r="Q46" s="387"/>
      <c r="R46" s="388"/>
      <c r="S46" s="387"/>
      <c r="T46" s="387"/>
    </row>
    <row r="47" spans="1:20">
      <c r="A47" s="417" t="s">
        <v>316</v>
      </c>
      <c r="B47" s="418">
        <v>848</v>
      </c>
      <c r="C47" s="419">
        <v>36071</v>
      </c>
      <c r="D47" s="420">
        <v>23365</v>
      </c>
      <c r="E47" s="419">
        <v>4212</v>
      </c>
      <c r="F47" s="419">
        <v>4825</v>
      </c>
      <c r="G47" s="419">
        <v>27187</v>
      </c>
      <c r="H47" s="419"/>
      <c r="I47" s="419">
        <v>95660</v>
      </c>
      <c r="J47" s="421"/>
      <c r="K47" s="421"/>
      <c r="L47" s="421"/>
      <c r="M47" s="419">
        <f t="shared" si="0"/>
        <v>95660</v>
      </c>
      <c r="N47" s="377"/>
      <c r="O47" s="422">
        <f t="shared" si="1"/>
        <v>1834.5753424657535</v>
      </c>
      <c r="P47" s="387"/>
      <c r="Q47" s="387"/>
      <c r="R47" s="388"/>
      <c r="S47" s="387"/>
      <c r="T47" s="387"/>
    </row>
    <row r="48" spans="1:20">
      <c r="A48" s="423" t="s">
        <v>308</v>
      </c>
      <c r="B48" s="424">
        <v>850</v>
      </c>
      <c r="C48" s="425">
        <v>28593</v>
      </c>
      <c r="D48" s="425">
        <v>26441</v>
      </c>
      <c r="E48" s="425">
        <v>4212</v>
      </c>
      <c r="F48" s="425" t="s">
        <v>1763</v>
      </c>
      <c r="G48" s="425">
        <v>1878</v>
      </c>
      <c r="H48" s="425"/>
      <c r="I48" s="425">
        <v>61124</v>
      </c>
      <c r="J48" s="426"/>
      <c r="K48" s="426"/>
      <c r="L48" s="426"/>
      <c r="M48" s="425">
        <f t="shared" si="0"/>
        <v>61124</v>
      </c>
      <c r="N48" s="377"/>
      <c r="O48" s="427">
        <f t="shared" si="1"/>
        <v>1172.2410958904109</v>
      </c>
      <c r="P48" s="387"/>
      <c r="Q48" s="387"/>
      <c r="R48" s="388"/>
      <c r="S48" s="387"/>
      <c r="T48" s="387"/>
    </row>
    <row r="49" spans="1:20">
      <c r="A49" s="417" t="s">
        <v>309</v>
      </c>
      <c r="B49" s="418">
        <v>852</v>
      </c>
      <c r="C49" s="419">
        <v>44771</v>
      </c>
      <c r="D49" s="420">
        <v>29515</v>
      </c>
      <c r="E49" s="419">
        <v>4212</v>
      </c>
      <c r="F49" s="419">
        <v>9648</v>
      </c>
      <c r="G49" s="419">
        <v>21551</v>
      </c>
      <c r="H49" s="419"/>
      <c r="I49" s="419">
        <v>109697</v>
      </c>
      <c r="J49" s="421"/>
      <c r="K49" s="421"/>
      <c r="L49" s="421"/>
      <c r="M49" s="419">
        <f t="shared" si="0"/>
        <v>109697</v>
      </c>
      <c r="N49" s="377"/>
      <c r="O49" s="422">
        <f t="shared" si="1"/>
        <v>2103.7780821917809</v>
      </c>
      <c r="P49" s="387"/>
      <c r="Q49" s="387"/>
      <c r="R49" s="388"/>
      <c r="S49" s="387"/>
      <c r="T49" s="387"/>
    </row>
    <row r="50" spans="1:20">
      <c r="A50" s="423" t="s">
        <v>310</v>
      </c>
      <c r="B50" s="424">
        <v>854</v>
      </c>
      <c r="C50" s="425">
        <v>44771</v>
      </c>
      <c r="D50" s="425">
        <v>29515</v>
      </c>
      <c r="E50" s="425">
        <v>4212</v>
      </c>
      <c r="F50" s="425">
        <v>17690</v>
      </c>
      <c r="G50" s="425">
        <v>33745</v>
      </c>
      <c r="H50" s="425"/>
      <c r="I50" s="425">
        <v>129933</v>
      </c>
      <c r="J50" s="426"/>
      <c r="K50" s="426"/>
      <c r="L50" s="426"/>
      <c r="M50" s="425">
        <f t="shared" si="0"/>
        <v>129933</v>
      </c>
      <c r="N50" s="377"/>
      <c r="O50" s="427">
        <f t="shared" si="1"/>
        <v>2491.8657534246577</v>
      </c>
      <c r="P50" s="387"/>
      <c r="Q50" s="387"/>
      <c r="R50" s="388"/>
      <c r="S50" s="387"/>
      <c r="T50" s="387"/>
    </row>
    <row r="51" spans="1:20">
      <c r="A51" s="434" t="s">
        <v>311</v>
      </c>
      <c r="B51" s="435">
        <v>856</v>
      </c>
      <c r="C51" s="436">
        <v>44771</v>
      </c>
      <c r="D51" s="436">
        <v>23365</v>
      </c>
      <c r="E51" s="419">
        <v>4212</v>
      </c>
      <c r="F51" s="436">
        <v>0</v>
      </c>
      <c r="G51" s="436">
        <v>10314</v>
      </c>
      <c r="H51" s="436"/>
      <c r="I51" s="436">
        <v>82662</v>
      </c>
      <c r="J51" s="437"/>
      <c r="K51" s="437"/>
      <c r="L51" s="437"/>
      <c r="M51" s="436">
        <f t="shared" si="0"/>
        <v>82662</v>
      </c>
      <c r="N51" s="378"/>
      <c r="O51" s="372">
        <f t="shared" si="1"/>
        <v>1585.2986301369863</v>
      </c>
      <c r="P51" s="387"/>
      <c r="Q51" s="387"/>
      <c r="R51" s="388"/>
      <c r="S51" s="387"/>
      <c r="T51" s="387"/>
    </row>
    <row r="52" spans="1:20">
      <c r="E52" s="425"/>
    </row>
    <row r="53" spans="1:20">
      <c r="A53" s="362"/>
    </row>
  </sheetData>
  <sheetProtection algorithmName="SHA-512" hashValue="NH3GX0PU5HGIDD+Csw3lchj4lcP/Q7MAOVkdIYL9MtDkQhvYGe0fj55G4Q84Z/uuC96QtB0P/vyK8fi2E3pQvQ==" saltValue="L1PefNqAF6Qndb+ho7tGi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O647"/>
  <sheetViews>
    <sheetView workbookViewId="0">
      <selection activeCell="A2" sqref="A2"/>
    </sheetView>
  </sheetViews>
  <sheetFormatPr defaultColWidth="9.28515625" defaultRowHeight="15"/>
  <cols>
    <col min="1" max="1" width="68.7109375" style="40" bestFit="1" customWidth="1"/>
    <col min="2" max="2" width="23.7109375" style="40" customWidth="1"/>
    <col min="3" max="3" width="10.5703125" style="438" bestFit="1" customWidth="1"/>
    <col min="4" max="4" width="10.28515625" style="40" bestFit="1" customWidth="1"/>
    <col min="5" max="5" width="8.5703125" style="40" bestFit="1" customWidth="1"/>
    <col min="6" max="8" width="9.28515625" style="40"/>
    <col min="9" max="11" width="0" style="40" hidden="1" customWidth="1"/>
    <col min="12" max="12" width="12.85546875" style="40" customWidth="1"/>
    <col min="13" max="16384" width="9.28515625" style="40"/>
  </cols>
  <sheetData>
    <row r="1" spans="1:15" s="32" customFormat="1">
      <c r="A1" s="371" t="s">
        <v>1162</v>
      </c>
      <c r="B1" s="356" t="s">
        <v>5</v>
      </c>
      <c r="C1" s="438">
        <v>13.94</v>
      </c>
      <c r="D1" s="359"/>
      <c r="E1" s="359"/>
      <c r="I1" s="32" t="s">
        <v>1398</v>
      </c>
      <c r="M1" s="32" t="str">
        <f>IFERROR(VLOOKUP(Rekenblad!G10,I2:J45,2,0),"")</f>
        <v/>
      </c>
    </row>
    <row r="2" spans="1:15" s="32" customFormat="1" ht="15" customHeight="1">
      <c r="A2" s="371" t="s">
        <v>1493</v>
      </c>
      <c r="B2" s="356" t="s">
        <v>1567</v>
      </c>
      <c r="C2" s="438">
        <v>60.8</v>
      </c>
      <c r="D2" s="359"/>
      <c r="E2" s="359"/>
      <c r="I2" s="32" t="s">
        <v>632</v>
      </c>
      <c r="J2" s="32" t="s">
        <v>357</v>
      </c>
      <c r="O2" s="300"/>
    </row>
    <row r="3" spans="1:15" s="32" customFormat="1" ht="15" customHeight="1">
      <c r="A3" s="371" t="s">
        <v>1492</v>
      </c>
      <c r="B3" s="356" t="s">
        <v>1588</v>
      </c>
      <c r="C3" s="438">
        <v>69.430000000000007</v>
      </c>
      <c r="D3" s="359"/>
      <c r="E3" s="359"/>
      <c r="I3" s="32" t="s">
        <v>633</v>
      </c>
      <c r="J3" s="32" t="s">
        <v>357</v>
      </c>
    </row>
    <row r="4" spans="1:15" s="32" customFormat="1">
      <c r="A4" s="371" t="s">
        <v>1491</v>
      </c>
      <c r="B4" s="356" t="s">
        <v>1589</v>
      </c>
      <c r="C4" s="438">
        <v>59.45</v>
      </c>
      <c r="D4" s="359"/>
      <c r="E4" s="359"/>
      <c r="I4" s="32" t="s">
        <v>634</v>
      </c>
      <c r="J4" s="32" t="s">
        <v>357</v>
      </c>
    </row>
    <row r="5" spans="1:15" s="32" customFormat="1">
      <c r="A5" s="371" t="s">
        <v>1490</v>
      </c>
      <c r="B5" s="356" t="s">
        <v>1590</v>
      </c>
      <c r="C5" s="438">
        <v>75.14</v>
      </c>
      <c r="D5" s="359"/>
      <c r="E5" s="359"/>
      <c r="I5" s="32" t="s">
        <v>635</v>
      </c>
      <c r="J5" s="32" t="s">
        <v>357</v>
      </c>
    </row>
    <row r="6" spans="1:15" s="32" customFormat="1">
      <c r="A6" s="371" t="s">
        <v>1489</v>
      </c>
      <c r="B6" s="356" t="s">
        <v>1591</v>
      </c>
      <c r="C6" s="438">
        <v>96.78</v>
      </c>
      <c r="D6" s="359"/>
      <c r="E6" s="359"/>
      <c r="I6" s="32" t="s">
        <v>636</v>
      </c>
      <c r="J6" s="32" t="s">
        <v>357</v>
      </c>
    </row>
    <row r="7" spans="1:15" s="32" customFormat="1">
      <c r="A7" s="371" t="s">
        <v>474</v>
      </c>
      <c r="B7" s="356" t="s">
        <v>9</v>
      </c>
      <c r="C7" s="438">
        <v>82.5</v>
      </c>
      <c r="D7" s="359"/>
      <c r="E7" s="359"/>
      <c r="I7" s="32" t="s">
        <v>637</v>
      </c>
      <c r="J7" s="32" t="s">
        <v>357</v>
      </c>
    </row>
    <row r="8" spans="1:15" s="32" customFormat="1">
      <c r="A8" s="371" t="s">
        <v>1163</v>
      </c>
      <c r="B8" s="356" t="s">
        <v>15</v>
      </c>
      <c r="C8" s="438">
        <v>103.47</v>
      </c>
      <c r="D8" s="359"/>
      <c r="E8" s="359"/>
      <c r="I8" s="32" t="s">
        <v>638</v>
      </c>
      <c r="J8" s="32" t="s">
        <v>357</v>
      </c>
    </row>
    <row r="9" spans="1:15" s="32" customFormat="1">
      <c r="A9" s="371" t="s">
        <v>1164</v>
      </c>
      <c r="B9" s="356" t="s">
        <v>597</v>
      </c>
      <c r="C9" s="438">
        <v>37.369999999999997</v>
      </c>
      <c r="D9" s="359"/>
      <c r="E9" s="359"/>
      <c r="I9" s="32" t="s">
        <v>639</v>
      </c>
      <c r="J9" s="32" t="s">
        <v>357</v>
      </c>
    </row>
    <row r="10" spans="1:15" s="32" customFormat="1">
      <c r="A10" s="371" t="s">
        <v>1417</v>
      </c>
      <c r="B10" s="356" t="s">
        <v>1411</v>
      </c>
      <c r="C10" s="438">
        <v>134.16</v>
      </c>
      <c r="D10" s="359"/>
      <c r="E10" s="359"/>
      <c r="I10" s="32" t="s">
        <v>650</v>
      </c>
      <c r="J10" s="32" t="s">
        <v>357</v>
      </c>
    </row>
    <row r="11" spans="1:15" s="32" customFormat="1">
      <c r="A11" s="371" t="s">
        <v>1529</v>
      </c>
      <c r="B11" s="356" t="s">
        <v>1530</v>
      </c>
      <c r="C11" s="438">
        <v>103.49</v>
      </c>
      <c r="D11" s="359"/>
      <c r="E11" s="359"/>
      <c r="I11" s="32" t="s">
        <v>651</v>
      </c>
      <c r="J11" s="32" t="s">
        <v>357</v>
      </c>
    </row>
    <row r="12" spans="1:15" s="32" customFormat="1">
      <c r="A12" s="371" t="s">
        <v>1165</v>
      </c>
      <c r="B12" s="356" t="s">
        <v>11</v>
      </c>
      <c r="C12" s="438">
        <v>82.5</v>
      </c>
      <c r="D12" s="359"/>
      <c r="E12" s="359"/>
      <c r="I12" s="32" t="s">
        <v>652</v>
      </c>
      <c r="J12" s="32" t="s">
        <v>357</v>
      </c>
    </row>
    <row r="13" spans="1:15" s="32" customFormat="1">
      <c r="A13" s="371" t="s">
        <v>476</v>
      </c>
      <c r="B13" s="356" t="s">
        <v>13</v>
      </c>
      <c r="C13" s="438">
        <v>63.43</v>
      </c>
      <c r="D13" s="359"/>
      <c r="E13" s="359"/>
      <c r="I13" s="32" t="s">
        <v>653</v>
      </c>
      <c r="J13" s="32" t="s">
        <v>357</v>
      </c>
    </row>
    <row r="14" spans="1:15" s="32" customFormat="1">
      <c r="A14" s="371" t="s">
        <v>1166</v>
      </c>
      <c r="B14" s="356" t="s">
        <v>14</v>
      </c>
      <c r="C14" s="438">
        <v>67.94</v>
      </c>
      <c r="D14" s="359"/>
      <c r="E14" s="359"/>
      <c r="I14" s="32" t="s">
        <v>654</v>
      </c>
      <c r="J14" s="32" t="s">
        <v>357</v>
      </c>
    </row>
    <row r="15" spans="1:15" s="32" customFormat="1">
      <c r="A15" s="371" t="s">
        <v>1167</v>
      </c>
      <c r="B15" s="356" t="s">
        <v>6</v>
      </c>
      <c r="C15" s="438">
        <v>88.37</v>
      </c>
      <c r="D15" s="359"/>
      <c r="E15" s="359"/>
      <c r="I15" s="32" t="s">
        <v>655</v>
      </c>
      <c r="J15" s="32" t="s">
        <v>357</v>
      </c>
    </row>
    <row r="16" spans="1:15" s="32" customFormat="1">
      <c r="A16" s="371" t="s">
        <v>488</v>
      </c>
      <c r="B16" s="356" t="s">
        <v>285</v>
      </c>
      <c r="C16" s="438">
        <v>60.25</v>
      </c>
      <c r="D16" s="359"/>
      <c r="E16" s="359"/>
      <c r="I16" s="32" t="s">
        <v>656</v>
      </c>
      <c r="J16" s="32" t="s">
        <v>357</v>
      </c>
    </row>
    <row r="17" spans="1:10" s="32" customFormat="1">
      <c r="A17" s="371" t="s">
        <v>1415</v>
      </c>
      <c r="B17" s="356" t="s">
        <v>1412</v>
      </c>
      <c r="C17" s="438">
        <v>63.19</v>
      </c>
      <c r="D17" s="359"/>
      <c r="E17" s="359"/>
      <c r="I17" s="32" t="s">
        <v>658</v>
      </c>
      <c r="J17" s="32" t="s">
        <v>357</v>
      </c>
    </row>
    <row r="18" spans="1:10" s="32" customFormat="1">
      <c r="A18" s="371" t="s">
        <v>1604</v>
      </c>
      <c r="B18" s="356" t="s">
        <v>1413</v>
      </c>
      <c r="C18" s="438">
        <v>82.18</v>
      </c>
      <c r="D18" s="359"/>
      <c r="E18" s="359"/>
      <c r="I18" s="32" t="s">
        <v>659</v>
      </c>
      <c r="J18" s="32" t="s">
        <v>357</v>
      </c>
    </row>
    <row r="19" spans="1:10" s="32" customFormat="1">
      <c r="A19" s="371" t="s">
        <v>542</v>
      </c>
      <c r="B19" s="356" t="s">
        <v>12</v>
      </c>
      <c r="C19" s="438">
        <v>76.099999999999994</v>
      </c>
      <c r="D19" s="359"/>
      <c r="E19" s="359"/>
      <c r="I19" s="32" t="s">
        <v>660</v>
      </c>
      <c r="J19" s="32" t="s">
        <v>357</v>
      </c>
    </row>
    <row r="20" spans="1:10" s="32" customFormat="1">
      <c r="A20" s="371" t="s">
        <v>479</v>
      </c>
      <c r="B20" s="356" t="s">
        <v>7</v>
      </c>
      <c r="C20" s="438">
        <v>114.3</v>
      </c>
      <c r="D20" s="359"/>
      <c r="E20" s="359"/>
      <c r="I20" s="32" t="s">
        <v>661</v>
      </c>
      <c r="J20" s="32" t="s">
        <v>357</v>
      </c>
    </row>
    <row r="21" spans="1:10" s="32" customFormat="1">
      <c r="A21" s="371" t="s">
        <v>543</v>
      </c>
      <c r="B21" s="356" t="s">
        <v>10</v>
      </c>
      <c r="C21" s="438">
        <v>121.69</v>
      </c>
      <c r="D21" s="359"/>
      <c r="E21" s="359"/>
      <c r="I21" s="32" t="s">
        <v>662</v>
      </c>
      <c r="J21" s="32" t="s">
        <v>357</v>
      </c>
    </row>
    <row r="22" spans="1:10" s="32" customFormat="1">
      <c r="A22" s="371" t="s">
        <v>489</v>
      </c>
      <c r="B22" s="356" t="s">
        <v>276</v>
      </c>
      <c r="C22" s="438">
        <v>112.06</v>
      </c>
      <c r="D22" s="359"/>
      <c r="E22" s="359"/>
      <c r="I22" s="32" t="s">
        <v>663</v>
      </c>
      <c r="J22" s="32" t="s">
        <v>357</v>
      </c>
    </row>
    <row r="23" spans="1:10" s="32" customFormat="1">
      <c r="A23" s="371" t="s">
        <v>478</v>
      </c>
      <c r="B23" s="356" t="s">
        <v>8</v>
      </c>
      <c r="C23" s="438">
        <v>71.05</v>
      </c>
      <c r="D23" s="359"/>
      <c r="E23" s="359"/>
      <c r="I23" s="32" t="s">
        <v>671</v>
      </c>
      <c r="J23" s="32" t="s">
        <v>357</v>
      </c>
    </row>
    <row r="24" spans="1:10" s="32" customFormat="1">
      <c r="A24" s="371" t="s">
        <v>1168</v>
      </c>
      <c r="B24" s="356" t="s">
        <v>266</v>
      </c>
      <c r="C24" s="438">
        <v>127.13</v>
      </c>
      <c r="D24" s="359"/>
      <c r="E24" s="359"/>
      <c r="I24" s="32" t="s">
        <v>664</v>
      </c>
      <c r="J24" s="32" t="s">
        <v>357</v>
      </c>
    </row>
    <row r="25" spans="1:10" s="32" customFormat="1">
      <c r="A25" s="371" t="s">
        <v>481</v>
      </c>
      <c r="B25" s="356" t="s">
        <v>258</v>
      </c>
      <c r="C25" s="438">
        <v>156.24</v>
      </c>
      <c r="D25" s="359"/>
      <c r="E25" s="359"/>
      <c r="I25" s="32" t="s">
        <v>665</v>
      </c>
      <c r="J25" s="32" t="s">
        <v>357</v>
      </c>
    </row>
    <row r="26" spans="1:10" s="32" customFormat="1">
      <c r="A26" s="371" t="s">
        <v>1169</v>
      </c>
      <c r="B26" s="356" t="s">
        <v>273</v>
      </c>
      <c r="C26" s="438">
        <v>106.15</v>
      </c>
      <c r="D26" s="359"/>
      <c r="E26" s="359"/>
      <c r="I26" s="32" t="s">
        <v>640</v>
      </c>
      <c r="J26" s="32" t="s">
        <v>297</v>
      </c>
    </row>
    <row r="27" spans="1:10" s="32" customFormat="1">
      <c r="A27" s="371" t="s">
        <v>483</v>
      </c>
      <c r="B27" s="356" t="s">
        <v>290</v>
      </c>
      <c r="C27" s="438">
        <v>135.30000000000001</v>
      </c>
      <c r="D27" s="359"/>
      <c r="E27" s="359"/>
      <c r="I27" s="32" t="s">
        <v>642</v>
      </c>
      <c r="J27" s="32" t="s">
        <v>297</v>
      </c>
    </row>
    <row r="28" spans="1:10" s="32" customFormat="1">
      <c r="A28" s="371" t="s">
        <v>1418</v>
      </c>
      <c r="B28" s="356" t="s">
        <v>1414</v>
      </c>
      <c r="C28" s="438">
        <v>70.760000000000005</v>
      </c>
      <c r="D28" s="359"/>
      <c r="E28" s="359"/>
      <c r="I28" s="32" t="s">
        <v>641</v>
      </c>
      <c r="J28" s="32" t="s">
        <v>297</v>
      </c>
    </row>
    <row r="29" spans="1:10" s="32" customFormat="1">
      <c r="A29" s="371" t="s">
        <v>493</v>
      </c>
      <c r="B29" s="356" t="s">
        <v>240</v>
      </c>
      <c r="C29" s="438">
        <v>147.86000000000001</v>
      </c>
      <c r="D29" s="359"/>
      <c r="E29" s="359"/>
      <c r="I29" s="32" t="s">
        <v>643</v>
      </c>
      <c r="J29" s="32" t="s">
        <v>297</v>
      </c>
    </row>
    <row r="30" spans="1:10" s="32" customFormat="1">
      <c r="A30" s="371" t="s">
        <v>484</v>
      </c>
      <c r="B30" s="356" t="s">
        <v>244</v>
      </c>
      <c r="C30" s="438">
        <v>145.5</v>
      </c>
      <c r="D30" s="359"/>
      <c r="E30" s="359"/>
      <c r="I30" s="32" t="s">
        <v>644</v>
      </c>
      <c r="J30" s="32" t="s">
        <v>297</v>
      </c>
    </row>
    <row r="31" spans="1:10" s="32" customFormat="1">
      <c r="A31" s="371" t="s">
        <v>485</v>
      </c>
      <c r="B31" s="356" t="s">
        <v>251</v>
      </c>
      <c r="C31" s="438">
        <v>103.35</v>
      </c>
      <c r="D31" s="359"/>
      <c r="E31" s="359"/>
      <c r="I31" s="32" t="s">
        <v>645</v>
      </c>
      <c r="J31" s="32" t="s">
        <v>297</v>
      </c>
    </row>
    <row r="32" spans="1:10" s="32" customFormat="1">
      <c r="A32" s="371" t="s">
        <v>486</v>
      </c>
      <c r="B32" s="356" t="s">
        <v>241</v>
      </c>
      <c r="C32" s="438">
        <v>154.44999999999999</v>
      </c>
      <c r="D32" s="359"/>
      <c r="E32" s="359"/>
      <c r="I32" s="32" t="s">
        <v>646</v>
      </c>
      <c r="J32" s="32" t="s">
        <v>297</v>
      </c>
    </row>
    <row r="33" spans="1:10" s="32" customFormat="1">
      <c r="A33" s="371" t="s">
        <v>1171</v>
      </c>
      <c r="B33" s="356" t="s">
        <v>247</v>
      </c>
      <c r="C33" s="438">
        <v>167.76</v>
      </c>
      <c r="D33" s="359"/>
      <c r="E33" s="359"/>
      <c r="I33" s="32" t="s">
        <v>647</v>
      </c>
      <c r="J33" s="32" t="s">
        <v>297</v>
      </c>
    </row>
    <row r="34" spans="1:10" s="32" customFormat="1">
      <c r="A34" s="371" t="s">
        <v>1172</v>
      </c>
      <c r="B34" s="356" t="s">
        <v>248</v>
      </c>
      <c r="C34" s="438">
        <v>148.93</v>
      </c>
      <c r="D34" s="359"/>
      <c r="E34" s="359"/>
      <c r="I34" s="32" t="s">
        <v>648</v>
      </c>
      <c r="J34" s="32" t="s">
        <v>297</v>
      </c>
    </row>
    <row r="35" spans="1:10" s="32" customFormat="1">
      <c r="A35" s="371" t="s">
        <v>1173</v>
      </c>
      <c r="B35" s="356" t="s">
        <v>250</v>
      </c>
      <c r="C35" s="438">
        <v>134.22999999999999</v>
      </c>
      <c r="D35" s="359"/>
      <c r="E35" s="359"/>
      <c r="I35" s="32" t="s">
        <v>649</v>
      </c>
      <c r="J35" s="32" t="s">
        <v>297</v>
      </c>
    </row>
    <row r="36" spans="1:10" s="34" customFormat="1">
      <c r="A36" s="371" t="s">
        <v>544</v>
      </c>
      <c r="B36" s="356" t="s">
        <v>539</v>
      </c>
      <c r="C36" s="438">
        <v>181.5</v>
      </c>
      <c r="D36" s="359"/>
      <c r="E36" s="359"/>
      <c r="F36" s="32"/>
      <c r="I36" s="32" t="s">
        <v>335</v>
      </c>
      <c r="J36" s="32" t="s">
        <v>297</v>
      </c>
    </row>
    <row r="37" spans="1:10" s="32" customFormat="1">
      <c r="A37" s="371" t="s">
        <v>545</v>
      </c>
      <c r="B37" s="356" t="s">
        <v>540</v>
      </c>
      <c r="C37" s="438">
        <v>181.5</v>
      </c>
      <c r="D37" s="359"/>
      <c r="E37" s="359"/>
      <c r="I37" s="32" t="s">
        <v>336</v>
      </c>
      <c r="J37" s="32" t="s">
        <v>297</v>
      </c>
    </row>
    <row r="38" spans="1:10" s="32" customFormat="1">
      <c r="A38" s="371" t="s">
        <v>1174</v>
      </c>
      <c r="B38" s="356" t="s">
        <v>619</v>
      </c>
      <c r="C38" s="438">
        <v>28.53</v>
      </c>
      <c r="D38" s="359"/>
      <c r="E38" s="359"/>
      <c r="I38" s="32" t="s">
        <v>337</v>
      </c>
      <c r="J38" s="32" t="s">
        <v>297</v>
      </c>
    </row>
    <row r="39" spans="1:10" s="32" customFormat="1">
      <c r="A39" s="371" t="s">
        <v>1605</v>
      </c>
      <c r="B39" s="356" t="s">
        <v>1606</v>
      </c>
      <c r="C39" s="438">
        <v>337.53</v>
      </c>
      <c r="D39" s="359"/>
      <c r="E39" s="359"/>
      <c r="I39" s="32" t="s">
        <v>338</v>
      </c>
      <c r="J39" s="32" t="s">
        <v>297</v>
      </c>
    </row>
    <row r="40" spans="1:10" s="32" customFormat="1">
      <c r="A40" s="371" t="s">
        <v>546</v>
      </c>
      <c r="B40" s="356" t="s">
        <v>2</v>
      </c>
      <c r="C40" s="438">
        <v>45.87</v>
      </c>
      <c r="D40" s="359"/>
      <c r="E40" s="359"/>
      <c r="I40" s="32" t="s">
        <v>340</v>
      </c>
      <c r="J40" s="32" t="s">
        <v>297</v>
      </c>
    </row>
    <row r="41" spans="1:10" s="32" customFormat="1">
      <c r="A41" s="371" t="s">
        <v>547</v>
      </c>
      <c r="B41" s="356" t="s">
        <v>259</v>
      </c>
      <c r="C41" s="438">
        <v>65.98</v>
      </c>
      <c r="D41" s="359"/>
      <c r="E41" s="359"/>
      <c r="H41" s="300"/>
      <c r="I41" s="32" t="s">
        <v>1467</v>
      </c>
      <c r="J41" s="32" t="s">
        <v>357</v>
      </c>
    </row>
    <row r="42" spans="1:10" s="32" customFormat="1">
      <c r="A42" s="371" t="s">
        <v>1175</v>
      </c>
      <c r="B42" s="356" t="s">
        <v>272</v>
      </c>
      <c r="C42" s="438">
        <v>63.63</v>
      </c>
      <c r="D42" s="359"/>
      <c r="E42" s="359"/>
      <c r="H42" s="300"/>
      <c r="I42" s="32" t="s">
        <v>1468</v>
      </c>
      <c r="J42" s="32" t="s">
        <v>357</v>
      </c>
    </row>
    <row r="43" spans="1:10" s="32" customFormat="1">
      <c r="A43" s="371" t="s">
        <v>471</v>
      </c>
      <c r="B43" s="356" t="s">
        <v>249</v>
      </c>
      <c r="C43" s="438">
        <v>76.02</v>
      </c>
      <c r="D43" s="359"/>
      <c r="E43" s="359"/>
      <c r="H43" s="300"/>
      <c r="I43" s="32" t="s">
        <v>1469</v>
      </c>
      <c r="J43" s="32" t="s">
        <v>357</v>
      </c>
    </row>
    <row r="44" spans="1:10" s="32" customFormat="1">
      <c r="A44" s="371" t="s">
        <v>1607</v>
      </c>
      <c r="B44" s="356" t="s">
        <v>1608</v>
      </c>
      <c r="C44" s="438">
        <v>95.66</v>
      </c>
      <c r="D44" s="359"/>
      <c r="E44" s="359"/>
      <c r="H44" s="300"/>
      <c r="I44" s="32" t="s">
        <v>1470</v>
      </c>
      <c r="J44" s="32" t="s">
        <v>357</v>
      </c>
    </row>
    <row r="45" spans="1:10" s="32" customFormat="1">
      <c r="A45" s="371" t="s">
        <v>1176</v>
      </c>
      <c r="B45" s="356" t="s">
        <v>264</v>
      </c>
      <c r="C45" s="438">
        <v>43.76</v>
      </c>
      <c r="D45" s="359"/>
      <c r="E45" s="359"/>
      <c r="H45" s="300"/>
      <c r="I45" s="32" t="s">
        <v>1471</v>
      </c>
      <c r="J45" s="32" t="s">
        <v>297</v>
      </c>
    </row>
    <row r="46" spans="1:10" s="32" customFormat="1">
      <c r="A46" s="371" t="s">
        <v>1177</v>
      </c>
      <c r="B46" s="356" t="s">
        <v>274</v>
      </c>
      <c r="C46" s="438">
        <v>61.56</v>
      </c>
      <c r="D46" s="359"/>
      <c r="E46" s="359"/>
      <c r="H46" s="300"/>
    </row>
    <row r="47" spans="1:10" s="32" customFormat="1">
      <c r="A47" s="371" t="s">
        <v>1178</v>
      </c>
      <c r="B47" s="356" t="s">
        <v>284</v>
      </c>
      <c r="C47" s="438">
        <v>105.09</v>
      </c>
      <c r="D47" s="359"/>
      <c r="E47" s="359"/>
      <c r="H47" s="300"/>
    </row>
    <row r="48" spans="1:10" s="32" customFormat="1">
      <c r="A48" s="371" t="s">
        <v>1179</v>
      </c>
      <c r="B48" s="356" t="s">
        <v>286</v>
      </c>
      <c r="C48" s="438">
        <v>82</v>
      </c>
      <c r="D48" s="359"/>
      <c r="E48" s="359"/>
      <c r="H48" s="300"/>
    </row>
    <row r="49" spans="1:8" s="32" customFormat="1">
      <c r="A49" s="371" t="s">
        <v>1180</v>
      </c>
      <c r="B49" s="356" t="s">
        <v>265</v>
      </c>
      <c r="C49" s="438">
        <v>100.9</v>
      </c>
      <c r="D49" s="359"/>
      <c r="E49" s="359"/>
      <c r="H49" s="300"/>
    </row>
    <row r="50" spans="1:8" s="32" customFormat="1">
      <c r="A50" s="371" t="s">
        <v>1181</v>
      </c>
      <c r="B50" s="356" t="s">
        <v>280</v>
      </c>
      <c r="C50" s="438">
        <v>150.16</v>
      </c>
      <c r="D50" s="359"/>
      <c r="E50" s="359"/>
      <c r="H50" s="300"/>
    </row>
    <row r="51" spans="1:8" s="32" customFormat="1">
      <c r="A51" s="371" t="s">
        <v>1182</v>
      </c>
      <c r="B51" s="356" t="s">
        <v>242</v>
      </c>
      <c r="C51" s="438">
        <v>173.67</v>
      </c>
      <c r="D51" s="359"/>
      <c r="E51" s="359"/>
      <c r="H51" s="300"/>
    </row>
    <row r="52" spans="1:8" s="32" customFormat="1">
      <c r="A52" s="371" t="s">
        <v>1183</v>
      </c>
      <c r="B52" s="356" t="s">
        <v>288</v>
      </c>
      <c r="C52" s="438">
        <v>150.16</v>
      </c>
      <c r="D52" s="359"/>
      <c r="E52" s="359"/>
      <c r="H52" s="300"/>
    </row>
    <row r="53" spans="1:8" s="32" customFormat="1">
      <c r="A53" s="371" t="s">
        <v>1184</v>
      </c>
      <c r="B53" s="356" t="s">
        <v>245</v>
      </c>
      <c r="C53" s="438">
        <v>126.79</v>
      </c>
      <c r="D53" s="359"/>
      <c r="E53" s="359"/>
      <c r="H53" s="300"/>
    </row>
    <row r="54" spans="1:8" s="32" customFormat="1">
      <c r="A54" s="371" t="s">
        <v>1185</v>
      </c>
      <c r="B54" s="356" t="s">
        <v>239</v>
      </c>
      <c r="C54" s="438">
        <v>123.79</v>
      </c>
      <c r="D54" s="359"/>
      <c r="E54" s="359"/>
      <c r="H54" s="300"/>
    </row>
    <row r="55" spans="1:8" s="32" customFormat="1">
      <c r="A55" s="371" t="s">
        <v>1186</v>
      </c>
      <c r="B55" s="356" t="s">
        <v>238</v>
      </c>
      <c r="C55" s="438">
        <v>173.67</v>
      </c>
      <c r="D55" s="359"/>
      <c r="E55" s="359"/>
      <c r="H55" s="300"/>
    </row>
    <row r="56" spans="1:8" s="32" customFormat="1">
      <c r="A56" s="371" t="s">
        <v>1187</v>
      </c>
      <c r="B56" s="356" t="s">
        <v>243</v>
      </c>
      <c r="C56" s="438">
        <v>206.57</v>
      </c>
      <c r="D56" s="359"/>
      <c r="E56" s="359"/>
      <c r="H56" s="300"/>
    </row>
    <row r="57" spans="1:8" s="32" customFormat="1">
      <c r="A57" s="371" t="s">
        <v>1188</v>
      </c>
      <c r="B57" s="356" t="s">
        <v>282</v>
      </c>
      <c r="C57" s="438">
        <v>62.52</v>
      </c>
      <c r="D57" s="359"/>
      <c r="E57" s="359"/>
      <c r="H57" s="300"/>
    </row>
    <row r="58" spans="1:8" s="32" customFormat="1">
      <c r="A58" s="371" t="s">
        <v>1189</v>
      </c>
      <c r="B58" s="356" t="s">
        <v>260</v>
      </c>
      <c r="C58" s="438">
        <v>73.19</v>
      </c>
      <c r="D58" s="359"/>
      <c r="E58" s="359"/>
      <c r="H58" s="300"/>
    </row>
    <row r="59" spans="1:8" s="32" customFormat="1">
      <c r="A59" s="371" t="s">
        <v>1190</v>
      </c>
      <c r="B59" s="356" t="s">
        <v>271</v>
      </c>
      <c r="C59" s="438">
        <v>80.16</v>
      </c>
      <c r="D59" s="359"/>
      <c r="E59" s="359"/>
      <c r="H59" s="300"/>
    </row>
    <row r="60" spans="1:8" s="32" customFormat="1">
      <c r="A60" s="371" t="s">
        <v>1191</v>
      </c>
      <c r="B60" s="356" t="s">
        <v>289</v>
      </c>
      <c r="C60" s="438">
        <v>89.48</v>
      </c>
      <c r="D60" s="359"/>
      <c r="E60" s="359"/>
      <c r="H60" s="300"/>
    </row>
    <row r="61" spans="1:8" s="32" customFormat="1">
      <c r="A61" s="371" t="s">
        <v>1192</v>
      </c>
      <c r="B61" s="356" t="s">
        <v>268</v>
      </c>
      <c r="C61" s="438">
        <v>103.58</v>
      </c>
      <c r="D61" s="359"/>
      <c r="E61" s="359"/>
      <c r="H61" s="300"/>
    </row>
    <row r="62" spans="1:8" s="32" customFormat="1">
      <c r="A62" s="371" t="s">
        <v>1193</v>
      </c>
      <c r="B62" s="356" t="s">
        <v>287</v>
      </c>
      <c r="C62" s="438">
        <v>124.58</v>
      </c>
      <c r="D62" s="359"/>
      <c r="E62" s="359"/>
      <c r="G62" s="354"/>
      <c r="H62" s="300"/>
    </row>
    <row r="63" spans="1:8" s="32" customFormat="1">
      <c r="A63" s="371" t="s">
        <v>1609</v>
      </c>
      <c r="B63" s="356" t="s">
        <v>1610</v>
      </c>
      <c r="C63" s="438">
        <v>112.15</v>
      </c>
      <c r="D63" s="359"/>
      <c r="E63" s="359"/>
      <c r="G63" s="354"/>
      <c r="H63" s="300"/>
    </row>
    <row r="64" spans="1:8" s="32" customFormat="1">
      <c r="A64" s="371" t="s">
        <v>1194</v>
      </c>
      <c r="B64" s="356" t="s">
        <v>283</v>
      </c>
      <c r="C64" s="438">
        <v>62.69</v>
      </c>
      <c r="D64" s="359"/>
      <c r="E64" s="359"/>
      <c r="G64" s="354"/>
      <c r="H64" s="300"/>
    </row>
    <row r="65" spans="1:8" s="32" customFormat="1">
      <c r="A65" s="371" t="s">
        <v>1195</v>
      </c>
      <c r="B65" s="356" t="s">
        <v>278</v>
      </c>
      <c r="C65" s="438">
        <v>75.180000000000007</v>
      </c>
      <c r="D65" s="359"/>
      <c r="E65" s="359"/>
      <c r="G65" s="354"/>
      <c r="H65" s="300"/>
    </row>
    <row r="66" spans="1:8" s="32" customFormat="1">
      <c r="A66" s="371" t="s">
        <v>1196</v>
      </c>
      <c r="B66" s="356" t="s">
        <v>263</v>
      </c>
      <c r="C66" s="438">
        <v>89.52</v>
      </c>
      <c r="D66" s="359"/>
      <c r="E66" s="359"/>
      <c r="G66" s="354"/>
      <c r="H66" s="300"/>
    </row>
    <row r="67" spans="1:8" s="32" customFormat="1">
      <c r="A67" s="371" t="s">
        <v>1197</v>
      </c>
      <c r="B67" s="356" t="s">
        <v>277</v>
      </c>
      <c r="C67" s="438">
        <v>95.82</v>
      </c>
      <c r="D67" s="359"/>
      <c r="E67" s="359"/>
      <c r="H67" s="300"/>
    </row>
    <row r="68" spans="1:8" s="32" customFormat="1">
      <c r="A68" s="371" t="s">
        <v>1198</v>
      </c>
      <c r="B68" s="356" t="s">
        <v>270</v>
      </c>
      <c r="C68" s="438">
        <v>115.54</v>
      </c>
      <c r="D68" s="359"/>
      <c r="E68" s="359"/>
      <c r="H68" s="300"/>
    </row>
    <row r="69" spans="1:8" s="32" customFormat="1">
      <c r="A69" s="371" t="s">
        <v>1199</v>
      </c>
      <c r="B69" s="356" t="s">
        <v>261</v>
      </c>
      <c r="C69" s="438">
        <v>140.78</v>
      </c>
      <c r="D69" s="359"/>
      <c r="E69" s="359"/>
      <c r="H69" s="300"/>
    </row>
    <row r="70" spans="1:8" s="32" customFormat="1">
      <c r="A70" s="371" t="s">
        <v>1200</v>
      </c>
      <c r="B70" s="356" t="s">
        <v>269</v>
      </c>
      <c r="C70" s="438">
        <v>60.95</v>
      </c>
      <c r="D70" s="359"/>
      <c r="E70" s="359"/>
      <c r="H70" s="300"/>
    </row>
    <row r="71" spans="1:8" s="32" customFormat="1">
      <c r="A71" s="371" t="s">
        <v>1201</v>
      </c>
      <c r="B71" s="356" t="s">
        <v>279</v>
      </c>
      <c r="C71" s="438">
        <v>65.900000000000006</v>
      </c>
      <c r="D71" s="359"/>
      <c r="E71" s="359"/>
      <c r="H71" s="300"/>
    </row>
    <row r="72" spans="1:8" s="32" customFormat="1">
      <c r="A72" s="371" t="s">
        <v>1202</v>
      </c>
      <c r="B72" s="356" t="s">
        <v>275</v>
      </c>
      <c r="C72" s="438">
        <v>75.510000000000005</v>
      </c>
      <c r="D72" s="359"/>
      <c r="E72" s="359"/>
      <c r="H72" s="300"/>
    </row>
    <row r="73" spans="1:8" s="32" customFormat="1">
      <c r="A73" s="371" t="s">
        <v>1203</v>
      </c>
      <c r="B73" s="356" t="s">
        <v>267</v>
      </c>
      <c r="C73" s="438">
        <v>80.83</v>
      </c>
      <c r="D73" s="359"/>
      <c r="E73" s="359"/>
      <c r="H73" s="300"/>
    </row>
    <row r="74" spans="1:8" s="32" customFormat="1">
      <c r="A74" s="371" t="s">
        <v>1204</v>
      </c>
      <c r="B74" s="356" t="s">
        <v>281</v>
      </c>
      <c r="C74" s="438">
        <v>93.54</v>
      </c>
      <c r="D74" s="359"/>
      <c r="E74" s="359"/>
      <c r="H74" s="300"/>
    </row>
    <row r="75" spans="1:8" s="32" customFormat="1">
      <c r="A75" s="371" t="s">
        <v>1205</v>
      </c>
      <c r="B75" s="356" t="s">
        <v>262</v>
      </c>
      <c r="C75" s="438">
        <v>114.61</v>
      </c>
      <c r="D75" s="359"/>
      <c r="E75" s="359"/>
      <c r="H75" s="300"/>
    </row>
    <row r="76" spans="1:8" s="32" customFormat="1">
      <c r="A76" s="371" t="s">
        <v>1206</v>
      </c>
      <c r="B76" s="356" t="s">
        <v>246</v>
      </c>
      <c r="C76" s="439">
        <v>161.93</v>
      </c>
      <c r="D76" s="359"/>
      <c r="E76" s="359"/>
      <c r="H76" s="300"/>
    </row>
    <row r="77" spans="1:8" s="32" customFormat="1">
      <c r="A77" s="371" t="s">
        <v>1758</v>
      </c>
      <c r="B77" s="394" t="s">
        <v>1753</v>
      </c>
      <c r="C77" s="438">
        <v>65</v>
      </c>
      <c r="D77" s="359"/>
      <c r="E77" s="359"/>
      <c r="F77" s="359"/>
      <c r="G77" s="359"/>
      <c r="H77" s="391"/>
    </row>
    <row r="78" spans="1:8" s="32" customFormat="1">
      <c r="A78" s="371" t="s">
        <v>1760</v>
      </c>
      <c r="B78" s="394" t="s">
        <v>1754</v>
      </c>
      <c r="C78" s="438">
        <v>75.53</v>
      </c>
      <c r="D78" s="359"/>
      <c r="E78" s="359"/>
      <c r="F78" s="359"/>
      <c r="H78" s="391"/>
    </row>
    <row r="79" spans="1:8" s="32" customFormat="1">
      <c r="A79" s="371" t="s">
        <v>1759</v>
      </c>
      <c r="B79" s="394" t="s">
        <v>1755</v>
      </c>
      <c r="C79" s="438">
        <v>80.209999999999994</v>
      </c>
      <c r="D79" s="359"/>
      <c r="E79" s="359"/>
      <c r="F79" s="359"/>
      <c r="H79" s="391"/>
    </row>
    <row r="80" spans="1:8" s="32" customFormat="1">
      <c r="A80" s="371" t="s">
        <v>1761</v>
      </c>
      <c r="B80" s="394" t="s">
        <v>1756</v>
      </c>
      <c r="C80" s="438">
        <v>85.89</v>
      </c>
      <c r="D80" s="359"/>
      <c r="E80" s="359"/>
      <c r="F80" s="359"/>
      <c r="H80" s="391"/>
    </row>
    <row r="81" spans="1:8" s="32" customFormat="1">
      <c r="A81" s="371" t="s">
        <v>1762</v>
      </c>
      <c r="B81" s="394" t="s">
        <v>1757</v>
      </c>
      <c r="C81" s="438">
        <v>72.48</v>
      </c>
      <c r="D81" s="359"/>
      <c r="E81" s="359"/>
      <c r="F81" s="359"/>
      <c r="H81" s="391"/>
    </row>
    <row r="82" spans="1:8" s="32" customFormat="1">
      <c r="A82" s="355" t="s">
        <v>1354</v>
      </c>
      <c r="B82" s="356" t="s">
        <v>1348</v>
      </c>
      <c r="C82" s="438">
        <v>181.61</v>
      </c>
      <c r="D82" s="359"/>
      <c r="E82" s="359"/>
      <c r="H82" s="300"/>
    </row>
    <row r="83" spans="1:8" s="32" customFormat="1">
      <c r="A83" s="355" t="s">
        <v>1355</v>
      </c>
      <c r="B83" s="356" t="s">
        <v>1349</v>
      </c>
      <c r="C83" s="438">
        <v>314.94</v>
      </c>
      <c r="D83" s="359"/>
      <c r="E83" s="359"/>
      <c r="H83" s="300"/>
    </row>
    <row r="84" spans="1:8" s="32" customFormat="1">
      <c r="A84" s="355" t="s">
        <v>1356</v>
      </c>
      <c r="B84" s="356" t="s">
        <v>1350</v>
      </c>
      <c r="C84" s="438">
        <v>290.47000000000003</v>
      </c>
      <c r="D84" s="359"/>
      <c r="E84" s="359"/>
      <c r="H84" s="300"/>
    </row>
    <row r="85" spans="1:8" s="32" customFormat="1">
      <c r="A85" s="355" t="s">
        <v>1357</v>
      </c>
      <c r="B85" s="356" t="s">
        <v>1351</v>
      </c>
      <c r="C85" s="438">
        <v>371.13</v>
      </c>
      <c r="D85" s="359"/>
      <c r="E85" s="359"/>
      <c r="H85" s="300"/>
    </row>
    <row r="86" spans="1:8" s="32" customFormat="1">
      <c r="A86" s="355" t="s">
        <v>1358</v>
      </c>
      <c r="B86" s="356" t="s">
        <v>1352</v>
      </c>
      <c r="C86" s="438">
        <v>480.85</v>
      </c>
      <c r="D86" s="359"/>
      <c r="E86" s="359"/>
      <c r="H86" s="300"/>
    </row>
    <row r="87" spans="1:8" s="32" customFormat="1">
      <c r="A87" s="355" t="s">
        <v>1365</v>
      </c>
      <c r="B87" s="356" t="s">
        <v>1359</v>
      </c>
      <c r="C87" s="438">
        <v>150.97999999999999</v>
      </c>
      <c r="D87" s="359"/>
      <c r="E87" s="359"/>
      <c r="H87" s="300"/>
    </row>
    <row r="88" spans="1:8" s="32" customFormat="1">
      <c r="A88" s="355" t="s">
        <v>1366</v>
      </c>
      <c r="B88" s="356" t="s">
        <v>1360</v>
      </c>
      <c r="C88" s="438">
        <v>182.55</v>
      </c>
      <c r="D88" s="359"/>
      <c r="E88" s="359"/>
      <c r="H88" s="300"/>
    </row>
    <row r="89" spans="1:8" s="32" customFormat="1">
      <c r="A89" s="355" t="s">
        <v>1367</v>
      </c>
      <c r="B89" s="356" t="s">
        <v>1361</v>
      </c>
      <c r="C89" s="438">
        <v>220.47</v>
      </c>
      <c r="D89" s="359"/>
      <c r="E89" s="359"/>
      <c r="H89" s="300"/>
    </row>
    <row r="90" spans="1:8" s="32" customFormat="1">
      <c r="A90" s="355" t="s">
        <v>1368</v>
      </c>
      <c r="B90" s="356" t="s">
        <v>1362</v>
      </c>
      <c r="C90" s="438">
        <v>192.75</v>
      </c>
      <c r="D90" s="359"/>
      <c r="E90" s="359"/>
    </row>
    <row r="91" spans="1:8" s="32" customFormat="1">
      <c r="A91" s="355" t="s">
        <v>1369</v>
      </c>
      <c r="B91" s="356" t="s">
        <v>1363</v>
      </c>
      <c r="C91" s="438">
        <v>238.75</v>
      </c>
      <c r="D91" s="359"/>
      <c r="E91" s="359"/>
    </row>
    <row r="92" spans="1:8" s="32" customFormat="1">
      <c r="A92" s="355" t="s">
        <v>1370</v>
      </c>
      <c r="B92" s="356" t="s">
        <v>1364</v>
      </c>
      <c r="C92" s="438">
        <v>261.70999999999998</v>
      </c>
      <c r="D92" s="359"/>
      <c r="E92" s="359"/>
    </row>
    <row r="93" spans="1:8" s="32" customFormat="1">
      <c r="A93" s="355" t="s">
        <v>1376</v>
      </c>
      <c r="B93" s="356" t="s">
        <v>1371</v>
      </c>
      <c r="C93" s="438">
        <v>177.28</v>
      </c>
      <c r="D93" s="359"/>
      <c r="E93" s="359"/>
    </row>
    <row r="94" spans="1:8" s="32" customFormat="1">
      <c r="A94" s="355" t="s">
        <v>1377</v>
      </c>
      <c r="B94" s="356" t="s">
        <v>1372</v>
      </c>
      <c r="C94" s="438">
        <v>210.31</v>
      </c>
      <c r="D94" s="359"/>
      <c r="E94" s="359"/>
    </row>
    <row r="95" spans="1:8" s="32" customFormat="1">
      <c r="A95" s="355" t="s">
        <v>1378</v>
      </c>
      <c r="B95" s="356" t="s">
        <v>1373</v>
      </c>
      <c r="C95" s="438">
        <v>210.58</v>
      </c>
      <c r="D95" s="359"/>
      <c r="E95" s="359"/>
    </row>
    <row r="96" spans="1:8" s="32" customFormat="1">
      <c r="A96" s="355" t="s">
        <v>1385</v>
      </c>
      <c r="B96" s="356" t="s">
        <v>1374</v>
      </c>
      <c r="C96" s="438">
        <v>296.16000000000003</v>
      </c>
      <c r="D96" s="359"/>
      <c r="E96" s="359"/>
    </row>
    <row r="97" spans="1:7" s="32" customFormat="1">
      <c r="A97" s="355" t="s">
        <v>1379</v>
      </c>
      <c r="B97" s="356" t="s">
        <v>1375</v>
      </c>
      <c r="C97" s="438">
        <v>318.85000000000002</v>
      </c>
      <c r="D97" s="359"/>
      <c r="E97" s="359"/>
      <c r="G97" s="300"/>
    </row>
    <row r="98" spans="1:7" s="32" customFormat="1">
      <c r="A98" s="355" t="s">
        <v>1735</v>
      </c>
      <c r="B98" s="356" t="s">
        <v>1531</v>
      </c>
      <c r="C98" s="438">
        <v>177.06</v>
      </c>
      <c r="D98" s="359"/>
      <c r="E98" s="359"/>
    </row>
    <row r="99" spans="1:7" s="32" customFormat="1">
      <c r="A99" s="355" t="s">
        <v>1736</v>
      </c>
      <c r="B99" s="356" t="s">
        <v>1532</v>
      </c>
      <c r="C99" s="438">
        <v>207.65</v>
      </c>
      <c r="D99" s="359"/>
      <c r="E99" s="359"/>
    </row>
    <row r="100" spans="1:7" s="32" customFormat="1">
      <c r="A100" s="355" t="s">
        <v>1737</v>
      </c>
      <c r="B100" s="356" t="s">
        <v>1533</v>
      </c>
      <c r="C100" s="438">
        <v>223.6</v>
      </c>
      <c r="D100" s="359"/>
      <c r="E100" s="359"/>
    </row>
    <row r="101" spans="1:7" s="32" customFormat="1">
      <c r="A101" s="355" t="s">
        <v>1738</v>
      </c>
      <c r="B101" s="356" t="s">
        <v>1534</v>
      </c>
      <c r="C101" s="438">
        <v>272.2</v>
      </c>
      <c r="D101" s="359"/>
      <c r="E101" s="359"/>
    </row>
    <row r="102" spans="1:7" s="32" customFormat="1">
      <c r="A102" s="355" t="s">
        <v>1739</v>
      </c>
      <c r="B102" s="356" t="s">
        <v>1535</v>
      </c>
      <c r="C102" s="438">
        <v>354.34</v>
      </c>
      <c r="D102" s="359"/>
      <c r="E102" s="359"/>
    </row>
    <row r="103" spans="1:7" s="32" customFormat="1">
      <c r="A103" s="355" t="s">
        <v>1381</v>
      </c>
      <c r="B103" s="356" t="s">
        <v>1396</v>
      </c>
      <c r="C103" s="438">
        <v>364.18</v>
      </c>
      <c r="D103" s="359"/>
      <c r="E103" s="359"/>
    </row>
    <row r="104" spans="1:7" s="32" customFormat="1">
      <c r="A104" s="355" t="s">
        <v>1383</v>
      </c>
      <c r="B104" s="356" t="s">
        <v>1382</v>
      </c>
      <c r="C104" s="438">
        <v>409.54</v>
      </c>
      <c r="D104" s="359"/>
      <c r="E104" s="359"/>
    </row>
    <row r="105" spans="1:7" s="32" customFormat="1">
      <c r="A105" s="355" t="s">
        <v>1611</v>
      </c>
      <c r="B105" s="356" t="s">
        <v>1397</v>
      </c>
      <c r="C105" s="438">
        <v>239.11</v>
      </c>
      <c r="D105" s="359"/>
      <c r="E105" s="359"/>
    </row>
    <row r="106" spans="1:7" s="32" customFormat="1">
      <c r="A106" s="355" t="s">
        <v>1391</v>
      </c>
      <c r="B106" s="356" t="s">
        <v>1386</v>
      </c>
      <c r="C106" s="438">
        <v>177.35</v>
      </c>
      <c r="D106" s="359"/>
      <c r="E106" s="359"/>
    </row>
    <row r="107" spans="1:7" s="32" customFormat="1">
      <c r="A107" s="355" t="s">
        <v>1392</v>
      </c>
      <c r="B107" s="356" t="s">
        <v>1387</v>
      </c>
      <c r="C107" s="438">
        <v>215.42</v>
      </c>
      <c r="D107" s="359"/>
      <c r="E107" s="359"/>
    </row>
    <row r="108" spans="1:7" s="32" customFormat="1">
      <c r="A108" s="355" t="s">
        <v>1393</v>
      </c>
      <c r="B108" s="356" t="s">
        <v>1388</v>
      </c>
      <c r="C108" s="438">
        <v>269.22000000000003</v>
      </c>
      <c r="D108" s="359"/>
      <c r="E108" s="359"/>
    </row>
    <row r="109" spans="1:7" s="32" customFormat="1">
      <c r="A109" s="355" t="s">
        <v>1394</v>
      </c>
      <c r="B109" s="356" t="s">
        <v>1389</v>
      </c>
      <c r="C109" s="438">
        <v>300.36</v>
      </c>
      <c r="D109" s="359"/>
      <c r="E109" s="359"/>
    </row>
    <row r="110" spans="1:7" s="32" customFormat="1">
      <c r="A110" s="355" t="s">
        <v>1290</v>
      </c>
      <c r="B110" s="356" t="s">
        <v>627</v>
      </c>
      <c r="C110" s="438">
        <v>370.14</v>
      </c>
      <c r="D110" s="359"/>
      <c r="E110" s="391"/>
    </row>
    <row r="111" spans="1:7" s="32" customFormat="1">
      <c r="A111" s="355" t="s">
        <v>1291</v>
      </c>
      <c r="B111" s="356" t="s">
        <v>628</v>
      </c>
      <c r="C111" s="438">
        <v>360.21</v>
      </c>
      <c r="D111" s="359"/>
      <c r="E111" s="391"/>
    </row>
    <row r="112" spans="1:7" s="32" customFormat="1">
      <c r="A112" s="355" t="s">
        <v>1292</v>
      </c>
      <c r="B112" s="356" t="s">
        <v>629</v>
      </c>
      <c r="C112" s="438">
        <v>503.94</v>
      </c>
      <c r="D112" s="359"/>
      <c r="E112" s="391"/>
    </row>
    <row r="113" spans="1:10" s="32" customFormat="1">
      <c r="A113" s="355" t="s">
        <v>1293</v>
      </c>
      <c r="B113" s="356" t="s">
        <v>630</v>
      </c>
      <c r="C113" s="438">
        <v>297.94</v>
      </c>
      <c r="D113" s="359"/>
      <c r="E113" s="391"/>
    </row>
    <row r="114" spans="1:10" s="32" customFormat="1">
      <c r="A114" s="355" t="s">
        <v>1612</v>
      </c>
      <c r="B114" s="356" t="s">
        <v>1478</v>
      </c>
      <c r="C114" s="438">
        <v>234.94</v>
      </c>
      <c r="D114" s="359"/>
      <c r="E114" s="391"/>
    </row>
    <row r="115" spans="1:10" s="32" customFormat="1">
      <c r="A115" s="355" t="s">
        <v>1613</v>
      </c>
      <c r="B115" s="356" t="s">
        <v>1614</v>
      </c>
      <c r="C115" s="438">
        <v>536.99</v>
      </c>
      <c r="D115" s="359"/>
      <c r="E115" s="391"/>
    </row>
    <row r="116" spans="1:10" s="32" customFormat="1">
      <c r="A116" s="1" t="s">
        <v>1600</v>
      </c>
      <c r="B116" s="192" t="s">
        <v>626</v>
      </c>
      <c r="C116" s="438">
        <v>330.23</v>
      </c>
      <c r="D116" s="359"/>
      <c r="E116" s="391"/>
    </row>
    <row r="117" spans="1:10" s="32" customFormat="1">
      <c r="A117" s="1"/>
      <c r="B117" s="192"/>
      <c r="C117" s="438"/>
      <c r="D117" s="5"/>
      <c r="I117" s="269"/>
      <c r="J117" s="301"/>
    </row>
    <row r="118" spans="1:10" s="32" customFormat="1">
      <c r="A118" s="303"/>
      <c r="B118" s="304"/>
      <c r="C118" s="438"/>
      <c r="D118" s="42"/>
      <c r="E118" s="34"/>
      <c r="F118" s="34"/>
      <c r="H118" s="34"/>
      <c r="I118" s="269"/>
      <c r="J118" s="301"/>
    </row>
    <row r="119" spans="1:10" s="32" customFormat="1">
      <c r="A119" s="303"/>
      <c r="B119" s="304"/>
      <c r="C119" s="438"/>
      <c r="D119" s="42"/>
      <c r="E119" s="34"/>
      <c r="F119" s="34"/>
      <c r="G119" s="34"/>
      <c r="H119" s="34"/>
      <c r="I119" s="269"/>
      <c r="J119" s="301"/>
    </row>
    <row r="120" spans="1:10" s="32" customFormat="1">
      <c r="A120" s="303"/>
      <c r="B120" s="304"/>
      <c r="C120" s="438"/>
      <c r="D120" s="42"/>
      <c r="E120" s="34"/>
      <c r="F120" s="34"/>
      <c r="G120" s="34"/>
      <c r="H120" s="34"/>
      <c r="I120" s="269"/>
      <c r="J120" s="301"/>
    </row>
    <row r="121" spans="1:10" s="32" customFormat="1">
      <c r="A121" s="303"/>
      <c r="B121" s="304"/>
      <c r="C121" s="438"/>
      <c r="D121" s="42"/>
      <c r="E121" s="34"/>
      <c r="F121" s="34"/>
      <c r="G121" s="34"/>
      <c r="H121" s="34"/>
      <c r="I121" s="269"/>
      <c r="J121" s="301"/>
    </row>
    <row r="122" spans="1:10" s="32" customFormat="1">
      <c r="A122" s="303"/>
      <c r="B122" s="304"/>
      <c r="C122" s="438"/>
      <c r="D122" s="42"/>
      <c r="E122" s="34"/>
      <c r="F122" s="34"/>
      <c r="G122" s="34"/>
      <c r="H122" s="34"/>
    </row>
    <row r="123" spans="1:10" s="32" customFormat="1">
      <c r="A123" s="353"/>
      <c r="B123" s="304"/>
      <c r="C123" s="438"/>
      <c r="D123" s="33"/>
      <c r="E123" s="192"/>
      <c r="G123" s="34"/>
    </row>
    <row r="124" spans="1:10" s="32" customFormat="1">
      <c r="C124" s="438"/>
      <c r="D124" s="42"/>
      <c r="E124" s="42"/>
      <c r="F124" s="42"/>
    </row>
    <row r="125" spans="1:10" s="32" customFormat="1">
      <c r="C125" s="438"/>
      <c r="D125" s="42"/>
      <c r="E125" s="42"/>
      <c r="F125" s="42"/>
      <c r="I125" s="301"/>
    </row>
    <row r="126" spans="1:10" s="32" customFormat="1">
      <c r="A126" s="192"/>
      <c r="B126" s="40"/>
      <c r="C126" s="438"/>
      <c r="D126" s="42"/>
      <c r="E126" s="42"/>
      <c r="F126" s="42"/>
      <c r="G126" s="42"/>
      <c r="H126" s="42"/>
      <c r="I126" s="301"/>
    </row>
    <row r="127" spans="1:10" s="32" customFormat="1">
      <c r="B127" s="356"/>
      <c r="C127" s="438"/>
      <c r="D127" s="42"/>
      <c r="E127" s="42"/>
      <c r="F127" s="42"/>
      <c r="G127" s="42"/>
      <c r="H127" s="42"/>
      <c r="I127" s="42"/>
      <c r="J127" s="355"/>
    </row>
    <row r="128" spans="1:10" s="32" customFormat="1">
      <c r="A128" s="192"/>
      <c r="B128" s="40"/>
      <c r="C128" s="438"/>
      <c r="D128" s="42"/>
      <c r="E128" s="42"/>
      <c r="F128" s="42"/>
      <c r="G128" s="42"/>
      <c r="H128" s="42"/>
      <c r="I128" s="301"/>
    </row>
    <row r="129" spans="1:9" s="32" customFormat="1">
      <c r="A129" s="192"/>
      <c r="B129" s="40"/>
      <c r="C129" s="438"/>
      <c r="D129" s="42"/>
      <c r="E129" s="42"/>
      <c r="F129" s="42"/>
      <c r="G129" s="42"/>
      <c r="H129" s="42"/>
      <c r="I129" s="301"/>
    </row>
    <row r="130" spans="1:9" s="32" customFormat="1">
      <c r="A130" s="192"/>
      <c r="B130" s="40"/>
      <c r="C130" s="438"/>
      <c r="D130" s="42"/>
      <c r="E130" s="42"/>
      <c r="F130" s="42"/>
      <c r="G130" s="42"/>
      <c r="H130" s="42"/>
    </row>
    <row r="131" spans="1:9" s="32" customFormat="1">
      <c r="C131" s="438"/>
      <c r="D131" s="33"/>
      <c r="E131" s="192"/>
    </row>
    <row r="132" spans="1:9" s="32" customFormat="1">
      <c r="C132" s="438"/>
      <c r="D132" s="33"/>
      <c r="E132" s="192"/>
    </row>
    <row r="133" spans="1:9" s="32" customFormat="1">
      <c r="C133" s="438"/>
      <c r="D133" s="33"/>
      <c r="E133" s="192"/>
    </row>
    <row r="134" spans="1:9" s="32" customFormat="1">
      <c r="C134" s="438"/>
      <c r="D134" s="33"/>
      <c r="E134" s="192"/>
    </row>
    <row r="135" spans="1:9" s="32" customFormat="1">
      <c r="C135" s="438"/>
      <c r="D135" s="33"/>
      <c r="E135" s="192"/>
    </row>
    <row r="136" spans="1:9" s="32" customFormat="1">
      <c r="C136" s="438"/>
      <c r="D136" s="33"/>
      <c r="E136" s="192"/>
    </row>
    <row r="137" spans="1:9" s="1" customFormat="1">
      <c r="A137" s="31"/>
      <c r="B137" s="31"/>
      <c r="C137" s="438"/>
    </row>
    <row r="138" spans="1:9" s="1" customFormat="1">
      <c r="A138" s="31"/>
      <c r="B138" s="31"/>
      <c r="C138" s="438"/>
    </row>
    <row r="139" spans="1:9" s="1" customFormat="1">
      <c r="A139" s="31"/>
      <c r="B139" s="31"/>
      <c r="C139" s="438"/>
    </row>
    <row r="140" spans="1:9" s="1" customFormat="1">
      <c r="A140" s="31"/>
      <c r="B140" s="31"/>
      <c r="C140" s="438"/>
    </row>
    <row r="141" spans="1:9" s="1" customFormat="1">
      <c r="A141" s="31"/>
      <c r="B141" s="31"/>
      <c r="C141" s="438"/>
    </row>
    <row r="142" spans="1:9" s="1" customFormat="1">
      <c r="A142" s="31"/>
      <c r="B142" s="31"/>
      <c r="C142" s="438"/>
    </row>
    <row r="143" spans="1:9" s="1" customFormat="1">
      <c r="A143" s="31"/>
      <c r="B143" s="31"/>
      <c r="C143" s="438"/>
    </row>
    <row r="144" spans="1:9" s="1" customFormat="1">
      <c r="A144" s="31"/>
      <c r="B144" s="31"/>
      <c r="C144" s="438"/>
    </row>
    <row r="145" spans="1:3" s="1" customFormat="1">
      <c r="A145" s="31"/>
      <c r="B145" s="31"/>
      <c r="C145" s="438"/>
    </row>
    <row r="146" spans="1:3" s="1" customFormat="1">
      <c r="A146" s="31"/>
      <c r="B146" s="31"/>
      <c r="C146" s="438"/>
    </row>
    <row r="147" spans="1:3" s="1" customFormat="1">
      <c r="A147" s="31"/>
      <c r="B147" s="31"/>
      <c r="C147" s="438"/>
    </row>
    <row r="148" spans="1:3" s="1" customFormat="1">
      <c r="A148" s="31"/>
      <c r="B148" s="31"/>
      <c r="C148" s="438"/>
    </row>
    <row r="149" spans="1:3" s="1" customFormat="1">
      <c r="A149" s="31"/>
      <c r="B149" s="31"/>
      <c r="C149" s="438"/>
    </row>
    <row r="150" spans="1:3" s="1" customFormat="1">
      <c r="A150" s="31"/>
      <c r="B150" s="31"/>
      <c r="C150" s="438"/>
    </row>
    <row r="151" spans="1:3" s="1" customFormat="1">
      <c r="A151" s="31"/>
      <c r="B151" s="31"/>
      <c r="C151" s="438"/>
    </row>
    <row r="152" spans="1:3" s="1" customFormat="1">
      <c r="A152" s="31"/>
      <c r="B152" s="31"/>
      <c r="C152" s="438"/>
    </row>
    <row r="153" spans="1:3" s="1" customFormat="1">
      <c r="A153" s="31"/>
      <c r="B153" s="31"/>
      <c r="C153" s="438"/>
    </row>
    <row r="154" spans="1:3" s="1" customFormat="1">
      <c r="A154" s="31"/>
      <c r="B154" s="31"/>
      <c r="C154" s="438"/>
    </row>
    <row r="155" spans="1:3" s="1" customFormat="1">
      <c r="A155" s="31"/>
      <c r="B155" s="31"/>
      <c r="C155" s="438"/>
    </row>
    <row r="156" spans="1:3" s="1" customFormat="1">
      <c r="A156" s="31"/>
      <c r="B156" s="31"/>
      <c r="C156" s="438"/>
    </row>
    <row r="157" spans="1:3" s="1" customFormat="1">
      <c r="A157" s="31"/>
      <c r="B157" s="31"/>
      <c r="C157" s="438"/>
    </row>
    <row r="158" spans="1:3" s="1" customFormat="1">
      <c r="A158" s="31"/>
      <c r="B158" s="31"/>
      <c r="C158" s="438"/>
    </row>
    <row r="159" spans="1:3" s="1" customFormat="1">
      <c r="A159" s="31"/>
      <c r="B159" s="31"/>
      <c r="C159" s="438"/>
    </row>
    <row r="160" spans="1:3" s="1" customFormat="1">
      <c r="A160" s="31"/>
      <c r="B160" s="31"/>
      <c r="C160" s="438"/>
    </row>
    <row r="161" spans="1:3" s="1" customFormat="1">
      <c r="A161" s="31"/>
      <c r="B161" s="31"/>
      <c r="C161" s="438"/>
    </row>
    <row r="162" spans="1:3" s="1" customFormat="1">
      <c r="A162" s="31"/>
      <c r="B162" s="31"/>
      <c r="C162" s="438"/>
    </row>
    <row r="163" spans="1:3" s="1" customFormat="1">
      <c r="A163" s="31"/>
      <c r="B163" s="31"/>
      <c r="C163" s="438"/>
    </row>
    <row r="164" spans="1:3" s="1" customFormat="1">
      <c r="A164" s="31"/>
      <c r="B164" s="31"/>
      <c r="C164" s="438"/>
    </row>
    <row r="165" spans="1:3" s="1" customFormat="1">
      <c r="A165" s="31"/>
      <c r="B165" s="31"/>
      <c r="C165" s="438"/>
    </row>
    <row r="166" spans="1:3" s="1" customFormat="1">
      <c r="A166" s="31"/>
      <c r="B166" s="31"/>
      <c r="C166" s="438"/>
    </row>
    <row r="167" spans="1:3" s="1" customFormat="1">
      <c r="A167" s="31"/>
      <c r="B167" s="31"/>
      <c r="C167" s="438"/>
    </row>
    <row r="168" spans="1:3" s="1" customFormat="1">
      <c r="A168" s="31"/>
      <c r="B168" s="31"/>
      <c r="C168" s="438"/>
    </row>
    <row r="169" spans="1:3" s="1" customFormat="1">
      <c r="A169" s="31"/>
      <c r="B169" s="31"/>
      <c r="C169" s="438"/>
    </row>
    <row r="170" spans="1:3" s="1" customFormat="1">
      <c r="A170" s="31"/>
      <c r="B170" s="31"/>
      <c r="C170" s="438"/>
    </row>
    <row r="171" spans="1:3" s="1" customFormat="1">
      <c r="A171" s="31"/>
      <c r="B171" s="31"/>
      <c r="C171" s="438"/>
    </row>
    <row r="172" spans="1:3" s="1" customFormat="1">
      <c r="A172" s="31"/>
      <c r="B172" s="31"/>
      <c r="C172" s="438"/>
    </row>
    <row r="173" spans="1:3" s="1" customFormat="1">
      <c r="A173" s="31"/>
      <c r="B173" s="31"/>
      <c r="C173" s="438"/>
    </row>
    <row r="174" spans="1:3" s="1" customFormat="1">
      <c r="A174" s="31"/>
      <c r="B174" s="31"/>
      <c r="C174" s="438"/>
    </row>
    <row r="175" spans="1:3" s="1" customFormat="1">
      <c r="A175" s="31"/>
      <c r="B175" s="31"/>
      <c r="C175" s="438"/>
    </row>
    <row r="176" spans="1:3" s="1" customFormat="1">
      <c r="A176" s="31"/>
      <c r="B176" s="31"/>
      <c r="C176" s="438"/>
    </row>
    <row r="177" spans="1:3" s="1" customFormat="1">
      <c r="A177" s="31"/>
      <c r="B177" s="31"/>
      <c r="C177" s="438"/>
    </row>
    <row r="178" spans="1:3" s="1" customFormat="1">
      <c r="A178" s="31"/>
      <c r="B178" s="31"/>
      <c r="C178" s="438"/>
    </row>
    <row r="179" spans="1:3" s="1" customFormat="1">
      <c r="A179" s="31"/>
      <c r="B179" s="31"/>
      <c r="C179" s="438"/>
    </row>
    <row r="180" spans="1:3" s="1" customFormat="1">
      <c r="A180" s="31"/>
      <c r="B180" s="31"/>
      <c r="C180" s="438"/>
    </row>
    <row r="181" spans="1:3" s="1" customFormat="1">
      <c r="A181" s="31"/>
      <c r="B181" s="31"/>
      <c r="C181" s="438"/>
    </row>
    <row r="182" spans="1:3" s="1" customFormat="1">
      <c r="A182" s="31"/>
      <c r="B182" s="31"/>
      <c r="C182" s="438"/>
    </row>
    <row r="183" spans="1:3" s="1" customFormat="1">
      <c r="A183" s="31"/>
      <c r="B183" s="31"/>
      <c r="C183" s="438"/>
    </row>
    <row r="184" spans="1:3" s="1" customFormat="1">
      <c r="A184" s="31"/>
      <c r="B184" s="31"/>
      <c r="C184" s="438"/>
    </row>
    <row r="185" spans="1:3" s="1" customFormat="1">
      <c r="A185" s="31"/>
      <c r="B185" s="31"/>
      <c r="C185" s="438"/>
    </row>
    <row r="186" spans="1:3" s="1" customFormat="1">
      <c r="A186" s="31"/>
      <c r="B186" s="31"/>
      <c r="C186" s="438"/>
    </row>
    <row r="187" spans="1:3" s="1" customFormat="1">
      <c r="A187" s="31"/>
      <c r="B187" s="31"/>
      <c r="C187" s="438"/>
    </row>
    <row r="188" spans="1:3" s="1" customFormat="1">
      <c r="A188" s="31"/>
      <c r="B188" s="31"/>
      <c r="C188" s="438"/>
    </row>
    <row r="189" spans="1:3" s="1" customFormat="1">
      <c r="A189" s="31"/>
      <c r="B189" s="31"/>
      <c r="C189" s="438"/>
    </row>
    <row r="190" spans="1:3" s="1" customFormat="1">
      <c r="A190" s="31"/>
      <c r="B190" s="31"/>
      <c r="C190" s="438"/>
    </row>
    <row r="191" spans="1:3" s="1" customFormat="1">
      <c r="A191" s="31"/>
      <c r="B191" s="31"/>
      <c r="C191" s="438"/>
    </row>
    <row r="192" spans="1:3" s="1" customFormat="1">
      <c r="A192" s="31"/>
      <c r="B192" s="31"/>
      <c r="C192" s="438"/>
    </row>
    <row r="193" spans="1:3" s="1" customFormat="1">
      <c r="A193" s="31"/>
      <c r="B193" s="31"/>
      <c r="C193" s="438"/>
    </row>
    <row r="194" spans="1:3" s="1" customFormat="1">
      <c r="A194" s="31"/>
      <c r="B194" s="31"/>
      <c r="C194" s="438"/>
    </row>
    <row r="195" spans="1:3" s="1" customFormat="1">
      <c r="A195" s="31"/>
      <c r="B195" s="31"/>
      <c r="C195" s="438"/>
    </row>
    <row r="196" spans="1:3" s="1" customFormat="1">
      <c r="A196" s="31"/>
      <c r="B196" s="31"/>
      <c r="C196" s="438"/>
    </row>
    <row r="197" spans="1:3" s="1" customFormat="1">
      <c r="A197" s="31"/>
      <c r="B197" s="31"/>
      <c r="C197" s="438"/>
    </row>
    <row r="198" spans="1:3" s="1" customFormat="1">
      <c r="A198" s="31"/>
      <c r="B198" s="31"/>
      <c r="C198" s="438"/>
    </row>
    <row r="199" spans="1:3" s="1" customFormat="1">
      <c r="A199" s="31"/>
      <c r="B199" s="31"/>
      <c r="C199" s="438"/>
    </row>
    <row r="200" spans="1:3" s="1" customFormat="1">
      <c r="A200" s="31"/>
      <c r="B200" s="31"/>
      <c r="C200" s="438"/>
    </row>
    <row r="201" spans="1:3" s="1" customFormat="1">
      <c r="A201" s="31"/>
      <c r="B201" s="31"/>
      <c r="C201" s="438"/>
    </row>
    <row r="202" spans="1:3" s="1" customFormat="1">
      <c r="A202" s="31"/>
      <c r="B202" s="31"/>
      <c r="C202" s="438"/>
    </row>
    <row r="203" spans="1:3" s="1" customFormat="1">
      <c r="A203" s="31"/>
      <c r="B203" s="31"/>
      <c r="C203" s="438"/>
    </row>
    <row r="204" spans="1:3" s="1" customFormat="1">
      <c r="A204" s="31"/>
      <c r="B204" s="31"/>
      <c r="C204" s="438"/>
    </row>
    <row r="205" spans="1:3" s="1" customFormat="1">
      <c r="A205" s="31"/>
      <c r="B205" s="31"/>
      <c r="C205" s="438"/>
    </row>
    <row r="206" spans="1:3" s="1" customFormat="1">
      <c r="A206" s="31"/>
      <c r="B206" s="31"/>
      <c r="C206" s="438"/>
    </row>
    <row r="207" spans="1:3" s="1" customFormat="1">
      <c r="A207" s="31"/>
      <c r="B207" s="31"/>
      <c r="C207" s="438"/>
    </row>
    <row r="208" spans="1:3" s="1" customFormat="1">
      <c r="A208" s="31"/>
      <c r="B208" s="31"/>
      <c r="C208" s="438"/>
    </row>
    <row r="209" spans="1:3" s="1" customFormat="1">
      <c r="A209" s="31"/>
      <c r="B209" s="31"/>
      <c r="C209" s="438"/>
    </row>
    <row r="210" spans="1:3" s="1" customFormat="1">
      <c r="A210" s="31"/>
      <c r="B210" s="31"/>
      <c r="C210" s="438"/>
    </row>
    <row r="211" spans="1:3" s="1" customFormat="1">
      <c r="A211" s="31"/>
      <c r="B211" s="31"/>
      <c r="C211" s="438"/>
    </row>
    <row r="212" spans="1:3" s="1" customFormat="1">
      <c r="A212" s="31"/>
      <c r="B212" s="31"/>
      <c r="C212" s="438"/>
    </row>
    <row r="213" spans="1:3" s="1" customFormat="1">
      <c r="A213" s="31"/>
      <c r="B213" s="31"/>
      <c r="C213" s="438"/>
    </row>
    <row r="214" spans="1:3" s="1" customFormat="1">
      <c r="A214" s="31"/>
      <c r="B214" s="31"/>
      <c r="C214" s="438"/>
    </row>
    <row r="215" spans="1:3" s="1" customFormat="1">
      <c r="A215" s="31"/>
      <c r="B215" s="31"/>
      <c r="C215" s="438"/>
    </row>
    <row r="216" spans="1:3" s="1" customFormat="1">
      <c r="A216" s="31"/>
      <c r="B216" s="31"/>
      <c r="C216" s="438"/>
    </row>
    <row r="217" spans="1:3" s="1" customFormat="1">
      <c r="A217" s="31"/>
      <c r="B217" s="31"/>
      <c r="C217" s="438"/>
    </row>
    <row r="218" spans="1:3" s="1" customFormat="1">
      <c r="A218" s="31"/>
      <c r="B218" s="31"/>
      <c r="C218" s="438"/>
    </row>
    <row r="219" spans="1:3" s="1" customFormat="1">
      <c r="A219" s="31"/>
      <c r="B219" s="31"/>
      <c r="C219" s="438"/>
    </row>
    <row r="220" spans="1:3" s="1" customFormat="1">
      <c r="A220" s="31"/>
      <c r="B220" s="31"/>
      <c r="C220" s="438"/>
    </row>
    <row r="221" spans="1:3" s="1" customFormat="1">
      <c r="A221" s="31"/>
      <c r="B221" s="31"/>
      <c r="C221" s="438"/>
    </row>
    <row r="222" spans="1:3" s="1" customFormat="1">
      <c r="A222" s="31"/>
      <c r="B222" s="31"/>
      <c r="C222" s="438"/>
    </row>
    <row r="223" spans="1:3" s="1" customFormat="1">
      <c r="A223" s="31"/>
      <c r="B223" s="31"/>
      <c r="C223" s="438"/>
    </row>
    <row r="224" spans="1:3" s="1" customFormat="1">
      <c r="A224" s="31"/>
      <c r="B224" s="31"/>
      <c r="C224" s="438"/>
    </row>
    <row r="225" spans="1:3" s="1" customFormat="1">
      <c r="A225" s="31"/>
      <c r="B225" s="31"/>
      <c r="C225" s="438"/>
    </row>
    <row r="226" spans="1:3" s="1" customFormat="1">
      <c r="A226" s="31"/>
      <c r="B226" s="31"/>
      <c r="C226" s="438"/>
    </row>
    <row r="227" spans="1:3" s="1" customFormat="1">
      <c r="A227" s="31"/>
      <c r="B227" s="31"/>
      <c r="C227" s="438"/>
    </row>
    <row r="228" spans="1:3" s="1" customFormat="1">
      <c r="A228" s="31"/>
      <c r="B228" s="31"/>
      <c r="C228" s="438"/>
    </row>
    <row r="229" spans="1:3" s="1" customFormat="1">
      <c r="A229" s="31"/>
      <c r="B229" s="31"/>
      <c r="C229" s="438"/>
    </row>
    <row r="230" spans="1:3" s="1" customFormat="1">
      <c r="A230" s="31"/>
      <c r="B230" s="31"/>
      <c r="C230" s="438"/>
    </row>
    <row r="231" spans="1:3" s="1" customFormat="1">
      <c r="A231" s="31"/>
      <c r="B231" s="31"/>
      <c r="C231" s="438"/>
    </row>
    <row r="232" spans="1:3" s="1" customFormat="1">
      <c r="A232" s="31"/>
      <c r="B232" s="31"/>
      <c r="C232" s="438"/>
    </row>
    <row r="233" spans="1:3" s="1" customFormat="1">
      <c r="A233" s="31"/>
      <c r="B233" s="31"/>
      <c r="C233" s="438"/>
    </row>
    <row r="234" spans="1:3" s="1" customFormat="1">
      <c r="A234" s="31"/>
      <c r="B234" s="31"/>
      <c r="C234" s="438"/>
    </row>
    <row r="235" spans="1:3" s="1" customFormat="1">
      <c r="A235" s="31"/>
      <c r="B235" s="31"/>
      <c r="C235" s="438"/>
    </row>
    <row r="236" spans="1:3" s="1" customFormat="1">
      <c r="A236" s="31"/>
      <c r="B236" s="31"/>
      <c r="C236" s="438"/>
    </row>
    <row r="237" spans="1:3" s="1" customFormat="1">
      <c r="A237" s="31"/>
      <c r="B237" s="31"/>
      <c r="C237" s="438"/>
    </row>
    <row r="238" spans="1:3" s="1" customFormat="1">
      <c r="A238" s="31"/>
      <c r="B238" s="31"/>
      <c r="C238" s="438"/>
    </row>
    <row r="239" spans="1:3" s="1" customFormat="1">
      <c r="A239" s="31"/>
      <c r="B239" s="31"/>
      <c r="C239" s="438"/>
    </row>
    <row r="240" spans="1:3" s="1" customFormat="1">
      <c r="A240" s="31"/>
      <c r="B240" s="31"/>
      <c r="C240" s="438"/>
    </row>
    <row r="241" spans="1:3" s="1" customFormat="1">
      <c r="A241" s="31"/>
      <c r="B241" s="31"/>
      <c r="C241" s="438"/>
    </row>
    <row r="242" spans="1:3" s="1" customFormat="1">
      <c r="A242" s="31"/>
      <c r="B242" s="31"/>
      <c r="C242" s="438"/>
    </row>
    <row r="243" spans="1:3" s="1" customFormat="1">
      <c r="A243" s="31"/>
      <c r="B243" s="31"/>
      <c r="C243" s="438"/>
    </row>
    <row r="244" spans="1:3" s="1" customFormat="1">
      <c r="A244" s="31"/>
      <c r="B244" s="31"/>
      <c r="C244" s="438"/>
    </row>
    <row r="245" spans="1:3" s="1" customFormat="1">
      <c r="A245" s="31"/>
      <c r="B245" s="31"/>
      <c r="C245" s="438"/>
    </row>
    <row r="246" spans="1:3" s="1" customFormat="1">
      <c r="A246" s="31"/>
      <c r="B246" s="31"/>
      <c r="C246" s="438"/>
    </row>
    <row r="247" spans="1:3" s="1" customFormat="1">
      <c r="A247" s="31"/>
      <c r="B247" s="31"/>
      <c r="C247" s="438"/>
    </row>
    <row r="248" spans="1:3" s="1" customFormat="1">
      <c r="A248" s="31"/>
      <c r="B248" s="31"/>
      <c r="C248" s="438"/>
    </row>
    <row r="249" spans="1:3" s="1" customFormat="1">
      <c r="A249" s="31"/>
      <c r="B249" s="31"/>
      <c r="C249" s="438"/>
    </row>
    <row r="250" spans="1:3" s="1" customFormat="1">
      <c r="A250" s="31"/>
      <c r="B250" s="31"/>
      <c r="C250" s="438"/>
    </row>
    <row r="251" spans="1:3" s="1" customFormat="1">
      <c r="A251" s="31"/>
      <c r="B251" s="31"/>
      <c r="C251" s="438"/>
    </row>
    <row r="252" spans="1:3" s="1" customFormat="1">
      <c r="A252" s="31"/>
      <c r="B252" s="31"/>
      <c r="C252" s="438"/>
    </row>
    <row r="253" spans="1:3" s="1" customFormat="1">
      <c r="A253" s="31"/>
      <c r="B253" s="31"/>
      <c r="C253" s="438"/>
    </row>
    <row r="254" spans="1:3" s="1" customFormat="1">
      <c r="A254" s="31"/>
      <c r="B254" s="31"/>
      <c r="C254" s="438"/>
    </row>
    <row r="255" spans="1:3" s="1" customFormat="1">
      <c r="A255" s="31"/>
      <c r="B255" s="31"/>
      <c r="C255" s="438"/>
    </row>
    <row r="256" spans="1:3" s="1" customFormat="1">
      <c r="A256" s="31"/>
      <c r="B256" s="31"/>
      <c r="C256" s="438"/>
    </row>
    <row r="257" spans="1:3" s="1" customFormat="1">
      <c r="A257" s="31"/>
      <c r="B257" s="31"/>
      <c r="C257" s="438"/>
    </row>
    <row r="258" spans="1:3" s="1" customFormat="1">
      <c r="A258" s="31"/>
      <c r="B258" s="31"/>
      <c r="C258" s="438"/>
    </row>
    <row r="259" spans="1:3" s="1" customFormat="1">
      <c r="A259" s="31"/>
      <c r="B259" s="31"/>
      <c r="C259" s="438"/>
    </row>
    <row r="260" spans="1:3" s="1" customFormat="1">
      <c r="A260" s="31"/>
      <c r="B260" s="31"/>
      <c r="C260" s="438"/>
    </row>
    <row r="261" spans="1:3" s="1" customFormat="1">
      <c r="A261" s="31"/>
      <c r="B261" s="31"/>
      <c r="C261" s="438"/>
    </row>
    <row r="262" spans="1:3" s="1" customFormat="1">
      <c r="A262" s="31"/>
      <c r="B262" s="31"/>
      <c r="C262" s="438"/>
    </row>
    <row r="263" spans="1:3" s="1" customFormat="1">
      <c r="A263" s="31"/>
      <c r="B263" s="31"/>
      <c r="C263" s="438"/>
    </row>
    <row r="264" spans="1:3" s="1" customFormat="1">
      <c r="A264" s="31"/>
      <c r="B264" s="31"/>
      <c r="C264" s="438"/>
    </row>
    <row r="265" spans="1:3" s="1" customFormat="1">
      <c r="A265" s="31"/>
      <c r="B265" s="31"/>
      <c r="C265" s="438"/>
    </row>
    <row r="266" spans="1:3" s="1" customFormat="1">
      <c r="A266" s="31"/>
      <c r="B266" s="31"/>
      <c r="C266" s="438"/>
    </row>
    <row r="267" spans="1:3" s="1" customFormat="1">
      <c r="A267" s="31"/>
      <c r="B267" s="31"/>
      <c r="C267" s="438"/>
    </row>
    <row r="268" spans="1:3" s="1" customFormat="1">
      <c r="A268" s="31"/>
      <c r="B268" s="31"/>
      <c r="C268" s="438"/>
    </row>
    <row r="269" spans="1:3" s="1" customFormat="1">
      <c r="A269" s="31"/>
      <c r="B269" s="31"/>
      <c r="C269" s="438"/>
    </row>
    <row r="270" spans="1:3" s="1" customFormat="1">
      <c r="A270" s="31"/>
      <c r="B270" s="31"/>
      <c r="C270" s="438"/>
    </row>
    <row r="271" spans="1:3" s="1" customFormat="1">
      <c r="A271" s="31"/>
      <c r="B271" s="31"/>
      <c r="C271" s="438"/>
    </row>
    <row r="272" spans="1:3" s="1" customFormat="1">
      <c r="A272" s="31"/>
      <c r="B272" s="31"/>
      <c r="C272" s="438"/>
    </row>
    <row r="273" spans="1:3" s="1" customFormat="1">
      <c r="A273" s="31"/>
      <c r="B273" s="31"/>
      <c r="C273" s="438"/>
    </row>
    <row r="274" spans="1:3" s="1" customFormat="1">
      <c r="A274" s="31"/>
      <c r="B274" s="31"/>
      <c r="C274" s="438"/>
    </row>
    <row r="275" spans="1:3" s="1" customFormat="1">
      <c r="A275" s="31"/>
      <c r="B275" s="31"/>
      <c r="C275" s="438"/>
    </row>
    <row r="276" spans="1:3" s="1" customFormat="1">
      <c r="A276" s="31"/>
      <c r="B276" s="31"/>
      <c r="C276" s="438"/>
    </row>
    <row r="277" spans="1:3" s="1" customFormat="1">
      <c r="A277" s="31"/>
      <c r="B277" s="31"/>
      <c r="C277" s="438"/>
    </row>
    <row r="278" spans="1:3" s="1" customFormat="1">
      <c r="A278" s="31"/>
      <c r="B278" s="31"/>
      <c r="C278" s="438"/>
    </row>
    <row r="279" spans="1:3" s="1" customFormat="1">
      <c r="A279" s="31"/>
      <c r="B279" s="31"/>
      <c r="C279" s="438"/>
    </row>
    <row r="280" spans="1:3" s="1" customFormat="1">
      <c r="A280" s="31"/>
      <c r="B280" s="31"/>
      <c r="C280" s="438"/>
    </row>
    <row r="281" spans="1:3" s="1" customFormat="1">
      <c r="A281" s="31"/>
      <c r="B281" s="31"/>
      <c r="C281" s="438"/>
    </row>
    <row r="282" spans="1:3" s="1" customFormat="1">
      <c r="A282" s="31"/>
      <c r="B282" s="31"/>
      <c r="C282" s="438"/>
    </row>
    <row r="283" spans="1:3" s="1" customFormat="1">
      <c r="A283" s="31"/>
      <c r="B283" s="31"/>
      <c r="C283" s="438"/>
    </row>
    <row r="284" spans="1:3" s="1" customFormat="1">
      <c r="A284" s="31"/>
      <c r="B284" s="31"/>
      <c r="C284" s="438"/>
    </row>
    <row r="285" spans="1:3" s="1" customFormat="1">
      <c r="A285" s="31"/>
      <c r="B285" s="31"/>
      <c r="C285" s="438"/>
    </row>
    <row r="286" spans="1:3" s="1" customFormat="1">
      <c r="A286" s="31"/>
      <c r="B286" s="31"/>
      <c r="C286" s="438"/>
    </row>
    <row r="287" spans="1:3" s="1" customFormat="1">
      <c r="A287" s="31"/>
      <c r="B287" s="31"/>
      <c r="C287" s="438"/>
    </row>
    <row r="288" spans="1:3" s="1" customFormat="1">
      <c r="A288" s="31"/>
      <c r="B288" s="31"/>
      <c r="C288" s="438"/>
    </row>
    <row r="289" spans="1:3" s="1" customFormat="1">
      <c r="A289" s="31"/>
      <c r="B289" s="31"/>
      <c r="C289" s="438"/>
    </row>
    <row r="290" spans="1:3" s="1" customFormat="1">
      <c r="A290" s="31"/>
      <c r="B290" s="31"/>
      <c r="C290" s="438"/>
    </row>
    <row r="291" spans="1:3" s="1" customFormat="1">
      <c r="A291" s="31"/>
      <c r="B291" s="31"/>
      <c r="C291" s="438"/>
    </row>
    <row r="292" spans="1:3" s="1" customFormat="1">
      <c r="A292" s="31"/>
      <c r="B292" s="31"/>
      <c r="C292" s="438"/>
    </row>
    <row r="293" spans="1:3" s="1" customFormat="1">
      <c r="A293" s="31"/>
      <c r="B293" s="31"/>
      <c r="C293" s="438"/>
    </row>
    <row r="294" spans="1:3" s="1" customFormat="1">
      <c r="A294" s="31"/>
      <c r="B294" s="31"/>
      <c r="C294" s="438"/>
    </row>
    <row r="295" spans="1:3" s="1" customFormat="1">
      <c r="A295" s="31"/>
      <c r="B295" s="31"/>
      <c r="C295" s="438"/>
    </row>
    <row r="296" spans="1:3" s="1" customFormat="1">
      <c r="A296" s="31"/>
      <c r="B296" s="31"/>
      <c r="C296" s="438"/>
    </row>
    <row r="297" spans="1:3" s="1" customFormat="1">
      <c r="A297" s="31"/>
      <c r="B297" s="31"/>
      <c r="C297" s="438"/>
    </row>
    <row r="298" spans="1:3" s="1" customFormat="1">
      <c r="A298" s="31"/>
      <c r="B298" s="31"/>
      <c r="C298" s="438"/>
    </row>
    <row r="299" spans="1:3" s="1" customFormat="1">
      <c r="A299" s="31"/>
      <c r="B299" s="31"/>
      <c r="C299" s="438"/>
    </row>
    <row r="300" spans="1:3" s="1" customFormat="1">
      <c r="A300" s="31"/>
      <c r="B300" s="31"/>
      <c r="C300" s="438"/>
    </row>
    <row r="301" spans="1:3" s="1" customFormat="1">
      <c r="A301" s="31"/>
      <c r="B301" s="31"/>
      <c r="C301" s="438"/>
    </row>
    <row r="302" spans="1:3" s="1" customFormat="1">
      <c r="A302" s="31"/>
      <c r="B302" s="31"/>
      <c r="C302" s="438"/>
    </row>
    <row r="303" spans="1:3" s="1" customFormat="1">
      <c r="A303" s="31"/>
      <c r="B303" s="31"/>
      <c r="C303" s="438"/>
    </row>
    <row r="304" spans="1:3" s="1" customFormat="1">
      <c r="A304" s="31"/>
      <c r="B304" s="31"/>
      <c r="C304" s="438"/>
    </row>
    <row r="305" spans="1:3" s="1" customFormat="1">
      <c r="A305" s="31"/>
      <c r="B305" s="31"/>
      <c r="C305" s="438"/>
    </row>
    <row r="306" spans="1:3" s="1" customFormat="1">
      <c r="A306" s="31"/>
      <c r="B306" s="31"/>
      <c r="C306" s="438"/>
    </row>
    <row r="307" spans="1:3" s="1" customFormat="1">
      <c r="A307" s="31"/>
      <c r="B307" s="31"/>
      <c r="C307" s="438"/>
    </row>
    <row r="308" spans="1:3" s="1" customFormat="1">
      <c r="A308" s="31"/>
      <c r="B308" s="31"/>
      <c r="C308" s="438"/>
    </row>
    <row r="309" spans="1:3" s="1" customFormat="1">
      <c r="A309" s="31"/>
      <c r="B309" s="31"/>
      <c r="C309" s="438"/>
    </row>
    <row r="310" spans="1:3" s="1" customFormat="1">
      <c r="A310" s="31"/>
      <c r="B310" s="31"/>
      <c r="C310" s="438"/>
    </row>
    <row r="311" spans="1:3" s="1" customFormat="1">
      <c r="A311" s="31"/>
      <c r="B311" s="31"/>
      <c r="C311" s="438"/>
    </row>
    <row r="312" spans="1:3" s="1" customFormat="1">
      <c r="A312" s="31"/>
      <c r="B312" s="31"/>
      <c r="C312" s="438"/>
    </row>
    <row r="313" spans="1:3" s="1" customFormat="1">
      <c r="A313" s="31"/>
      <c r="B313" s="31"/>
      <c r="C313" s="438"/>
    </row>
    <row r="314" spans="1:3" s="1" customFormat="1">
      <c r="A314" s="31"/>
      <c r="B314" s="31"/>
      <c r="C314" s="438"/>
    </row>
    <row r="315" spans="1:3" s="1" customFormat="1">
      <c r="A315" s="31"/>
      <c r="B315" s="31"/>
      <c r="C315" s="438"/>
    </row>
    <row r="316" spans="1:3" s="1" customFormat="1">
      <c r="A316" s="31"/>
      <c r="B316" s="31"/>
      <c r="C316" s="438"/>
    </row>
    <row r="317" spans="1:3" s="1" customFormat="1">
      <c r="A317" s="31"/>
      <c r="B317" s="31"/>
      <c r="C317" s="438"/>
    </row>
    <row r="318" spans="1:3" s="1" customFormat="1">
      <c r="A318" s="31"/>
      <c r="B318" s="31"/>
      <c r="C318" s="438"/>
    </row>
    <row r="319" spans="1:3" s="1" customFormat="1">
      <c r="A319" s="31"/>
      <c r="B319" s="31"/>
      <c r="C319" s="438"/>
    </row>
    <row r="320" spans="1:3" s="1" customFormat="1">
      <c r="A320" s="31"/>
      <c r="B320" s="31"/>
      <c r="C320" s="438"/>
    </row>
    <row r="321" spans="1:3" s="1" customFormat="1">
      <c r="A321" s="31"/>
      <c r="B321" s="31"/>
      <c r="C321" s="438"/>
    </row>
    <row r="322" spans="1:3" s="1" customFormat="1">
      <c r="A322" s="31"/>
      <c r="B322" s="31"/>
      <c r="C322" s="438"/>
    </row>
    <row r="323" spans="1:3" s="1" customFormat="1">
      <c r="A323" s="31"/>
      <c r="B323" s="31"/>
      <c r="C323" s="438"/>
    </row>
    <row r="324" spans="1:3" s="1" customFormat="1">
      <c r="A324" s="31"/>
      <c r="B324" s="31"/>
      <c r="C324" s="438"/>
    </row>
    <row r="325" spans="1:3" s="1" customFormat="1">
      <c r="A325" s="31"/>
      <c r="B325" s="31"/>
      <c r="C325" s="438"/>
    </row>
    <row r="326" spans="1:3" s="1" customFormat="1">
      <c r="A326" s="31"/>
      <c r="B326" s="31"/>
      <c r="C326" s="438"/>
    </row>
    <row r="327" spans="1:3" s="1" customFormat="1">
      <c r="A327" s="31"/>
      <c r="B327" s="31"/>
      <c r="C327" s="438"/>
    </row>
    <row r="328" spans="1:3" s="1" customFormat="1">
      <c r="A328" s="31"/>
      <c r="B328" s="31"/>
      <c r="C328" s="438"/>
    </row>
    <row r="329" spans="1:3" s="1" customFormat="1">
      <c r="A329" s="31"/>
      <c r="B329" s="31"/>
      <c r="C329" s="438"/>
    </row>
    <row r="330" spans="1:3" s="1" customFormat="1">
      <c r="A330" s="31"/>
      <c r="B330" s="31"/>
      <c r="C330" s="438"/>
    </row>
    <row r="331" spans="1:3" s="1" customFormat="1">
      <c r="A331" s="31"/>
      <c r="B331" s="31"/>
      <c r="C331" s="438"/>
    </row>
    <row r="332" spans="1:3" s="1" customFormat="1">
      <c r="A332" s="31"/>
      <c r="B332" s="31"/>
      <c r="C332" s="438"/>
    </row>
    <row r="333" spans="1:3" s="1" customFormat="1">
      <c r="A333" s="31"/>
      <c r="B333" s="31"/>
      <c r="C333" s="438"/>
    </row>
    <row r="334" spans="1:3" s="1" customFormat="1">
      <c r="A334" s="31"/>
      <c r="B334" s="31"/>
      <c r="C334" s="438"/>
    </row>
    <row r="335" spans="1:3" s="1" customFormat="1">
      <c r="A335" s="31"/>
      <c r="B335" s="31"/>
      <c r="C335" s="438"/>
    </row>
    <row r="336" spans="1:3" s="1" customFormat="1">
      <c r="A336" s="31"/>
      <c r="B336" s="31"/>
      <c r="C336" s="438"/>
    </row>
    <row r="337" spans="1:3" s="1" customFormat="1">
      <c r="A337" s="31"/>
      <c r="B337" s="31"/>
      <c r="C337" s="438"/>
    </row>
    <row r="338" spans="1:3" s="1" customFormat="1">
      <c r="A338" s="31"/>
      <c r="B338" s="31"/>
      <c r="C338" s="438"/>
    </row>
    <row r="339" spans="1:3" s="1" customFormat="1">
      <c r="A339" s="31"/>
      <c r="B339" s="31"/>
      <c r="C339" s="438"/>
    </row>
    <row r="340" spans="1:3" s="1" customFormat="1">
      <c r="A340" s="31"/>
      <c r="B340" s="31"/>
      <c r="C340" s="438"/>
    </row>
    <row r="341" spans="1:3" s="1" customFormat="1">
      <c r="A341" s="31"/>
      <c r="B341" s="31"/>
      <c r="C341" s="438"/>
    </row>
    <row r="342" spans="1:3" s="1" customFormat="1">
      <c r="A342" s="31"/>
      <c r="B342" s="31"/>
      <c r="C342" s="438"/>
    </row>
    <row r="343" spans="1:3" s="1" customFormat="1">
      <c r="A343" s="31"/>
      <c r="B343" s="31"/>
      <c r="C343" s="438"/>
    </row>
    <row r="344" spans="1:3" s="1" customFormat="1">
      <c r="A344" s="31"/>
      <c r="B344" s="31"/>
      <c r="C344" s="438"/>
    </row>
    <row r="345" spans="1:3" s="1" customFormat="1">
      <c r="A345" s="31"/>
      <c r="B345" s="31"/>
      <c r="C345" s="438"/>
    </row>
    <row r="346" spans="1:3" s="1" customFormat="1">
      <c r="A346" s="31"/>
      <c r="B346" s="31"/>
      <c r="C346" s="438"/>
    </row>
    <row r="347" spans="1:3" s="1" customFormat="1">
      <c r="A347" s="31"/>
      <c r="B347" s="31"/>
      <c r="C347" s="438"/>
    </row>
    <row r="348" spans="1:3" s="1" customFormat="1">
      <c r="A348" s="31"/>
      <c r="B348" s="31"/>
      <c r="C348" s="438"/>
    </row>
    <row r="349" spans="1:3" s="1" customFormat="1">
      <c r="A349" s="31"/>
      <c r="B349" s="31"/>
      <c r="C349" s="438"/>
    </row>
    <row r="350" spans="1:3" s="1" customFormat="1">
      <c r="A350" s="31"/>
      <c r="B350" s="31"/>
      <c r="C350" s="438"/>
    </row>
    <row r="351" spans="1:3" s="1" customFormat="1">
      <c r="A351" s="31"/>
      <c r="B351" s="31"/>
      <c r="C351" s="438"/>
    </row>
    <row r="352" spans="1:3" s="1" customFormat="1">
      <c r="A352" s="31"/>
      <c r="B352" s="31"/>
      <c r="C352" s="438"/>
    </row>
    <row r="353" spans="1:3" s="1" customFormat="1">
      <c r="A353" s="31"/>
      <c r="B353" s="31"/>
      <c r="C353" s="438"/>
    </row>
    <row r="354" spans="1:3" s="1" customFormat="1">
      <c r="A354" s="31"/>
      <c r="B354" s="31"/>
      <c r="C354" s="438"/>
    </row>
    <row r="355" spans="1:3" s="1" customFormat="1">
      <c r="A355" s="31"/>
      <c r="B355" s="31"/>
      <c r="C355" s="438"/>
    </row>
    <row r="356" spans="1:3" s="1" customFormat="1">
      <c r="A356" s="31"/>
      <c r="B356" s="31"/>
      <c r="C356" s="438"/>
    </row>
    <row r="357" spans="1:3" s="1" customFormat="1">
      <c r="A357" s="31"/>
      <c r="B357" s="31"/>
      <c r="C357" s="438"/>
    </row>
    <row r="358" spans="1:3" s="1" customFormat="1">
      <c r="A358" s="31"/>
      <c r="B358" s="31"/>
      <c r="C358" s="438"/>
    </row>
    <row r="359" spans="1:3" s="1" customFormat="1">
      <c r="A359" s="31"/>
      <c r="B359" s="31"/>
      <c r="C359" s="438"/>
    </row>
    <row r="360" spans="1:3" s="1" customFormat="1">
      <c r="A360" s="31"/>
      <c r="B360" s="31"/>
      <c r="C360" s="438"/>
    </row>
    <row r="361" spans="1:3" s="1" customFormat="1">
      <c r="A361" s="31"/>
      <c r="B361" s="31"/>
      <c r="C361" s="438"/>
    </row>
    <row r="362" spans="1:3" s="1" customFormat="1">
      <c r="A362" s="31"/>
      <c r="B362" s="31"/>
      <c r="C362" s="438"/>
    </row>
    <row r="363" spans="1:3" s="1" customFormat="1">
      <c r="A363" s="31"/>
      <c r="B363" s="31"/>
      <c r="C363" s="438"/>
    </row>
    <row r="364" spans="1:3" s="1" customFormat="1">
      <c r="A364" s="31"/>
      <c r="B364" s="31"/>
      <c r="C364" s="438"/>
    </row>
    <row r="365" spans="1:3" s="1" customFormat="1">
      <c r="A365" s="31"/>
      <c r="B365" s="31"/>
      <c r="C365" s="438"/>
    </row>
    <row r="366" spans="1:3" s="1" customFormat="1">
      <c r="A366" s="31"/>
      <c r="B366" s="31"/>
      <c r="C366" s="438"/>
    </row>
    <row r="367" spans="1:3" s="1" customFormat="1">
      <c r="A367" s="31"/>
      <c r="B367" s="31"/>
      <c r="C367" s="438"/>
    </row>
    <row r="368" spans="1:3" s="1" customFormat="1">
      <c r="A368" s="31"/>
      <c r="B368" s="31"/>
      <c r="C368" s="438"/>
    </row>
    <row r="369" spans="1:3" s="1" customFormat="1">
      <c r="A369" s="31"/>
      <c r="B369" s="31"/>
      <c r="C369" s="438"/>
    </row>
    <row r="370" spans="1:3" s="1" customFormat="1">
      <c r="A370" s="31"/>
      <c r="B370" s="31"/>
      <c r="C370" s="438"/>
    </row>
    <row r="371" spans="1:3" s="1" customFormat="1">
      <c r="A371" s="31"/>
      <c r="B371" s="31"/>
      <c r="C371" s="438"/>
    </row>
    <row r="372" spans="1:3" s="1" customFormat="1">
      <c r="A372" s="31"/>
      <c r="B372" s="31"/>
      <c r="C372" s="438"/>
    </row>
    <row r="373" spans="1:3" s="1" customFormat="1">
      <c r="A373" s="31"/>
      <c r="B373" s="31"/>
      <c r="C373" s="438"/>
    </row>
    <row r="374" spans="1:3" s="1" customFormat="1">
      <c r="A374" s="31"/>
      <c r="B374" s="31"/>
      <c r="C374" s="438"/>
    </row>
    <row r="375" spans="1:3" s="1" customFormat="1">
      <c r="A375" s="31"/>
      <c r="B375" s="31"/>
      <c r="C375" s="438"/>
    </row>
    <row r="376" spans="1:3" s="1" customFormat="1">
      <c r="A376" s="31"/>
      <c r="B376" s="31"/>
      <c r="C376" s="438"/>
    </row>
    <row r="377" spans="1:3" s="1" customFormat="1">
      <c r="A377" s="31"/>
      <c r="B377" s="31"/>
      <c r="C377" s="438"/>
    </row>
    <row r="378" spans="1:3" s="1" customFormat="1">
      <c r="A378" s="31"/>
      <c r="B378" s="31"/>
      <c r="C378" s="438"/>
    </row>
    <row r="379" spans="1:3" s="1" customFormat="1">
      <c r="A379" s="31"/>
      <c r="B379" s="31"/>
      <c r="C379" s="438"/>
    </row>
    <row r="380" spans="1:3" s="1" customFormat="1">
      <c r="A380" s="31"/>
      <c r="B380" s="31"/>
      <c r="C380" s="438"/>
    </row>
    <row r="381" spans="1:3" s="1" customFormat="1">
      <c r="A381" s="31"/>
      <c r="B381" s="31"/>
      <c r="C381" s="438"/>
    </row>
    <row r="382" spans="1:3" s="1" customFormat="1">
      <c r="A382" s="31"/>
      <c r="B382" s="31"/>
      <c r="C382" s="438"/>
    </row>
    <row r="383" spans="1:3" s="1" customFormat="1">
      <c r="A383" s="31"/>
      <c r="B383" s="31"/>
      <c r="C383" s="438"/>
    </row>
    <row r="384" spans="1:3" s="1" customFormat="1">
      <c r="A384" s="31"/>
      <c r="B384" s="31"/>
      <c r="C384" s="438"/>
    </row>
    <row r="385" spans="1:3" s="1" customFormat="1">
      <c r="A385" s="31"/>
      <c r="B385" s="31"/>
      <c r="C385" s="438"/>
    </row>
    <row r="386" spans="1:3" s="1" customFormat="1">
      <c r="A386" s="31"/>
      <c r="B386" s="31"/>
      <c r="C386" s="438"/>
    </row>
    <row r="387" spans="1:3" s="1" customFormat="1">
      <c r="A387" s="31"/>
      <c r="B387" s="31"/>
      <c r="C387" s="438"/>
    </row>
    <row r="388" spans="1:3" s="1" customFormat="1">
      <c r="A388" s="31"/>
      <c r="B388" s="31"/>
      <c r="C388" s="438"/>
    </row>
    <row r="389" spans="1:3" s="1" customFormat="1">
      <c r="A389" s="31"/>
      <c r="B389" s="31"/>
      <c r="C389" s="438"/>
    </row>
    <row r="390" spans="1:3" s="1" customFormat="1">
      <c r="A390" s="31"/>
      <c r="B390" s="31"/>
      <c r="C390" s="438"/>
    </row>
    <row r="391" spans="1:3" s="1" customFormat="1">
      <c r="A391" s="31"/>
      <c r="B391" s="31"/>
      <c r="C391" s="438"/>
    </row>
    <row r="392" spans="1:3" s="1" customFormat="1">
      <c r="A392" s="31"/>
      <c r="B392" s="31"/>
      <c r="C392" s="438"/>
    </row>
    <row r="393" spans="1:3" s="1" customFormat="1">
      <c r="A393" s="31"/>
      <c r="B393" s="31"/>
      <c r="C393" s="438"/>
    </row>
    <row r="394" spans="1:3" s="1" customFormat="1">
      <c r="A394" s="31"/>
      <c r="B394" s="31"/>
      <c r="C394" s="438"/>
    </row>
    <row r="395" spans="1:3" s="1" customFormat="1">
      <c r="A395" s="31"/>
      <c r="B395" s="31"/>
      <c r="C395" s="438"/>
    </row>
    <row r="396" spans="1:3" s="1" customFormat="1">
      <c r="A396" s="31"/>
      <c r="B396" s="31"/>
      <c r="C396" s="438"/>
    </row>
    <row r="397" spans="1:3" s="1" customFormat="1">
      <c r="A397" s="31"/>
      <c r="B397" s="31"/>
      <c r="C397" s="438"/>
    </row>
    <row r="398" spans="1:3" s="1" customFormat="1">
      <c r="A398" s="31"/>
      <c r="B398" s="31"/>
      <c r="C398" s="438"/>
    </row>
    <row r="399" spans="1:3" s="1" customFormat="1">
      <c r="A399" s="31"/>
      <c r="B399" s="31"/>
      <c r="C399" s="438"/>
    </row>
    <row r="400" spans="1:3" s="1" customFormat="1">
      <c r="A400" s="31"/>
      <c r="B400" s="31"/>
      <c r="C400" s="438"/>
    </row>
    <row r="401" spans="1:3" s="1" customFormat="1">
      <c r="A401" s="31"/>
      <c r="B401" s="31"/>
      <c r="C401" s="438"/>
    </row>
    <row r="402" spans="1:3" s="1" customFormat="1">
      <c r="A402" s="31"/>
      <c r="B402" s="31"/>
      <c r="C402" s="438"/>
    </row>
    <row r="403" spans="1:3" s="1" customFormat="1">
      <c r="A403" s="31"/>
      <c r="B403" s="31"/>
      <c r="C403" s="438"/>
    </row>
    <row r="404" spans="1:3" s="1" customFormat="1">
      <c r="A404" s="31"/>
      <c r="B404" s="31"/>
      <c r="C404" s="438"/>
    </row>
    <row r="405" spans="1:3" s="1" customFormat="1">
      <c r="A405" s="31"/>
      <c r="B405" s="31"/>
      <c r="C405" s="438"/>
    </row>
    <row r="406" spans="1:3" s="1" customFormat="1">
      <c r="A406" s="31"/>
      <c r="B406" s="31"/>
      <c r="C406" s="438"/>
    </row>
    <row r="407" spans="1:3" s="1" customFormat="1">
      <c r="A407" s="31"/>
      <c r="B407" s="31"/>
      <c r="C407" s="438"/>
    </row>
    <row r="408" spans="1:3" s="1" customFormat="1">
      <c r="A408" s="31"/>
      <c r="B408" s="31"/>
      <c r="C408" s="438"/>
    </row>
    <row r="409" spans="1:3" s="1" customFormat="1">
      <c r="A409" s="31"/>
      <c r="B409" s="31"/>
      <c r="C409" s="438"/>
    </row>
    <row r="410" spans="1:3" s="1" customFormat="1">
      <c r="A410" s="31"/>
      <c r="B410" s="31"/>
      <c r="C410" s="438"/>
    </row>
    <row r="411" spans="1:3" s="1" customFormat="1">
      <c r="A411" s="31"/>
      <c r="B411" s="31"/>
      <c r="C411" s="438"/>
    </row>
    <row r="412" spans="1:3" s="1" customFormat="1">
      <c r="A412" s="31"/>
      <c r="B412" s="31"/>
      <c r="C412" s="438"/>
    </row>
    <row r="413" spans="1:3" s="1" customFormat="1">
      <c r="A413" s="31"/>
      <c r="B413" s="31"/>
      <c r="C413" s="438"/>
    </row>
    <row r="414" spans="1:3" s="1" customFormat="1">
      <c r="A414" s="31"/>
      <c r="B414" s="31"/>
      <c r="C414" s="438"/>
    </row>
    <row r="415" spans="1:3" s="1" customFormat="1">
      <c r="A415" s="31"/>
      <c r="B415" s="31"/>
      <c r="C415" s="438"/>
    </row>
    <row r="416" spans="1:3" s="1" customFormat="1">
      <c r="A416" s="31"/>
      <c r="B416" s="31"/>
      <c r="C416" s="438"/>
    </row>
    <row r="417" spans="1:3" s="1" customFormat="1">
      <c r="A417" s="31"/>
      <c r="B417" s="31"/>
      <c r="C417" s="438"/>
    </row>
    <row r="418" spans="1:3" s="1" customFormat="1">
      <c r="A418" s="31"/>
      <c r="B418" s="31"/>
      <c r="C418" s="438"/>
    </row>
    <row r="419" spans="1:3" s="1" customFormat="1">
      <c r="A419" s="31"/>
      <c r="B419" s="31"/>
      <c r="C419" s="438"/>
    </row>
    <row r="420" spans="1:3" s="1" customFormat="1">
      <c r="A420" s="31"/>
      <c r="B420" s="31"/>
      <c r="C420" s="438"/>
    </row>
    <row r="421" spans="1:3" s="1" customFormat="1">
      <c r="A421" s="31"/>
      <c r="B421" s="31"/>
      <c r="C421" s="438"/>
    </row>
    <row r="422" spans="1:3" s="1" customFormat="1">
      <c r="A422" s="31"/>
      <c r="B422" s="31"/>
      <c r="C422" s="438"/>
    </row>
    <row r="423" spans="1:3" s="1" customFormat="1">
      <c r="A423" s="31"/>
      <c r="B423" s="31"/>
      <c r="C423" s="438"/>
    </row>
    <row r="424" spans="1:3" s="1" customFormat="1">
      <c r="A424" s="31"/>
      <c r="B424" s="31"/>
      <c r="C424" s="438"/>
    </row>
    <row r="425" spans="1:3" s="1" customFormat="1">
      <c r="A425" s="31"/>
      <c r="B425" s="31"/>
      <c r="C425" s="438"/>
    </row>
    <row r="426" spans="1:3" s="1" customFormat="1">
      <c r="A426" s="31"/>
      <c r="B426" s="31"/>
      <c r="C426" s="438"/>
    </row>
    <row r="427" spans="1:3" s="1" customFormat="1">
      <c r="A427" s="31"/>
      <c r="B427" s="31"/>
      <c r="C427" s="438"/>
    </row>
    <row r="428" spans="1:3" s="1" customFormat="1">
      <c r="A428" s="31"/>
      <c r="B428" s="31"/>
      <c r="C428" s="438"/>
    </row>
    <row r="429" spans="1:3" s="1" customFormat="1">
      <c r="A429" s="31"/>
      <c r="B429" s="31"/>
      <c r="C429" s="438"/>
    </row>
    <row r="430" spans="1:3" s="1" customFormat="1">
      <c r="A430" s="31"/>
      <c r="B430" s="31"/>
      <c r="C430" s="438"/>
    </row>
    <row r="431" spans="1:3" s="1" customFormat="1">
      <c r="A431" s="31"/>
      <c r="B431" s="31"/>
      <c r="C431" s="438"/>
    </row>
    <row r="432" spans="1:3" s="1" customFormat="1">
      <c r="A432" s="31"/>
      <c r="B432" s="31"/>
      <c r="C432" s="438"/>
    </row>
    <row r="433" spans="1:3" s="1" customFormat="1">
      <c r="A433" s="31"/>
      <c r="B433" s="31"/>
      <c r="C433" s="438"/>
    </row>
    <row r="434" spans="1:3" s="1" customFormat="1">
      <c r="A434" s="31"/>
      <c r="B434" s="31"/>
      <c r="C434" s="438"/>
    </row>
    <row r="435" spans="1:3" s="1" customFormat="1">
      <c r="A435" s="31"/>
      <c r="B435" s="31"/>
      <c r="C435" s="438"/>
    </row>
    <row r="436" spans="1:3" s="1" customFormat="1">
      <c r="A436" s="31"/>
      <c r="B436" s="31"/>
      <c r="C436" s="438"/>
    </row>
    <row r="437" spans="1:3" s="1" customFormat="1">
      <c r="A437" s="31"/>
      <c r="B437" s="31"/>
      <c r="C437" s="438"/>
    </row>
    <row r="438" spans="1:3" s="1" customFormat="1">
      <c r="A438" s="31"/>
      <c r="B438" s="31"/>
      <c r="C438" s="438"/>
    </row>
    <row r="439" spans="1:3" s="1" customFormat="1">
      <c r="A439" s="31"/>
      <c r="B439" s="31"/>
      <c r="C439" s="438"/>
    </row>
    <row r="440" spans="1:3" s="1" customFormat="1">
      <c r="A440" s="31"/>
      <c r="B440" s="31"/>
      <c r="C440" s="438"/>
    </row>
    <row r="441" spans="1:3" s="1" customFormat="1">
      <c r="A441" s="31"/>
      <c r="B441" s="31"/>
      <c r="C441" s="438"/>
    </row>
    <row r="442" spans="1:3" s="1" customFormat="1">
      <c r="A442" s="31"/>
      <c r="B442" s="31"/>
      <c r="C442" s="438"/>
    </row>
    <row r="443" spans="1:3" s="1" customFormat="1">
      <c r="A443" s="31"/>
      <c r="B443" s="31"/>
      <c r="C443" s="438"/>
    </row>
    <row r="444" spans="1:3" s="1" customFormat="1">
      <c r="A444" s="31"/>
      <c r="B444" s="31"/>
      <c r="C444" s="438"/>
    </row>
    <row r="445" spans="1:3" s="1" customFormat="1">
      <c r="A445" s="31"/>
      <c r="B445" s="31"/>
      <c r="C445" s="438"/>
    </row>
    <row r="446" spans="1:3" s="1" customFormat="1">
      <c r="A446" s="31"/>
      <c r="B446" s="31"/>
      <c r="C446" s="438"/>
    </row>
    <row r="447" spans="1:3" s="1" customFormat="1">
      <c r="A447" s="31"/>
      <c r="B447" s="31"/>
      <c r="C447" s="438"/>
    </row>
    <row r="448" spans="1:3" s="1" customFormat="1">
      <c r="A448" s="31"/>
      <c r="B448" s="31"/>
      <c r="C448" s="438"/>
    </row>
    <row r="449" spans="1:3" s="1" customFormat="1">
      <c r="A449" s="31"/>
      <c r="B449" s="31"/>
      <c r="C449" s="438"/>
    </row>
    <row r="450" spans="1:3" s="1" customFormat="1">
      <c r="A450" s="31"/>
      <c r="B450" s="31"/>
      <c r="C450" s="438"/>
    </row>
    <row r="451" spans="1:3" s="1" customFormat="1">
      <c r="A451" s="31"/>
      <c r="B451" s="31"/>
      <c r="C451" s="438"/>
    </row>
    <row r="452" spans="1:3" s="1" customFormat="1">
      <c r="A452" s="31"/>
      <c r="B452" s="31"/>
      <c r="C452" s="438"/>
    </row>
    <row r="453" spans="1:3" s="1" customFormat="1">
      <c r="A453" s="31"/>
      <c r="B453" s="31"/>
      <c r="C453" s="438"/>
    </row>
    <row r="454" spans="1:3" s="1" customFormat="1">
      <c r="A454" s="31"/>
      <c r="B454" s="31"/>
      <c r="C454" s="438"/>
    </row>
    <row r="455" spans="1:3" s="1" customFormat="1">
      <c r="A455" s="31"/>
      <c r="B455" s="31"/>
      <c r="C455" s="438"/>
    </row>
    <row r="456" spans="1:3" s="1" customFormat="1">
      <c r="A456" s="31"/>
      <c r="B456" s="31"/>
      <c r="C456" s="438"/>
    </row>
    <row r="457" spans="1:3" s="1" customFormat="1">
      <c r="A457" s="31"/>
      <c r="B457" s="31"/>
      <c r="C457" s="438"/>
    </row>
    <row r="458" spans="1:3" s="1" customFormat="1">
      <c r="A458" s="31"/>
      <c r="B458" s="31"/>
      <c r="C458" s="438"/>
    </row>
    <row r="459" spans="1:3" s="1" customFormat="1">
      <c r="A459" s="31"/>
      <c r="B459" s="31"/>
      <c r="C459" s="438"/>
    </row>
    <row r="460" spans="1:3" s="1" customFormat="1">
      <c r="A460" s="31"/>
      <c r="B460" s="31"/>
      <c r="C460" s="438"/>
    </row>
    <row r="461" spans="1:3" s="1" customFormat="1">
      <c r="A461" s="31"/>
      <c r="B461" s="31"/>
      <c r="C461" s="438"/>
    </row>
    <row r="462" spans="1:3" s="1" customFormat="1">
      <c r="A462" s="31"/>
      <c r="B462" s="31"/>
      <c r="C462" s="438"/>
    </row>
    <row r="463" spans="1:3" s="1" customFormat="1">
      <c r="A463" s="31"/>
      <c r="B463" s="31"/>
      <c r="C463" s="438"/>
    </row>
    <row r="464" spans="1:3" s="1" customFormat="1">
      <c r="A464" s="31"/>
      <c r="B464" s="31"/>
      <c r="C464" s="438"/>
    </row>
    <row r="465" spans="1:3" s="1" customFormat="1">
      <c r="A465" s="31"/>
      <c r="B465" s="31"/>
      <c r="C465" s="438"/>
    </row>
    <row r="466" spans="1:3" s="1" customFormat="1">
      <c r="A466" s="31"/>
      <c r="B466" s="31"/>
      <c r="C466" s="438"/>
    </row>
    <row r="467" spans="1:3" s="1" customFormat="1">
      <c r="A467" s="31"/>
      <c r="B467" s="31"/>
      <c r="C467" s="438"/>
    </row>
    <row r="468" spans="1:3" s="1" customFormat="1">
      <c r="A468" s="31"/>
      <c r="B468" s="31"/>
      <c r="C468" s="438"/>
    </row>
    <row r="469" spans="1:3" s="1" customFormat="1">
      <c r="A469" s="31"/>
      <c r="B469" s="31"/>
      <c r="C469" s="438"/>
    </row>
    <row r="470" spans="1:3" s="1" customFormat="1">
      <c r="A470" s="31"/>
      <c r="B470" s="31"/>
      <c r="C470" s="438"/>
    </row>
    <row r="471" spans="1:3" s="1" customFormat="1">
      <c r="A471" s="31"/>
      <c r="B471" s="31"/>
      <c r="C471" s="438"/>
    </row>
    <row r="472" spans="1:3" s="1" customFormat="1">
      <c r="A472" s="31"/>
      <c r="B472" s="31"/>
      <c r="C472" s="438"/>
    </row>
    <row r="473" spans="1:3" s="1" customFormat="1">
      <c r="A473" s="31"/>
      <c r="B473" s="31"/>
      <c r="C473" s="438"/>
    </row>
    <row r="474" spans="1:3" s="1" customFormat="1">
      <c r="A474" s="31"/>
      <c r="B474" s="31"/>
      <c r="C474" s="438"/>
    </row>
    <row r="475" spans="1:3" s="1" customFormat="1">
      <c r="A475" s="31"/>
      <c r="B475" s="31"/>
      <c r="C475" s="438"/>
    </row>
    <row r="476" spans="1:3" s="1" customFormat="1">
      <c r="A476" s="31"/>
      <c r="B476" s="31"/>
      <c r="C476" s="438"/>
    </row>
    <row r="477" spans="1:3" s="1" customFormat="1">
      <c r="A477" s="31"/>
      <c r="B477" s="31"/>
      <c r="C477" s="438"/>
    </row>
    <row r="478" spans="1:3" s="1" customFormat="1">
      <c r="A478" s="31"/>
      <c r="B478" s="31"/>
      <c r="C478" s="438"/>
    </row>
    <row r="479" spans="1:3" s="1" customFormat="1">
      <c r="A479" s="31"/>
      <c r="B479" s="31"/>
      <c r="C479" s="438"/>
    </row>
    <row r="480" spans="1:3" s="1" customFormat="1">
      <c r="A480" s="31"/>
      <c r="B480" s="31"/>
      <c r="C480" s="438"/>
    </row>
    <row r="481" spans="1:3" s="1" customFormat="1">
      <c r="A481" s="31"/>
      <c r="B481" s="31"/>
      <c r="C481" s="438"/>
    </row>
    <row r="482" spans="1:3" s="1" customFormat="1">
      <c r="A482" s="31"/>
      <c r="B482" s="31"/>
      <c r="C482" s="438"/>
    </row>
    <row r="483" spans="1:3" s="1" customFormat="1">
      <c r="A483" s="31"/>
      <c r="B483" s="31"/>
      <c r="C483" s="438"/>
    </row>
    <row r="484" spans="1:3" s="1" customFormat="1">
      <c r="A484" s="31"/>
      <c r="B484" s="31"/>
      <c r="C484" s="438"/>
    </row>
    <row r="485" spans="1:3" s="1" customFormat="1">
      <c r="A485" s="31"/>
      <c r="B485" s="31"/>
      <c r="C485" s="438"/>
    </row>
    <row r="486" spans="1:3" s="1" customFormat="1">
      <c r="A486" s="31"/>
      <c r="B486" s="31"/>
      <c r="C486" s="438"/>
    </row>
    <row r="487" spans="1:3" s="1" customFormat="1">
      <c r="A487" s="31"/>
      <c r="B487" s="31"/>
      <c r="C487" s="438"/>
    </row>
    <row r="488" spans="1:3" s="1" customFormat="1">
      <c r="A488" s="31"/>
      <c r="B488" s="31"/>
      <c r="C488" s="438"/>
    </row>
    <row r="489" spans="1:3" s="1" customFormat="1">
      <c r="A489" s="31"/>
      <c r="B489" s="31"/>
      <c r="C489" s="438"/>
    </row>
    <row r="490" spans="1:3" s="1" customFormat="1">
      <c r="A490" s="31"/>
      <c r="B490" s="31"/>
      <c r="C490" s="438"/>
    </row>
    <row r="491" spans="1:3" s="1" customFormat="1">
      <c r="A491" s="31"/>
      <c r="B491" s="31"/>
      <c r="C491" s="438"/>
    </row>
    <row r="492" spans="1:3" s="1" customFormat="1">
      <c r="A492" s="31"/>
      <c r="B492" s="31"/>
      <c r="C492" s="438"/>
    </row>
    <row r="493" spans="1:3" s="1" customFormat="1">
      <c r="A493" s="31"/>
      <c r="B493" s="31"/>
      <c r="C493" s="438"/>
    </row>
    <row r="494" spans="1:3" s="1" customFormat="1">
      <c r="A494" s="31"/>
      <c r="B494" s="31"/>
      <c r="C494" s="438"/>
    </row>
    <row r="495" spans="1:3" s="1" customFormat="1">
      <c r="A495" s="31"/>
      <c r="B495" s="31"/>
      <c r="C495" s="438"/>
    </row>
    <row r="496" spans="1:3" s="1" customFormat="1">
      <c r="A496" s="31"/>
      <c r="B496" s="31"/>
      <c r="C496" s="438"/>
    </row>
    <row r="497" spans="1:3" s="1" customFormat="1">
      <c r="A497" s="31"/>
      <c r="B497" s="31"/>
      <c r="C497" s="438"/>
    </row>
    <row r="498" spans="1:3" s="1" customFormat="1">
      <c r="A498" s="31"/>
      <c r="B498" s="31"/>
      <c r="C498" s="438"/>
    </row>
    <row r="499" spans="1:3" s="1" customFormat="1">
      <c r="A499" s="31"/>
      <c r="B499" s="31"/>
      <c r="C499" s="438"/>
    </row>
    <row r="500" spans="1:3" s="1" customFormat="1">
      <c r="A500" s="31"/>
      <c r="B500" s="31"/>
      <c r="C500" s="438"/>
    </row>
    <row r="501" spans="1:3" s="1" customFormat="1">
      <c r="A501" s="31"/>
      <c r="B501" s="31"/>
      <c r="C501" s="438"/>
    </row>
    <row r="502" spans="1:3" s="1" customFormat="1">
      <c r="A502" s="31"/>
      <c r="B502" s="31"/>
      <c r="C502" s="438"/>
    </row>
    <row r="503" spans="1:3" s="1" customFormat="1">
      <c r="A503" s="31"/>
      <c r="B503" s="31"/>
      <c r="C503" s="438"/>
    </row>
    <row r="504" spans="1:3" s="1" customFormat="1">
      <c r="A504" s="31"/>
      <c r="B504" s="31"/>
      <c r="C504" s="438"/>
    </row>
    <row r="505" spans="1:3" s="1" customFormat="1">
      <c r="A505" s="31"/>
      <c r="B505" s="31"/>
      <c r="C505" s="438"/>
    </row>
    <row r="506" spans="1:3" s="1" customFormat="1">
      <c r="A506" s="31"/>
      <c r="B506" s="31"/>
      <c r="C506" s="438"/>
    </row>
    <row r="507" spans="1:3" s="1" customFormat="1">
      <c r="A507" s="31"/>
      <c r="B507" s="31"/>
      <c r="C507" s="438"/>
    </row>
    <row r="508" spans="1:3" s="1" customFormat="1">
      <c r="A508" s="31"/>
      <c r="B508" s="31"/>
      <c r="C508" s="438"/>
    </row>
    <row r="509" spans="1:3" s="1" customFormat="1">
      <c r="A509" s="31"/>
      <c r="B509" s="31"/>
      <c r="C509" s="438"/>
    </row>
    <row r="510" spans="1:3" s="1" customFormat="1">
      <c r="A510" s="31"/>
      <c r="B510" s="31"/>
      <c r="C510" s="438"/>
    </row>
    <row r="511" spans="1:3" s="1" customFormat="1">
      <c r="A511" s="31"/>
      <c r="B511" s="31"/>
      <c r="C511" s="438"/>
    </row>
    <row r="512" spans="1:3" s="1" customFormat="1">
      <c r="A512" s="31"/>
      <c r="B512" s="31"/>
      <c r="C512" s="438"/>
    </row>
    <row r="513" spans="1:3" s="1" customFormat="1">
      <c r="A513" s="31"/>
      <c r="B513" s="31"/>
      <c r="C513" s="438"/>
    </row>
    <row r="514" spans="1:3" s="1" customFormat="1">
      <c r="A514" s="31"/>
      <c r="B514" s="31"/>
      <c r="C514" s="438"/>
    </row>
    <row r="515" spans="1:3" s="1" customFormat="1">
      <c r="A515" s="31"/>
      <c r="B515" s="31"/>
      <c r="C515" s="438"/>
    </row>
    <row r="516" spans="1:3" s="1" customFormat="1">
      <c r="A516" s="31"/>
      <c r="B516" s="31"/>
      <c r="C516" s="438"/>
    </row>
    <row r="517" spans="1:3" s="1" customFormat="1">
      <c r="A517" s="31"/>
      <c r="B517" s="31"/>
      <c r="C517" s="438"/>
    </row>
    <row r="518" spans="1:3" s="1" customFormat="1">
      <c r="A518" s="31"/>
      <c r="B518" s="31"/>
      <c r="C518" s="438"/>
    </row>
    <row r="519" spans="1:3" s="1" customFormat="1">
      <c r="A519" s="31"/>
      <c r="B519" s="31"/>
      <c r="C519" s="438"/>
    </row>
    <row r="520" spans="1:3" s="1" customFormat="1">
      <c r="A520" s="31"/>
      <c r="B520" s="31"/>
      <c r="C520" s="438"/>
    </row>
    <row r="521" spans="1:3" s="1" customFormat="1">
      <c r="A521" s="31"/>
      <c r="B521" s="31"/>
      <c r="C521" s="438"/>
    </row>
    <row r="522" spans="1:3" s="1" customFormat="1">
      <c r="A522" s="31"/>
      <c r="B522" s="31"/>
      <c r="C522" s="438"/>
    </row>
    <row r="523" spans="1:3" s="1" customFormat="1">
      <c r="A523" s="31"/>
      <c r="B523" s="31"/>
      <c r="C523" s="438"/>
    </row>
    <row r="524" spans="1:3" s="1" customFormat="1">
      <c r="A524" s="31"/>
      <c r="B524" s="31"/>
      <c r="C524" s="438"/>
    </row>
    <row r="525" spans="1:3" s="1" customFormat="1">
      <c r="A525" s="31"/>
      <c r="B525" s="31"/>
      <c r="C525" s="438"/>
    </row>
    <row r="526" spans="1:3" s="1" customFormat="1">
      <c r="A526" s="31"/>
      <c r="B526" s="31"/>
      <c r="C526" s="438"/>
    </row>
    <row r="527" spans="1:3" s="1" customFormat="1">
      <c r="A527" s="31"/>
      <c r="B527" s="31"/>
      <c r="C527" s="438"/>
    </row>
    <row r="528" spans="1:3" s="1" customFormat="1">
      <c r="A528" s="31"/>
      <c r="B528" s="31"/>
      <c r="C528" s="438"/>
    </row>
    <row r="529" spans="3:3" s="1" customFormat="1">
      <c r="C529" s="438"/>
    </row>
    <row r="530" spans="3:3" s="1" customFormat="1">
      <c r="C530" s="438"/>
    </row>
    <row r="531" spans="3:3" s="1" customFormat="1">
      <c r="C531" s="438"/>
    </row>
    <row r="532" spans="3:3" s="1" customFormat="1">
      <c r="C532" s="438"/>
    </row>
    <row r="533" spans="3:3" s="1" customFormat="1">
      <c r="C533" s="438"/>
    </row>
    <row r="534" spans="3:3" s="1" customFormat="1">
      <c r="C534" s="438"/>
    </row>
    <row r="535" spans="3:3" s="1" customFormat="1">
      <c r="C535" s="438"/>
    </row>
    <row r="536" spans="3:3" s="1" customFormat="1">
      <c r="C536" s="438"/>
    </row>
    <row r="537" spans="3:3" s="1" customFormat="1">
      <c r="C537" s="438"/>
    </row>
    <row r="538" spans="3:3" s="1" customFormat="1">
      <c r="C538" s="438"/>
    </row>
    <row r="539" spans="3:3" s="1" customFormat="1">
      <c r="C539" s="438"/>
    </row>
    <row r="540" spans="3:3" s="1" customFormat="1">
      <c r="C540" s="438"/>
    </row>
    <row r="541" spans="3:3" s="1" customFormat="1">
      <c r="C541" s="438"/>
    </row>
    <row r="542" spans="3:3" s="1" customFormat="1">
      <c r="C542" s="438"/>
    </row>
    <row r="543" spans="3:3" s="1" customFormat="1">
      <c r="C543" s="438"/>
    </row>
    <row r="544" spans="3:3" s="1" customFormat="1">
      <c r="C544" s="438"/>
    </row>
    <row r="545" spans="3:3" s="1" customFormat="1">
      <c r="C545" s="438"/>
    </row>
    <row r="546" spans="3:3" s="1" customFormat="1">
      <c r="C546" s="438"/>
    </row>
    <row r="547" spans="3:3" s="1" customFormat="1">
      <c r="C547" s="438"/>
    </row>
    <row r="548" spans="3:3" s="1" customFormat="1">
      <c r="C548" s="438"/>
    </row>
    <row r="549" spans="3:3" s="1" customFormat="1">
      <c r="C549" s="438"/>
    </row>
    <row r="550" spans="3:3" s="1" customFormat="1">
      <c r="C550" s="438"/>
    </row>
    <row r="551" spans="3:3" s="1" customFormat="1">
      <c r="C551" s="438"/>
    </row>
    <row r="552" spans="3:3" s="1" customFormat="1">
      <c r="C552" s="438"/>
    </row>
    <row r="553" spans="3:3" s="1" customFormat="1">
      <c r="C553" s="438"/>
    </row>
    <row r="554" spans="3:3" s="1" customFormat="1">
      <c r="C554" s="438"/>
    </row>
    <row r="555" spans="3:3" s="1" customFormat="1">
      <c r="C555" s="438"/>
    </row>
    <row r="556" spans="3:3" s="1" customFormat="1">
      <c r="C556" s="438"/>
    </row>
    <row r="557" spans="3:3" s="1" customFormat="1">
      <c r="C557" s="438"/>
    </row>
    <row r="558" spans="3:3" s="1" customFormat="1">
      <c r="C558" s="438"/>
    </row>
    <row r="559" spans="3:3" s="1" customFormat="1">
      <c r="C559" s="438"/>
    </row>
    <row r="560" spans="3:3" s="1" customFormat="1">
      <c r="C560" s="438"/>
    </row>
    <row r="561" spans="3:3" s="1" customFormat="1">
      <c r="C561" s="438"/>
    </row>
    <row r="562" spans="3:3" s="1" customFormat="1">
      <c r="C562" s="438"/>
    </row>
    <row r="563" spans="3:3" s="1" customFormat="1">
      <c r="C563" s="438"/>
    </row>
    <row r="564" spans="3:3" s="1" customFormat="1">
      <c r="C564" s="438"/>
    </row>
    <row r="565" spans="3:3" s="1" customFormat="1">
      <c r="C565" s="438"/>
    </row>
    <row r="566" spans="3:3" s="1" customFormat="1">
      <c r="C566" s="438"/>
    </row>
    <row r="567" spans="3:3" s="1" customFormat="1">
      <c r="C567" s="438"/>
    </row>
    <row r="568" spans="3:3" s="1" customFormat="1">
      <c r="C568" s="438"/>
    </row>
    <row r="569" spans="3:3" s="1" customFormat="1">
      <c r="C569" s="438"/>
    </row>
    <row r="570" spans="3:3" s="1" customFormat="1">
      <c r="C570" s="438"/>
    </row>
    <row r="571" spans="3:3" s="1" customFormat="1">
      <c r="C571" s="438"/>
    </row>
    <row r="572" spans="3:3" s="1" customFormat="1">
      <c r="C572" s="438"/>
    </row>
    <row r="573" spans="3:3" s="1" customFormat="1">
      <c r="C573" s="438"/>
    </row>
    <row r="574" spans="3:3" s="1" customFormat="1">
      <c r="C574" s="438"/>
    </row>
    <row r="575" spans="3:3" s="1" customFormat="1">
      <c r="C575" s="438"/>
    </row>
    <row r="576" spans="3:3" s="1" customFormat="1">
      <c r="C576" s="438"/>
    </row>
    <row r="577" spans="3:3" s="1" customFormat="1">
      <c r="C577" s="438"/>
    </row>
    <row r="578" spans="3:3" s="1" customFormat="1">
      <c r="C578" s="438"/>
    </row>
    <row r="579" spans="3:3" s="1" customFormat="1">
      <c r="C579" s="438"/>
    </row>
    <row r="580" spans="3:3" s="1" customFormat="1">
      <c r="C580" s="438"/>
    </row>
    <row r="581" spans="3:3" s="1" customFormat="1">
      <c r="C581" s="438"/>
    </row>
    <row r="582" spans="3:3" s="1" customFormat="1">
      <c r="C582" s="438"/>
    </row>
    <row r="583" spans="3:3" s="1" customFormat="1">
      <c r="C583" s="438"/>
    </row>
    <row r="584" spans="3:3" s="1" customFormat="1">
      <c r="C584" s="438"/>
    </row>
    <row r="585" spans="3:3" s="1" customFormat="1">
      <c r="C585" s="438"/>
    </row>
    <row r="586" spans="3:3" s="1" customFormat="1">
      <c r="C586" s="438"/>
    </row>
    <row r="587" spans="3:3" s="1" customFormat="1">
      <c r="C587" s="438"/>
    </row>
    <row r="588" spans="3:3" s="1" customFormat="1">
      <c r="C588" s="438"/>
    </row>
    <row r="589" spans="3:3" s="1" customFormat="1">
      <c r="C589" s="438"/>
    </row>
    <row r="590" spans="3:3" s="1" customFormat="1">
      <c r="C590" s="438"/>
    </row>
    <row r="591" spans="3:3" s="1" customFormat="1">
      <c r="C591" s="438"/>
    </row>
    <row r="592" spans="3:3" s="1" customFormat="1">
      <c r="C592" s="438"/>
    </row>
    <row r="593" spans="3:3" s="1" customFormat="1">
      <c r="C593" s="438"/>
    </row>
    <row r="594" spans="3:3" s="1" customFormat="1">
      <c r="C594" s="438"/>
    </row>
    <row r="595" spans="3:3" s="1" customFormat="1">
      <c r="C595" s="438"/>
    </row>
    <row r="596" spans="3:3" s="1" customFormat="1">
      <c r="C596" s="438"/>
    </row>
    <row r="597" spans="3:3" s="1" customFormat="1">
      <c r="C597" s="438"/>
    </row>
    <row r="598" spans="3:3" s="1" customFormat="1">
      <c r="C598" s="438"/>
    </row>
    <row r="599" spans="3:3" s="1" customFormat="1">
      <c r="C599" s="438"/>
    </row>
    <row r="600" spans="3:3" s="1" customFormat="1">
      <c r="C600" s="438"/>
    </row>
    <row r="601" spans="3:3" s="1" customFormat="1">
      <c r="C601" s="438"/>
    </row>
    <row r="602" spans="3:3" s="1" customFormat="1">
      <c r="C602" s="438"/>
    </row>
    <row r="603" spans="3:3" s="1" customFormat="1">
      <c r="C603" s="438"/>
    </row>
    <row r="604" spans="3:3" s="1" customFormat="1">
      <c r="C604" s="438"/>
    </row>
    <row r="605" spans="3:3" s="1" customFormat="1">
      <c r="C605" s="438"/>
    </row>
    <row r="606" spans="3:3" s="1" customFormat="1">
      <c r="C606" s="438"/>
    </row>
    <row r="607" spans="3:3" s="1" customFormat="1">
      <c r="C607" s="438"/>
    </row>
    <row r="608" spans="3:3" s="1" customFormat="1">
      <c r="C608" s="438"/>
    </row>
    <row r="609" spans="3:3" s="1" customFormat="1">
      <c r="C609" s="438"/>
    </row>
    <row r="610" spans="3:3" s="1" customFormat="1">
      <c r="C610" s="438"/>
    </row>
    <row r="611" spans="3:3" s="1" customFormat="1">
      <c r="C611" s="438"/>
    </row>
    <row r="612" spans="3:3" s="1" customFormat="1">
      <c r="C612" s="438"/>
    </row>
    <row r="613" spans="3:3" s="1" customFormat="1">
      <c r="C613" s="438"/>
    </row>
    <row r="614" spans="3:3" s="1" customFormat="1">
      <c r="C614" s="438"/>
    </row>
    <row r="615" spans="3:3" s="1" customFormat="1">
      <c r="C615" s="438"/>
    </row>
    <row r="616" spans="3:3" s="1" customFormat="1">
      <c r="C616" s="438"/>
    </row>
    <row r="617" spans="3:3" s="1" customFormat="1">
      <c r="C617" s="438"/>
    </row>
    <row r="618" spans="3:3" s="1" customFormat="1">
      <c r="C618" s="438"/>
    </row>
    <row r="619" spans="3:3" s="1" customFormat="1">
      <c r="C619" s="438"/>
    </row>
    <row r="620" spans="3:3" s="1" customFormat="1">
      <c r="C620" s="438"/>
    </row>
    <row r="621" spans="3:3" s="1" customFormat="1">
      <c r="C621" s="438"/>
    </row>
    <row r="622" spans="3:3" s="1" customFormat="1">
      <c r="C622" s="438"/>
    </row>
    <row r="623" spans="3:3" s="1" customFormat="1">
      <c r="C623" s="438"/>
    </row>
    <row r="624" spans="3:3" s="1" customFormat="1">
      <c r="C624" s="438"/>
    </row>
    <row r="625" spans="3:3" s="1" customFormat="1">
      <c r="C625" s="438"/>
    </row>
    <row r="626" spans="3:3" s="1" customFormat="1">
      <c r="C626" s="438"/>
    </row>
    <row r="627" spans="3:3" s="1" customFormat="1">
      <c r="C627" s="438"/>
    </row>
    <row r="628" spans="3:3" s="1" customFormat="1">
      <c r="C628" s="438"/>
    </row>
    <row r="629" spans="3:3" s="1" customFormat="1">
      <c r="C629" s="438"/>
    </row>
    <row r="630" spans="3:3" s="1" customFormat="1">
      <c r="C630" s="438"/>
    </row>
    <row r="631" spans="3:3" s="1" customFormat="1">
      <c r="C631" s="438"/>
    </row>
    <row r="632" spans="3:3" s="1" customFormat="1">
      <c r="C632" s="438"/>
    </row>
    <row r="633" spans="3:3" s="1" customFormat="1">
      <c r="C633" s="438"/>
    </row>
    <row r="634" spans="3:3" s="1" customFormat="1">
      <c r="C634" s="438"/>
    </row>
    <row r="635" spans="3:3" s="1" customFormat="1">
      <c r="C635" s="438"/>
    </row>
    <row r="636" spans="3:3" s="1" customFormat="1">
      <c r="C636" s="438"/>
    </row>
    <row r="637" spans="3:3" s="1" customFormat="1">
      <c r="C637" s="438"/>
    </row>
    <row r="638" spans="3:3" s="1" customFormat="1">
      <c r="C638" s="438"/>
    </row>
    <row r="639" spans="3:3" s="1" customFormat="1">
      <c r="C639" s="438"/>
    </row>
    <row r="640" spans="3:3" s="1" customFormat="1">
      <c r="C640" s="438"/>
    </row>
    <row r="641" spans="3:10" s="1" customFormat="1">
      <c r="C641" s="438"/>
    </row>
    <row r="642" spans="3:10" s="1" customFormat="1">
      <c r="C642" s="438"/>
    </row>
    <row r="643" spans="3:10" s="1" customFormat="1">
      <c r="C643" s="438"/>
    </row>
    <row r="644" spans="3:10" s="1" customFormat="1">
      <c r="C644" s="438"/>
    </row>
    <row r="645" spans="3:10" s="1" customFormat="1">
      <c r="C645" s="438"/>
    </row>
    <row r="646" spans="3:10" s="1" customFormat="1">
      <c r="C646" s="438"/>
      <c r="I646" s="40"/>
      <c r="J646" s="40"/>
    </row>
    <row r="647" spans="3:10">
      <c r="G647" s="1"/>
    </row>
  </sheetData>
  <sheetProtection algorithmName="SHA-512" hashValue="yBYTSEHm8COudRdlbs+/HKCQI3ponIfD8YZWLZed0w9frNJKegC+VSgI+zHGZI5eD5VImcPCQmKyjmfswcfCaA==" saltValue="qLsMETeQIjnhZyEHYC1PxA=="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L168"/>
  <sheetViews>
    <sheetView workbookViewId="0">
      <selection activeCell="A32" sqref="A32"/>
    </sheetView>
  </sheetViews>
  <sheetFormatPr defaultColWidth="9.28515625" defaultRowHeight="15"/>
  <cols>
    <col min="1" max="1" width="42.42578125" style="44" customWidth="1"/>
    <col min="2" max="2" width="21" style="356" customWidth="1"/>
    <col min="3" max="3" width="42.7109375" style="40" bestFit="1" customWidth="1"/>
    <col min="4" max="4" width="61.28515625" style="1" customWidth="1"/>
    <col min="5" max="6" width="9.42578125" style="40" customWidth="1"/>
    <col min="7" max="7" width="7.85546875" style="40" bestFit="1" customWidth="1"/>
    <col min="8" max="8" width="6.7109375" style="40" bestFit="1" customWidth="1"/>
    <col min="9" max="9" width="37.7109375" style="40" customWidth="1"/>
    <col min="10" max="10" width="17.7109375" style="305" customWidth="1"/>
    <col min="11" max="16384" width="9.28515625" style="40"/>
  </cols>
  <sheetData>
    <row r="1" spans="1:12" s="392" customFormat="1">
      <c r="A1" s="393" t="s">
        <v>1765</v>
      </c>
    </row>
    <row r="2" spans="1:12">
      <c r="A2" s="41" t="s">
        <v>978</v>
      </c>
      <c r="E2" s="43" t="s">
        <v>971</v>
      </c>
      <c r="F2" s="43" t="s">
        <v>972</v>
      </c>
      <c r="G2" s="43" t="s">
        <v>973</v>
      </c>
      <c r="H2" s="43" t="s">
        <v>974</v>
      </c>
      <c r="I2" s="42" t="s">
        <v>1254</v>
      </c>
      <c r="J2" s="350" t="s">
        <v>1255</v>
      </c>
    </row>
    <row r="3" spans="1:12" s="44" customFormat="1" ht="15" customHeight="1">
      <c r="B3" s="356"/>
      <c r="C3" s="40"/>
      <c r="D3" s="1"/>
      <c r="E3" s="42"/>
      <c r="F3" s="42"/>
      <c r="G3" s="42"/>
      <c r="H3" s="42"/>
      <c r="I3" s="45" t="s">
        <v>1744</v>
      </c>
      <c r="J3" s="305"/>
    </row>
    <row r="4" spans="1:12" s="44" customFormat="1" ht="15" customHeight="1">
      <c r="B4" s="46" t="s">
        <v>975</v>
      </c>
      <c r="C4" s="41" t="s">
        <v>0</v>
      </c>
      <c r="D4" s="352"/>
      <c r="E4" s="45" t="s">
        <v>1766</v>
      </c>
      <c r="F4" s="45" t="s">
        <v>1767</v>
      </c>
      <c r="G4" s="45" t="s">
        <v>976</v>
      </c>
      <c r="H4" s="45" t="s">
        <v>1745</v>
      </c>
      <c r="I4" s="45" t="s">
        <v>1746</v>
      </c>
      <c r="J4" s="351" t="s">
        <v>977</v>
      </c>
    </row>
    <row r="5" spans="1:12">
      <c r="A5" s="41"/>
      <c r="E5" s="42"/>
      <c r="F5" s="42"/>
      <c r="G5" s="42"/>
      <c r="H5" s="42"/>
      <c r="I5" s="42"/>
    </row>
    <row r="6" spans="1:12">
      <c r="A6" s="44" t="s">
        <v>1627</v>
      </c>
      <c r="B6" s="356" t="s">
        <v>145</v>
      </c>
      <c r="C6" s="40" t="s">
        <v>1256</v>
      </c>
      <c r="D6" s="306" t="s">
        <v>718</v>
      </c>
      <c r="E6" s="396">
        <v>50.017654215042704</v>
      </c>
      <c r="F6" s="396">
        <v>28.280799399447279</v>
      </c>
      <c r="G6" s="396">
        <v>3.3976934412831632</v>
      </c>
      <c r="H6" s="396">
        <v>0.86393821134031312</v>
      </c>
      <c r="I6" s="396">
        <v>0</v>
      </c>
      <c r="J6" s="396">
        <v>82.56</v>
      </c>
      <c r="L6" s="269"/>
    </row>
    <row r="7" spans="1:12">
      <c r="A7" s="44" t="s">
        <v>1628</v>
      </c>
      <c r="B7" s="356" t="s">
        <v>74</v>
      </c>
      <c r="C7" s="40" t="s">
        <v>1257</v>
      </c>
      <c r="D7" s="306" t="s">
        <v>719</v>
      </c>
      <c r="E7" s="396">
        <v>73.291392550897413</v>
      </c>
      <c r="F7" s="396">
        <v>31.539070749834899</v>
      </c>
      <c r="G7" s="396">
        <v>3.3976934412831632</v>
      </c>
      <c r="H7" s="396">
        <v>0.86393821134031312</v>
      </c>
      <c r="I7" s="396">
        <v>0</v>
      </c>
      <c r="J7" s="396">
        <v>109.09</v>
      </c>
      <c r="L7" s="269"/>
    </row>
    <row r="8" spans="1:12">
      <c r="A8" s="44" t="s">
        <v>1629</v>
      </c>
      <c r="B8" s="356" t="s">
        <v>123</v>
      </c>
      <c r="C8" s="40" t="s">
        <v>1007</v>
      </c>
      <c r="D8" s="306" t="s">
        <v>720</v>
      </c>
      <c r="E8" s="396">
        <v>103.29022194145018</v>
      </c>
      <c r="F8" s="396">
        <v>36.644060113527701</v>
      </c>
      <c r="G8" s="396">
        <v>3.4626175197790205</v>
      </c>
      <c r="H8" s="396">
        <v>0.86393821134031312</v>
      </c>
      <c r="I8" s="396">
        <v>0</v>
      </c>
      <c r="J8" s="396">
        <v>144.26</v>
      </c>
      <c r="L8" s="269"/>
    </row>
    <row r="9" spans="1:12">
      <c r="A9" s="44" t="s">
        <v>1630</v>
      </c>
      <c r="B9" s="356" t="s">
        <v>20</v>
      </c>
      <c r="C9" s="40" t="s">
        <v>1008</v>
      </c>
      <c r="D9" s="306" t="s">
        <v>721</v>
      </c>
      <c r="E9" s="396">
        <v>93.820960400430664</v>
      </c>
      <c r="F9" s="396">
        <v>37.656529689869679</v>
      </c>
      <c r="G9" s="396">
        <v>3.4626175197790205</v>
      </c>
      <c r="H9" s="396">
        <v>0.86393821134031312</v>
      </c>
      <c r="I9" s="396">
        <v>0</v>
      </c>
      <c r="J9" s="396">
        <v>135.80000000000001</v>
      </c>
      <c r="L9" s="269"/>
    </row>
    <row r="10" spans="1:12">
      <c r="A10" s="44" t="s">
        <v>1631</v>
      </c>
      <c r="B10" s="356" t="s">
        <v>55</v>
      </c>
      <c r="C10" s="40" t="s">
        <v>1009</v>
      </c>
      <c r="D10" s="306" t="s">
        <v>722</v>
      </c>
      <c r="E10" s="396">
        <v>208.85306335045158</v>
      </c>
      <c r="F10" s="396">
        <v>54.022789441811518</v>
      </c>
      <c r="G10" s="396">
        <v>4.5879682137072031</v>
      </c>
      <c r="H10" s="396">
        <v>0.71722379959842286</v>
      </c>
      <c r="I10" s="396">
        <v>0</v>
      </c>
      <c r="J10" s="396">
        <v>268.18</v>
      </c>
      <c r="L10" s="269"/>
    </row>
    <row r="11" spans="1:12">
      <c r="A11" s="44" t="s">
        <v>1632</v>
      </c>
      <c r="B11" s="356" t="s">
        <v>155</v>
      </c>
      <c r="C11" s="40" t="s">
        <v>1010</v>
      </c>
      <c r="D11" s="306" t="s">
        <v>723</v>
      </c>
      <c r="E11" s="396">
        <v>181.43307631300308</v>
      </c>
      <c r="F11" s="396">
        <v>50.19999593848808</v>
      </c>
      <c r="G11" s="396">
        <v>5.0099747239302701</v>
      </c>
      <c r="H11" s="396">
        <v>0.71722379959842286</v>
      </c>
      <c r="I11" s="396">
        <v>0</v>
      </c>
      <c r="J11" s="396">
        <v>237.36</v>
      </c>
      <c r="L11" s="269"/>
    </row>
    <row r="12" spans="1:12">
      <c r="A12" s="44" t="s">
        <v>1633</v>
      </c>
      <c r="B12" s="356" t="s">
        <v>236</v>
      </c>
      <c r="C12" s="40" t="s">
        <v>1011</v>
      </c>
      <c r="D12" s="306" t="s">
        <v>724</v>
      </c>
      <c r="E12" s="396">
        <v>261.88692176165466</v>
      </c>
      <c r="F12" s="396">
        <v>59.502451479687934</v>
      </c>
      <c r="G12" s="396">
        <v>5.0099747239302701</v>
      </c>
      <c r="H12" s="396">
        <v>0.71722379959842286</v>
      </c>
      <c r="I12" s="396">
        <v>0</v>
      </c>
      <c r="J12" s="396">
        <v>327.12</v>
      </c>
      <c r="L12" s="269"/>
    </row>
    <row r="13" spans="1:12">
      <c r="A13" s="44" t="s">
        <v>1634</v>
      </c>
      <c r="B13" s="356" t="s">
        <v>183</v>
      </c>
      <c r="C13" s="40" t="s">
        <v>1012</v>
      </c>
      <c r="D13" s="306" t="s">
        <v>725</v>
      </c>
      <c r="E13" s="396">
        <v>350.56790508784928</v>
      </c>
      <c r="F13" s="396">
        <v>76.155325594651643</v>
      </c>
      <c r="G13" s="396">
        <v>5.0099747239302701</v>
      </c>
      <c r="H13" s="396">
        <v>0.44521063261351368</v>
      </c>
      <c r="I13" s="396">
        <v>0</v>
      </c>
      <c r="J13" s="396">
        <v>432.18</v>
      </c>
      <c r="L13" s="269"/>
    </row>
    <row r="14" spans="1:12">
      <c r="A14" s="44" t="s">
        <v>1635</v>
      </c>
      <c r="B14" s="356" t="s">
        <v>295</v>
      </c>
      <c r="C14" s="40" t="s">
        <v>1013</v>
      </c>
      <c r="D14" s="306" t="s">
        <v>726</v>
      </c>
      <c r="E14" s="396">
        <v>176.2414649832547</v>
      </c>
      <c r="F14" s="396">
        <v>53.24588912439004</v>
      </c>
      <c r="G14" s="396">
        <v>4.111858304737587</v>
      </c>
      <c r="H14" s="396">
        <v>0.43699965863540269</v>
      </c>
      <c r="I14" s="396">
        <v>0</v>
      </c>
      <c r="J14" s="396">
        <v>234.04</v>
      </c>
      <c r="L14" s="269"/>
    </row>
    <row r="15" spans="1:12">
      <c r="A15" s="44" t="s">
        <v>1636</v>
      </c>
      <c r="B15" s="356" t="s">
        <v>46</v>
      </c>
      <c r="C15" s="40" t="s">
        <v>1014</v>
      </c>
      <c r="D15" s="306" t="s">
        <v>727</v>
      </c>
      <c r="E15" s="396">
        <v>419.92284565325753</v>
      </c>
      <c r="F15" s="396">
        <v>92.730499312320731</v>
      </c>
      <c r="G15" s="396">
        <v>5.0099747239302701</v>
      </c>
      <c r="H15" s="396">
        <v>0.71722379959842286</v>
      </c>
      <c r="I15" s="396">
        <v>0</v>
      </c>
      <c r="J15" s="396">
        <v>518.38</v>
      </c>
      <c r="L15" s="269"/>
    </row>
    <row r="16" spans="1:12">
      <c r="D16" s="306" t="s">
        <v>299</v>
      </c>
      <c r="E16" s="396"/>
      <c r="F16" s="396"/>
      <c r="G16" s="396"/>
      <c r="H16" s="396"/>
      <c r="I16" s="396"/>
      <c r="J16" s="396"/>
      <c r="L16" s="269"/>
    </row>
    <row r="17" spans="1:12">
      <c r="A17" s="44" t="s">
        <v>1637</v>
      </c>
      <c r="B17" s="356" t="s">
        <v>172</v>
      </c>
      <c r="C17" s="40" t="s">
        <v>1015</v>
      </c>
      <c r="D17" s="306" t="s">
        <v>880</v>
      </c>
      <c r="E17" s="396">
        <v>119.67080955418312</v>
      </c>
      <c r="F17" s="396">
        <v>45.673123935793043</v>
      </c>
      <c r="G17" s="396">
        <v>3.4626175197790205</v>
      </c>
      <c r="H17" s="396">
        <v>0.94911521809217503</v>
      </c>
      <c r="I17" s="396">
        <v>0</v>
      </c>
      <c r="J17" s="396">
        <v>169.76</v>
      </c>
      <c r="L17" s="269"/>
    </row>
    <row r="18" spans="1:12">
      <c r="A18" s="44" t="s">
        <v>1638</v>
      </c>
      <c r="B18" s="356" t="s">
        <v>93</v>
      </c>
      <c r="C18" s="40" t="s">
        <v>1016</v>
      </c>
      <c r="D18" s="306" t="s">
        <v>881</v>
      </c>
      <c r="E18" s="396">
        <v>109.57698021261514</v>
      </c>
      <c r="F18" s="396">
        <v>34.247817796077385</v>
      </c>
      <c r="G18" s="396">
        <v>3.4626175197790205</v>
      </c>
      <c r="H18" s="396">
        <v>0.94911521809217503</v>
      </c>
      <c r="I18" s="396">
        <v>0</v>
      </c>
      <c r="J18" s="396">
        <v>148.24</v>
      </c>
      <c r="L18" s="269"/>
    </row>
    <row r="19" spans="1:12">
      <c r="A19" s="44" t="s">
        <v>1639</v>
      </c>
      <c r="B19" s="356" t="s">
        <v>231</v>
      </c>
      <c r="C19" s="40" t="s">
        <v>1017</v>
      </c>
      <c r="D19" s="306" t="s">
        <v>882</v>
      </c>
      <c r="E19" s="396">
        <v>221.94394534294128</v>
      </c>
      <c r="F19" s="396">
        <v>56.461560926380265</v>
      </c>
      <c r="G19" s="396">
        <v>4.5879682137072031</v>
      </c>
      <c r="H19" s="396">
        <v>0.83831353199815672</v>
      </c>
      <c r="I19" s="396">
        <v>0</v>
      </c>
      <c r="J19" s="396">
        <v>283.83</v>
      </c>
      <c r="L19" s="269"/>
    </row>
    <row r="20" spans="1:12">
      <c r="A20" s="44" t="s">
        <v>1640</v>
      </c>
      <c r="B20" s="356" t="s">
        <v>205</v>
      </c>
      <c r="C20" s="40" t="s">
        <v>1018</v>
      </c>
      <c r="D20" s="306" t="s">
        <v>883</v>
      </c>
      <c r="E20" s="396">
        <v>197.51413080286042</v>
      </c>
      <c r="F20" s="396">
        <v>50.870682259274332</v>
      </c>
      <c r="G20" s="396">
        <v>5.0099747239302701</v>
      </c>
      <c r="H20" s="396">
        <v>0.83831353199815672</v>
      </c>
      <c r="I20" s="396">
        <v>0</v>
      </c>
      <c r="J20" s="396">
        <v>254.23</v>
      </c>
      <c r="L20" s="269"/>
    </row>
    <row r="21" spans="1:12">
      <c r="A21" s="44" t="s">
        <v>1641</v>
      </c>
      <c r="B21" s="356" t="s">
        <v>158</v>
      </c>
      <c r="C21" s="40" t="s">
        <v>1019</v>
      </c>
      <c r="D21" s="306" t="s">
        <v>884</v>
      </c>
      <c r="E21" s="396">
        <v>280.31463202146887</v>
      </c>
      <c r="F21" s="396">
        <v>61.91968643747591</v>
      </c>
      <c r="G21" s="396">
        <v>5.0099747239302701</v>
      </c>
      <c r="H21" s="396">
        <v>0.83831353199815672</v>
      </c>
      <c r="I21" s="396">
        <v>0</v>
      </c>
      <c r="J21" s="396">
        <v>348.08</v>
      </c>
      <c r="L21" s="269"/>
    </row>
    <row r="22" spans="1:12">
      <c r="A22" s="44" t="s">
        <v>1642</v>
      </c>
      <c r="B22" s="356" t="s">
        <v>114</v>
      </c>
      <c r="C22" s="40" t="s">
        <v>1020</v>
      </c>
      <c r="D22" s="306" t="s">
        <v>885</v>
      </c>
      <c r="E22" s="396">
        <v>363.38724386567156</v>
      </c>
      <c r="F22" s="396">
        <v>79.251458533828753</v>
      </c>
      <c r="G22" s="396">
        <v>5.0099747239302701</v>
      </c>
      <c r="H22" s="396">
        <v>0.52782703866550607</v>
      </c>
      <c r="I22" s="396">
        <v>0</v>
      </c>
      <c r="J22" s="396">
        <v>448.18</v>
      </c>
      <c r="L22" s="269"/>
    </row>
    <row r="23" spans="1:12">
      <c r="A23" s="44" t="s">
        <v>1643</v>
      </c>
      <c r="B23" s="356" t="s">
        <v>296</v>
      </c>
      <c r="C23" s="40" t="s">
        <v>1258</v>
      </c>
      <c r="D23" s="306" t="s">
        <v>886</v>
      </c>
      <c r="E23" s="396">
        <v>236.7344390527405</v>
      </c>
      <c r="F23" s="396">
        <v>59.059546130849206</v>
      </c>
      <c r="G23" s="396">
        <v>4.111858304737587</v>
      </c>
      <c r="H23" s="396">
        <v>0.52375694380566651</v>
      </c>
      <c r="I23" s="396">
        <v>0</v>
      </c>
      <c r="J23" s="396">
        <v>300.43</v>
      </c>
      <c r="L23" s="269"/>
    </row>
    <row r="24" spans="1:12">
      <c r="A24" s="40" t="s">
        <v>1644</v>
      </c>
      <c r="B24" s="356" t="s">
        <v>108</v>
      </c>
      <c r="C24" s="40" t="s">
        <v>1259</v>
      </c>
      <c r="D24" s="306" t="s">
        <v>887</v>
      </c>
      <c r="E24" s="396">
        <v>413.04750533050139</v>
      </c>
      <c r="F24" s="396">
        <v>93.201355929680616</v>
      </c>
      <c r="G24" s="396">
        <v>5.0099747239302701</v>
      </c>
      <c r="H24" s="396">
        <v>0.83831353199815672</v>
      </c>
      <c r="I24" s="396">
        <v>0</v>
      </c>
      <c r="J24" s="396">
        <v>512.1</v>
      </c>
      <c r="L24" s="269"/>
    </row>
    <row r="25" spans="1:12">
      <c r="A25" s="40"/>
      <c r="D25" s="306" t="s">
        <v>299</v>
      </c>
      <c r="E25" s="396"/>
      <c r="F25" s="396"/>
      <c r="G25" s="396"/>
      <c r="H25" s="396"/>
      <c r="I25" s="396"/>
      <c r="J25" s="396"/>
      <c r="L25" s="269"/>
    </row>
    <row r="26" spans="1:12">
      <c r="A26" s="40" t="s">
        <v>1517</v>
      </c>
      <c r="B26" s="356" t="s">
        <v>1568</v>
      </c>
      <c r="D26" s="358" t="s">
        <v>1566</v>
      </c>
      <c r="E26" s="396">
        <v>96.062143006581877</v>
      </c>
      <c r="F26" s="396">
        <v>34.459040478640702</v>
      </c>
      <c r="G26" s="396">
        <v>0</v>
      </c>
      <c r="H26" s="396">
        <v>0</v>
      </c>
      <c r="I26" s="396">
        <v>0</v>
      </c>
      <c r="J26" s="396">
        <v>130.52000000000001</v>
      </c>
      <c r="L26" s="269"/>
    </row>
    <row r="27" spans="1:12">
      <c r="A27" s="40" t="s">
        <v>1518</v>
      </c>
      <c r="B27" s="356" t="s">
        <v>1569</v>
      </c>
      <c r="D27" s="358" t="s">
        <v>1559</v>
      </c>
      <c r="E27" s="396">
        <v>115.46216395986394</v>
      </c>
      <c r="F27" s="396">
        <v>41.418140977469065</v>
      </c>
      <c r="G27" s="396">
        <v>0</v>
      </c>
      <c r="H27" s="396">
        <v>0</v>
      </c>
      <c r="I27" s="396">
        <v>0</v>
      </c>
      <c r="J27" s="396">
        <v>156.88</v>
      </c>
      <c r="L27" s="269"/>
    </row>
    <row r="28" spans="1:12">
      <c r="A28" s="40" t="s">
        <v>1519</v>
      </c>
      <c r="B28" s="356" t="s">
        <v>1570</v>
      </c>
      <c r="D28" s="358" t="s">
        <v>1560</v>
      </c>
      <c r="E28" s="396">
        <v>125.76116981778148</v>
      </c>
      <c r="F28" s="396">
        <v>45.112560533812115</v>
      </c>
      <c r="G28" s="396">
        <v>0</v>
      </c>
      <c r="H28" s="396">
        <v>0</v>
      </c>
      <c r="I28" s="396">
        <v>0</v>
      </c>
      <c r="J28" s="396">
        <v>170.87</v>
      </c>
      <c r="L28" s="269"/>
    </row>
    <row r="29" spans="1:12">
      <c r="A29" s="40" t="s">
        <v>1520</v>
      </c>
      <c r="B29" s="356" t="s">
        <v>1571</v>
      </c>
      <c r="D29" s="358" t="s">
        <v>1561</v>
      </c>
      <c r="E29" s="396">
        <v>158.21836140788236</v>
      </c>
      <c r="F29" s="396">
        <v>56.755478792981584</v>
      </c>
      <c r="G29" s="396">
        <v>0</v>
      </c>
      <c r="H29" s="396">
        <v>0</v>
      </c>
      <c r="I29" s="396">
        <v>0</v>
      </c>
      <c r="J29" s="396">
        <v>214.97</v>
      </c>
      <c r="L29" s="269"/>
    </row>
    <row r="30" spans="1:12">
      <c r="A30" s="40" t="s">
        <v>1521</v>
      </c>
      <c r="B30" s="356" t="s">
        <v>1572</v>
      </c>
      <c r="D30" s="358" t="s">
        <v>1562</v>
      </c>
      <c r="E30" s="396">
        <v>211.03288399548077</v>
      </c>
      <c r="F30" s="396">
        <v>75.700900108238329</v>
      </c>
      <c r="G30" s="396">
        <v>0</v>
      </c>
      <c r="H30" s="396">
        <v>0</v>
      </c>
      <c r="I30" s="396">
        <v>0</v>
      </c>
      <c r="J30" s="396">
        <v>286.73</v>
      </c>
      <c r="L30" s="269"/>
    </row>
    <row r="31" spans="1:12">
      <c r="A31" s="40"/>
      <c r="D31" s="306" t="s">
        <v>299</v>
      </c>
      <c r="E31" s="396"/>
      <c r="F31" s="396"/>
      <c r="G31" s="396"/>
      <c r="H31" s="396"/>
      <c r="I31" s="396"/>
      <c r="J31" s="396"/>
      <c r="L31" s="269"/>
    </row>
    <row r="32" spans="1:12">
      <c r="A32" s="40" t="s">
        <v>1522</v>
      </c>
      <c r="B32" s="356" t="s">
        <v>1573</v>
      </c>
      <c r="D32" s="358" t="s">
        <v>1563</v>
      </c>
      <c r="E32" s="396">
        <v>119.78978950521072</v>
      </c>
      <c r="F32" s="396">
        <v>43.006024773448452</v>
      </c>
      <c r="G32" s="396">
        <v>8.2979566808146288</v>
      </c>
      <c r="H32" s="396">
        <v>0.64649942684538875</v>
      </c>
      <c r="I32" s="396">
        <v>0</v>
      </c>
      <c r="J32" s="396">
        <v>171.74</v>
      </c>
      <c r="L32" s="269"/>
    </row>
    <row r="33" spans="1:12">
      <c r="A33" s="40" t="s">
        <v>1523</v>
      </c>
      <c r="B33" s="356" t="s">
        <v>1574</v>
      </c>
      <c r="D33" s="358" t="s">
        <v>1564</v>
      </c>
      <c r="E33" s="396">
        <v>140.46209522182428</v>
      </c>
      <c r="F33" s="396">
        <v>50.42848166728762</v>
      </c>
      <c r="G33" s="396">
        <v>10.042574730534907</v>
      </c>
      <c r="H33" s="396">
        <v>0.64649942684538875</v>
      </c>
      <c r="I33" s="396">
        <v>0</v>
      </c>
      <c r="J33" s="396">
        <v>201.58</v>
      </c>
      <c r="L33" s="269"/>
    </row>
    <row r="34" spans="1:12">
      <c r="A34" s="44" t="s">
        <v>1524</v>
      </c>
      <c r="B34" s="356" t="s">
        <v>1575</v>
      </c>
      <c r="D34" s="358" t="s">
        <v>1565</v>
      </c>
      <c r="E34" s="396">
        <v>151.24401208480208</v>
      </c>
      <c r="F34" s="396">
        <v>54.29185846228112</v>
      </c>
      <c r="G34" s="396">
        <v>8.9731840070621764</v>
      </c>
      <c r="H34" s="396">
        <v>0.64649942684538875</v>
      </c>
      <c r="I34" s="396">
        <v>0</v>
      </c>
      <c r="J34" s="396">
        <v>215.16</v>
      </c>
      <c r="L34" s="269"/>
    </row>
    <row r="35" spans="1:12">
      <c r="A35" s="44" t="s">
        <v>1525</v>
      </c>
      <c r="B35" s="356" t="s">
        <v>1576</v>
      </c>
      <c r="D35" s="358" t="s">
        <v>1558</v>
      </c>
      <c r="E35" s="396">
        <v>184.2862689310335</v>
      </c>
      <c r="F35" s="396">
        <v>66.148943816378107</v>
      </c>
      <c r="G35" s="396">
        <v>10.048589062728254</v>
      </c>
      <c r="H35" s="396">
        <v>0.64649942684538875</v>
      </c>
      <c r="I35" s="396">
        <v>0</v>
      </c>
      <c r="J35" s="396">
        <v>261.13</v>
      </c>
      <c r="L35" s="269"/>
    </row>
    <row r="36" spans="1:12">
      <c r="A36" s="44" t="s">
        <v>1526</v>
      </c>
      <c r="B36" s="356" t="s">
        <v>1577</v>
      </c>
      <c r="D36" s="358" t="s">
        <v>1557</v>
      </c>
      <c r="E36" s="396">
        <v>250.71940457419632</v>
      </c>
      <c r="F36" s="396">
        <v>89.989892563985478</v>
      </c>
      <c r="G36" s="396">
        <v>12.630518196901487</v>
      </c>
      <c r="H36" s="396">
        <v>0.64649942684538875</v>
      </c>
      <c r="I36" s="396">
        <v>0</v>
      </c>
      <c r="J36" s="396">
        <v>353.99</v>
      </c>
      <c r="L36" s="269"/>
    </row>
    <row r="37" spans="1:12">
      <c r="D37" s="306" t="s">
        <v>299</v>
      </c>
      <c r="E37" s="396"/>
      <c r="F37" s="396"/>
      <c r="G37" s="396"/>
      <c r="H37" s="396"/>
      <c r="I37" s="396"/>
      <c r="J37" s="396"/>
      <c r="L37" s="269"/>
    </row>
    <row r="38" spans="1:12">
      <c r="A38" s="44" t="s">
        <v>1645</v>
      </c>
      <c r="B38" s="356" t="s">
        <v>87</v>
      </c>
      <c r="C38" s="40" t="s">
        <v>1260</v>
      </c>
      <c r="D38" s="306" t="s">
        <v>728</v>
      </c>
      <c r="E38" s="396">
        <v>39.45715798436801</v>
      </c>
      <c r="F38" s="396">
        <v>24.758376704467732</v>
      </c>
      <c r="G38" s="396">
        <v>0</v>
      </c>
      <c r="H38" s="396">
        <v>0</v>
      </c>
      <c r="I38" s="396">
        <v>0</v>
      </c>
      <c r="J38" s="396">
        <v>64.22</v>
      </c>
      <c r="L38" s="269"/>
    </row>
    <row r="39" spans="1:12">
      <c r="A39" s="44" t="s">
        <v>1646</v>
      </c>
      <c r="B39" s="356" t="s">
        <v>149</v>
      </c>
      <c r="C39" s="40" t="s">
        <v>1261</v>
      </c>
      <c r="D39" s="306" t="s">
        <v>729</v>
      </c>
      <c r="E39" s="396">
        <v>54.786220836067173</v>
      </c>
      <c r="F39" s="396">
        <v>23.80320010658809</v>
      </c>
      <c r="G39" s="396">
        <v>0</v>
      </c>
      <c r="H39" s="396">
        <v>0</v>
      </c>
      <c r="I39" s="396">
        <v>0</v>
      </c>
      <c r="J39" s="396">
        <v>78.59</v>
      </c>
      <c r="L39" s="269"/>
    </row>
    <row r="40" spans="1:12">
      <c r="A40" s="44" t="s">
        <v>1647</v>
      </c>
      <c r="B40" s="356" t="s">
        <v>37</v>
      </c>
      <c r="C40" s="40" t="s">
        <v>1262</v>
      </c>
      <c r="D40" s="306" t="s">
        <v>888</v>
      </c>
      <c r="E40" s="396">
        <v>79.807129417846809</v>
      </c>
      <c r="F40" s="396">
        <v>22.142975465152148</v>
      </c>
      <c r="G40" s="396">
        <v>8.2994613677203368</v>
      </c>
      <c r="H40" s="396">
        <v>1.2535892168305767</v>
      </c>
      <c r="I40" s="396">
        <v>0</v>
      </c>
      <c r="J40" s="396">
        <v>111.5</v>
      </c>
      <c r="L40" s="269"/>
    </row>
    <row r="41" spans="1:12">
      <c r="A41" s="44" t="s">
        <v>1648</v>
      </c>
      <c r="B41" s="356" t="s">
        <v>100</v>
      </c>
      <c r="C41" s="40" t="s">
        <v>1263</v>
      </c>
      <c r="D41" s="306" t="s">
        <v>889</v>
      </c>
      <c r="E41" s="396">
        <v>84.830725927409219</v>
      </c>
      <c r="F41" s="396">
        <v>30.462667838094518</v>
      </c>
      <c r="G41" s="396">
        <v>8.2994613677203368</v>
      </c>
      <c r="H41" s="396">
        <v>1.2535892168305767</v>
      </c>
      <c r="I41" s="396">
        <v>0</v>
      </c>
      <c r="J41" s="396">
        <v>124.85</v>
      </c>
      <c r="L41" s="269"/>
    </row>
    <row r="42" spans="1:12">
      <c r="A42" s="44" t="s">
        <v>1649</v>
      </c>
      <c r="B42" s="356" t="s">
        <v>130</v>
      </c>
      <c r="C42" s="40" t="s">
        <v>1027</v>
      </c>
      <c r="D42" s="306" t="s">
        <v>730</v>
      </c>
      <c r="E42" s="396">
        <v>82.887853328084262</v>
      </c>
      <c r="F42" s="396">
        <v>26.033603626458557</v>
      </c>
      <c r="G42" s="396">
        <v>0</v>
      </c>
      <c r="H42" s="396">
        <v>0</v>
      </c>
      <c r="I42" s="396">
        <v>0</v>
      </c>
      <c r="J42" s="396">
        <v>108.92</v>
      </c>
      <c r="L42" s="269"/>
    </row>
    <row r="43" spans="1:12">
      <c r="A43" s="44" t="s">
        <v>1650</v>
      </c>
      <c r="B43" s="356" t="s">
        <v>162</v>
      </c>
      <c r="C43" s="40" t="s">
        <v>1028</v>
      </c>
      <c r="D43" s="306" t="s">
        <v>731</v>
      </c>
      <c r="E43" s="396">
        <v>105.09748794016973</v>
      </c>
      <c r="F43" s="396">
        <v>28.512797781491617</v>
      </c>
      <c r="G43" s="396">
        <v>0</v>
      </c>
      <c r="H43" s="396">
        <v>0</v>
      </c>
      <c r="I43" s="396">
        <v>0</v>
      </c>
      <c r="J43" s="396">
        <v>133.61000000000001</v>
      </c>
      <c r="L43" s="269"/>
    </row>
    <row r="44" spans="1:12">
      <c r="A44" s="44" t="s">
        <v>1651</v>
      </c>
      <c r="B44" s="356" t="s">
        <v>170</v>
      </c>
      <c r="C44" s="40" t="s">
        <v>1029</v>
      </c>
      <c r="D44" s="306" t="s">
        <v>732</v>
      </c>
      <c r="E44" s="396">
        <v>144.30939958580765</v>
      </c>
      <c r="F44" s="396">
        <v>36.727314251382275</v>
      </c>
      <c r="G44" s="396">
        <v>0</v>
      </c>
      <c r="H44" s="396">
        <v>0</v>
      </c>
      <c r="I44" s="396">
        <v>0</v>
      </c>
      <c r="J44" s="396">
        <v>181.04</v>
      </c>
      <c r="L44" s="269"/>
    </row>
    <row r="45" spans="1:12">
      <c r="A45" s="44" t="s">
        <v>1652</v>
      </c>
      <c r="B45" s="356" t="s">
        <v>186</v>
      </c>
      <c r="C45" s="40" t="s">
        <v>1030</v>
      </c>
      <c r="D45" s="306" t="s">
        <v>733</v>
      </c>
      <c r="E45" s="396">
        <v>110.36063334533583</v>
      </c>
      <c r="F45" s="396">
        <v>31.443229304960898</v>
      </c>
      <c r="G45" s="396">
        <v>0</v>
      </c>
      <c r="H45" s="396">
        <v>0</v>
      </c>
      <c r="I45" s="396">
        <v>0</v>
      </c>
      <c r="J45" s="396">
        <v>141.80000000000001</v>
      </c>
      <c r="L45" s="269"/>
    </row>
    <row r="46" spans="1:12">
      <c r="A46" s="44" t="s">
        <v>1653</v>
      </c>
      <c r="B46" s="356" t="s">
        <v>82</v>
      </c>
      <c r="C46" s="40" t="s">
        <v>1031</v>
      </c>
      <c r="D46" s="306" t="s">
        <v>734</v>
      </c>
      <c r="E46" s="396">
        <v>162.00764262683992</v>
      </c>
      <c r="F46" s="396">
        <v>37.821251451395909</v>
      </c>
      <c r="G46" s="396">
        <v>0</v>
      </c>
      <c r="H46" s="396">
        <v>0</v>
      </c>
      <c r="I46" s="396">
        <v>0</v>
      </c>
      <c r="J46" s="396">
        <v>199.83</v>
      </c>
      <c r="L46" s="269"/>
    </row>
    <row r="47" spans="1:12">
      <c r="A47" s="44" t="s">
        <v>1654</v>
      </c>
      <c r="B47" s="356" t="s">
        <v>228</v>
      </c>
      <c r="C47" s="40" t="s">
        <v>1032</v>
      </c>
      <c r="D47" s="306" t="s">
        <v>735</v>
      </c>
      <c r="E47" s="396">
        <v>170.63473192529736</v>
      </c>
      <c r="F47" s="396">
        <v>40.849291360032559</v>
      </c>
      <c r="G47" s="396">
        <v>0</v>
      </c>
      <c r="H47" s="396">
        <v>0</v>
      </c>
      <c r="I47" s="396">
        <v>0</v>
      </c>
      <c r="J47" s="396">
        <v>211.48</v>
      </c>
      <c r="L47" s="269"/>
    </row>
    <row r="48" spans="1:12">
      <c r="D48" s="306" t="s">
        <v>299</v>
      </c>
      <c r="E48" s="396"/>
      <c r="F48" s="396"/>
      <c r="G48" s="396"/>
      <c r="H48" s="396"/>
      <c r="I48" s="396"/>
      <c r="J48" s="396"/>
      <c r="L48" s="269"/>
    </row>
    <row r="49" spans="1:12">
      <c r="A49" s="44" t="s">
        <v>1655</v>
      </c>
      <c r="B49" s="356" t="s">
        <v>157</v>
      </c>
      <c r="C49" s="40" t="s">
        <v>1033</v>
      </c>
      <c r="D49" s="306" t="s">
        <v>890</v>
      </c>
      <c r="E49" s="396">
        <v>111.38093809171065</v>
      </c>
      <c r="F49" s="396">
        <v>31.981876595229664</v>
      </c>
      <c r="G49" s="396">
        <v>8.2994613677203368</v>
      </c>
      <c r="H49" s="396">
        <v>1.2535892168305767</v>
      </c>
      <c r="I49" s="396">
        <v>0</v>
      </c>
      <c r="J49" s="396">
        <v>152.91999999999999</v>
      </c>
      <c r="L49" s="269"/>
    </row>
    <row r="50" spans="1:12">
      <c r="A50" s="44" t="s">
        <v>1656</v>
      </c>
      <c r="B50" s="356" t="s">
        <v>137</v>
      </c>
      <c r="C50" s="40" t="s">
        <v>1034</v>
      </c>
      <c r="D50" s="306" t="s">
        <v>891</v>
      </c>
      <c r="E50" s="396">
        <v>134.61249547078341</v>
      </c>
      <c r="F50" s="396">
        <v>32.393206051188557</v>
      </c>
      <c r="G50" s="396">
        <v>8.2994613677203368</v>
      </c>
      <c r="H50" s="396">
        <v>1.2535892168305767</v>
      </c>
      <c r="I50" s="396">
        <v>0</v>
      </c>
      <c r="J50" s="396">
        <v>176.56</v>
      </c>
      <c r="L50" s="269"/>
    </row>
    <row r="51" spans="1:12">
      <c r="A51" s="44" t="s">
        <v>1657</v>
      </c>
      <c r="B51" s="356" t="s">
        <v>224</v>
      </c>
      <c r="C51" s="40" t="s">
        <v>1035</v>
      </c>
      <c r="D51" s="306" t="s">
        <v>892</v>
      </c>
      <c r="E51" s="396">
        <v>188.41422564278105</v>
      </c>
      <c r="F51" s="396">
        <v>48.805128820808648</v>
      </c>
      <c r="G51" s="396">
        <v>9.8792806111195173</v>
      </c>
      <c r="H51" s="396">
        <v>0.91050164169799819</v>
      </c>
      <c r="I51" s="396">
        <v>0</v>
      </c>
      <c r="J51" s="396">
        <v>248.01</v>
      </c>
      <c r="L51" s="269"/>
    </row>
    <row r="52" spans="1:12">
      <c r="A52" s="44" t="s">
        <v>1658</v>
      </c>
      <c r="B52" s="356" t="s">
        <v>52</v>
      </c>
      <c r="C52" s="40" t="s">
        <v>1036</v>
      </c>
      <c r="D52" s="306" t="s">
        <v>893</v>
      </c>
      <c r="E52" s="396">
        <v>156.49826976128122</v>
      </c>
      <c r="F52" s="396">
        <v>39.521898224573697</v>
      </c>
      <c r="G52" s="396">
        <v>9.8792806111195173</v>
      </c>
      <c r="H52" s="396">
        <v>0.98967569749782358</v>
      </c>
      <c r="I52" s="396">
        <v>0</v>
      </c>
      <c r="J52" s="396">
        <v>206.89</v>
      </c>
      <c r="L52" s="269"/>
    </row>
    <row r="53" spans="1:12">
      <c r="A53" s="44" t="s">
        <v>1659</v>
      </c>
      <c r="B53" s="356" t="s">
        <v>79</v>
      </c>
      <c r="C53" s="40" t="s">
        <v>1037</v>
      </c>
      <c r="D53" s="306" t="s">
        <v>894</v>
      </c>
      <c r="E53" s="396">
        <v>211.31696664482851</v>
      </c>
      <c r="F53" s="396">
        <v>52.597933409164078</v>
      </c>
      <c r="G53" s="396">
        <v>9.8792806111195173</v>
      </c>
      <c r="H53" s="396">
        <v>0.89730596573135968</v>
      </c>
      <c r="I53" s="396">
        <v>0</v>
      </c>
      <c r="J53" s="396">
        <v>274.69</v>
      </c>
      <c r="L53" s="269"/>
    </row>
    <row r="54" spans="1:12">
      <c r="A54" s="44" t="s">
        <v>1660</v>
      </c>
      <c r="B54" s="356" t="s">
        <v>148</v>
      </c>
      <c r="C54" s="40" t="s">
        <v>1038</v>
      </c>
      <c r="D54" s="306" t="s">
        <v>895</v>
      </c>
      <c r="E54" s="396">
        <v>236.2298622807447</v>
      </c>
      <c r="F54" s="396">
        <v>54.145509011990512</v>
      </c>
      <c r="G54" s="396">
        <v>11.978492482485555</v>
      </c>
      <c r="H54" s="396">
        <v>0.91050164169799819</v>
      </c>
      <c r="I54" s="396">
        <v>0</v>
      </c>
      <c r="J54" s="396">
        <v>303.26</v>
      </c>
      <c r="L54" s="269"/>
    </row>
    <row r="55" spans="1:12">
      <c r="D55" s="306" t="s">
        <v>299</v>
      </c>
      <c r="E55" s="396"/>
      <c r="F55" s="396"/>
      <c r="G55" s="396"/>
      <c r="H55" s="396"/>
      <c r="I55" s="396"/>
      <c r="J55" s="396"/>
      <c r="L55" s="269"/>
    </row>
    <row r="56" spans="1:12">
      <c r="A56" s="44" t="s">
        <v>1661</v>
      </c>
      <c r="B56" s="356" t="s">
        <v>140</v>
      </c>
      <c r="C56" s="40" t="s">
        <v>1039</v>
      </c>
      <c r="D56" s="306" t="s">
        <v>896</v>
      </c>
      <c r="E56" s="396">
        <v>99.447597035337949</v>
      </c>
      <c r="F56" s="396">
        <v>35.310337493381212</v>
      </c>
      <c r="G56" s="396">
        <v>0</v>
      </c>
      <c r="H56" s="396">
        <v>0</v>
      </c>
      <c r="I56" s="396">
        <v>0</v>
      </c>
      <c r="J56" s="396">
        <v>134.76</v>
      </c>
      <c r="L56" s="269"/>
    </row>
    <row r="57" spans="1:12">
      <c r="A57" s="44" t="s">
        <v>1662</v>
      </c>
      <c r="B57" s="356" t="s">
        <v>191</v>
      </c>
      <c r="C57" s="40" t="s">
        <v>1040</v>
      </c>
      <c r="D57" s="306" t="s">
        <v>897</v>
      </c>
      <c r="E57" s="396">
        <v>137.8400503188918</v>
      </c>
      <c r="F57" s="396">
        <v>39.805145744841745</v>
      </c>
      <c r="G57" s="396">
        <v>0</v>
      </c>
      <c r="H57" s="396">
        <v>0</v>
      </c>
      <c r="I57" s="396">
        <v>0</v>
      </c>
      <c r="J57" s="396">
        <v>177.65</v>
      </c>
      <c r="L57" s="269"/>
    </row>
    <row r="58" spans="1:12">
      <c r="A58" s="44" t="s">
        <v>1663</v>
      </c>
      <c r="B58" s="356" t="s">
        <v>117</v>
      </c>
      <c r="C58" s="40" t="s">
        <v>1041</v>
      </c>
      <c r="D58" s="306" t="s">
        <v>898</v>
      </c>
      <c r="E58" s="396">
        <v>161.08677802662214</v>
      </c>
      <c r="F58" s="396">
        <v>57.19489458775255</v>
      </c>
      <c r="G58" s="396">
        <v>0</v>
      </c>
      <c r="H58" s="396">
        <v>0</v>
      </c>
      <c r="I58" s="396">
        <v>0</v>
      </c>
      <c r="J58" s="396">
        <v>218.28</v>
      </c>
      <c r="L58" s="269"/>
    </row>
    <row r="59" spans="1:12">
      <c r="A59" s="44" t="s">
        <v>1664</v>
      </c>
      <c r="B59" s="356" t="s">
        <v>27</v>
      </c>
      <c r="C59" s="40" t="s">
        <v>1042</v>
      </c>
      <c r="D59" s="306" t="s">
        <v>899</v>
      </c>
      <c r="E59" s="396">
        <v>147.55405625259965</v>
      </c>
      <c r="F59" s="396">
        <v>43.134463019691673</v>
      </c>
      <c r="G59" s="396">
        <v>0</v>
      </c>
      <c r="H59" s="396">
        <v>0</v>
      </c>
      <c r="I59" s="396">
        <v>0</v>
      </c>
      <c r="J59" s="396">
        <v>190.69</v>
      </c>
      <c r="L59" s="269"/>
    </row>
    <row r="60" spans="1:12">
      <c r="A60" s="44" t="s">
        <v>1665</v>
      </c>
      <c r="B60" s="356" t="s">
        <v>197</v>
      </c>
      <c r="C60" s="40" t="s">
        <v>1043</v>
      </c>
      <c r="D60" s="306" t="s">
        <v>900</v>
      </c>
      <c r="E60" s="396">
        <v>226.04454761241254</v>
      </c>
      <c r="F60" s="396">
        <v>58.934595824302669</v>
      </c>
      <c r="G60" s="396">
        <v>0</v>
      </c>
      <c r="H60" s="396">
        <v>0</v>
      </c>
      <c r="I60" s="396">
        <v>0</v>
      </c>
      <c r="J60" s="396">
        <v>284.98</v>
      </c>
      <c r="L60" s="269"/>
    </row>
    <row r="61" spans="1:12">
      <c r="A61" s="44" t="s">
        <v>1666</v>
      </c>
      <c r="B61" s="356" t="s">
        <v>166</v>
      </c>
      <c r="C61" s="40" t="s">
        <v>1044</v>
      </c>
      <c r="D61" s="306" t="s">
        <v>901</v>
      </c>
      <c r="E61" s="396">
        <v>210.94888012024253</v>
      </c>
      <c r="F61" s="396">
        <v>51.184755790824966</v>
      </c>
      <c r="G61" s="396">
        <v>0</v>
      </c>
      <c r="H61" s="396">
        <v>0</v>
      </c>
      <c r="I61" s="396">
        <v>0</v>
      </c>
      <c r="J61" s="396">
        <v>262.13</v>
      </c>
      <c r="L61" s="269"/>
    </row>
    <row r="62" spans="1:12">
      <c r="D62" s="306" t="s">
        <v>299</v>
      </c>
      <c r="E62" s="396"/>
      <c r="F62" s="396"/>
      <c r="G62" s="396"/>
      <c r="H62" s="396"/>
      <c r="I62" s="396"/>
      <c r="J62" s="396"/>
      <c r="L62" s="269"/>
    </row>
    <row r="63" spans="1:12">
      <c r="A63" s="44" t="s">
        <v>1667</v>
      </c>
      <c r="B63" s="356" t="s">
        <v>178</v>
      </c>
      <c r="C63" s="40" t="s">
        <v>1045</v>
      </c>
      <c r="D63" s="306" t="s">
        <v>902</v>
      </c>
      <c r="E63" s="396">
        <v>128.05055006365961</v>
      </c>
      <c r="F63" s="396">
        <v>42.37917705149556</v>
      </c>
      <c r="G63" s="396">
        <v>8.2994613677203368</v>
      </c>
      <c r="H63" s="396">
        <v>1.2535892168305767</v>
      </c>
      <c r="I63" s="396">
        <v>0</v>
      </c>
      <c r="J63" s="396">
        <v>179.98</v>
      </c>
      <c r="L63" s="269"/>
    </row>
    <row r="64" spans="1:12">
      <c r="A64" s="44" t="s">
        <v>1668</v>
      </c>
      <c r="B64" s="356" t="s">
        <v>54</v>
      </c>
      <c r="C64" s="40" t="s">
        <v>1046</v>
      </c>
      <c r="D64" s="306" t="s">
        <v>903</v>
      </c>
      <c r="E64" s="396">
        <v>152.61937753310718</v>
      </c>
      <c r="F64" s="396">
        <v>46.90355811268698</v>
      </c>
      <c r="G64" s="396">
        <v>8.2994613677203368</v>
      </c>
      <c r="H64" s="396">
        <v>1.2535892168305767</v>
      </c>
      <c r="I64" s="396">
        <v>0</v>
      </c>
      <c r="J64" s="396">
        <v>209.08</v>
      </c>
      <c r="L64" s="269"/>
    </row>
    <row r="65" spans="1:12">
      <c r="A65" s="44" t="s">
        <v>1669</v>
      </c>
      <c r="B65" s="356" t="s">
        <v>212</v>
      </c>
      <c r="C65" s="40" t="s">
        <v>1047</v>
      </c>
      <c r="D65" s="306" t="s">
        <v>904</v>
      </c>
      <c r="E65" s="396">
        <v>218.86078813178099</v>
      </c>
      <c r="F65" s="396">
        <v>58.02413392610471</v>
      </c>
      <c r="G65" s="396">
        <v>9.8792806111195173</v>
      </c>
      <c r="H65" s="396">
        <v>0.91050164169799819</v>
      </c>
      <c r="I65" s="396">
        <v>0</v>
      </c>
      <c r="J65" s="396">
        <v>287.67</v>
      </c>
      <c r="L65" s="269"/>
    </row>
    <row r="66" spans="1:12">
      <c r="A66" s="44" t="s">
        <v>1670</v>
      </c>
      <c r="B66" s="356" t="s">
        <v>131</v>
      </c>
      <c r="C66" s="40" t="s">
        <v>1048</v>
      </c>
      <c r="D66" s="306" t="s">
        <v>905</v>
      </c>
      <c r="E66" s="396">
        <v>181.82081503149774</v>
      </c>
      <c r="F66" s="396">
        <v>52.796960988217187</v>
      </c>
      <c r="G66" s="396">
        <v>9.8792806111195173</v>
      </c>
      <c r="H66" s="396">
        <v>0.98967569749782358</v>
      </c>
      <c r="I66" s="396">
        <v>0</v>
      </c>
      <c r="J66" s="396">
        <v>245.49</v>
      </c>
      <c r="L66" s="269"/>
    </row>
    <row r="67" spans="1:12">
      <c r="A67" s="44" t="s">
        <v>1671</v>
      </c>
      <c r="B67" s="356" t="s">
        <v>105</v>
      </c>
      <c r="C67" s="40" t="s">
        <v>1049</v>
      </c>
      <c r="D67" s="306" t="s">
        <v>906</v>
      </c>
      <c r="E67" s="396">
        <v>204.15849492066062</v>
      </c>
      <c r="F67" s="396">
        <v>68.999754118597011</v>
      </c>
      <c r="G67" s="396">
        <v>9.8792806111195173</v>
      </c>
      <c r="H67" s="396">
        <v>0.89730596573135968</v>
      </c>
      <c r="I67" s="396">
        <v>0</v>
      </c>
      <c r="J67" s="396">
        <v>283.93</v>
      </c>
      <c r="L67" s="269"/>
    </row>
    <row r="68" spans="1:12">
      <c r="A68" s="44" t="s">
        <v>1672</v>
      </c>
      <c r="B68" s="356" t="s">
        <v>213</v>
      </c>
      <c r="C68" s="40" t="s">
        <v>1050</v>
      </c>
      <c r="D68" s="306" t="s">
        <v>907</v>
      </c>
      <c r="E68" s="396">
        <v>272.16376671134515</v>
      </c>
      <c r="F68" s="396">
        <v>67.232864448597951</v>
      </c>
      <c r="G68" s="396">
        <v>11.978492482485555</v>
      </c>
      <c r="H68" s="396">
        <v>0.91050164169799819</v>
      </c>
      <c r="I68" s="396">
        <v>0</v>
      </c>
      <c r="J68" s="396">
        <v>352.29</v>
      </c>
      <c r="L68" s="269"/>
    </row>
    <row r="69" spans="1:12">
      <c r="D69" s="306" t="s">
        <v>299</v>
      </c>
      <c r="E69" s="396"/>
      <c r="F69" s="396"/>
      <c r="G69" s="396"/>
      <c r="H69" s="396"/>
      <c r="I69" s="396"/>
      <c r="J69" s="396"/>
      <c r="L69" s="269"/>
    </row>
    <row r="70" spans="1:12">
      <c r="A70" s="44" t="s">
        <v>1673</v>
      </c>
      <c r="B70" s="356" t="s">
        <v>68</v>
      </c>
      <c r="C70" s="40" t="s">
        <v>1051</v>
      </c>
      <c r="D70" s="306" t="s">
        <v>736</v>
      </c>
      <c r="E70" s="396">
        <v>164.57101581799137</v>
      </c>
      <c r="F70" s="396">
        <v>45.979425117045096</v>
      </c>
      <c r="G70" s="396">
        <v>0</v>
      </c>
      <c r="H70" s="396">
        <v>0</v>
      </c>
      <c r="I70" s="396">
        <v>0</v>
      </c>
      <c r="J70" s="396">
        <v>210.55</v>
      </c>
      <c r="L70" s="269"/>
    </row>
    <row r="71" spans="1:12">
      <c r="A71" s="44" t="s">
        <v>1674</v>
      </c>
      <c r="B71" s="356" t="s">
        <v>152</v>
      </c>
      <c r="C71" s="40" t="s">
        <v>1052</v>
      </c>
      <c r="D71" s="306" t="s">
        <v>737</v>
      </c>
      <c r="E71" s="396">
        <v>207.54967228241762</v>
      </c>
      <c r="F71" s="396">
        <v>53.143909377916913</v>
      </c>
      <c r="G71" s="396">
        <v>0</v>
      </c>
      <c r="H71" s="396">
        <v>0</v>
      </c>
      <c r="I71" s="396">
        <v>0</v>
      </c>
      <c r="J71" s="396">
        <v>260.69</v>
      </c>
      <c r="L71" s="269"/>
    </row>
    <row r="72" spans="1:12">
      <c r="A72" s="44" t="s">
        <v>1675</v>
      </c>
      <c r="B72" s="356" t="s">
        <v>160</v>
      </c>
      <c r="C72" s="40" t="s">
        <v>1053</v>
      </c>
      <c r="D72" s="306" t="s">
        <v>738</v>
      </c>
      <c r="E72" s="396">
        <v>274.85431441667225</v>
      </c>
      <c r="F72" s="396">
        <v>63.524818467938388</v>
      </c>
      <c r="G72" s="396">
        <v>0</v>
      </c>
      <c r="H72" s="396">
        <v>0</v>
      </c>
      <c r="I72" s="396">
        <v>0</v>
      </c>
      <c r="J72" s="396">
        <v>338.38</v>
      </c>
      <c r="L72" s="269"/>
    </row>
    <row r="73" spans="1:12">
      <c r="A73" s="44" t="s">
        <v>1676</v>
      </c>
      <c r="B73" s="356" t="s">
        <v>144</v>
      </c>
      <c r="C73" s="40" t="s">
        <v>1054</v>
      </c>
      <c r="D73" s="306" t="s">
        <v>739</v>
      </c>
      <c r="E73" s="396">
        <v>330.31971262214466</v>
      </c>
      <c r="F73" s="396">
        <v>66.86299766468791</v>
      </c>
      <c r="G73" s="396">
        <v>0</v>
      </c>
      <c r="H73" s="396">
        <v>0</v>
      </c>
      <c r="I73" s="396">
        <v>0</v>
      </c>
      <c r="J73" s="396">
        <v>397.18</v>
      </c>
      <c r="L73" s="269"/>
    </row>
    <row r="74" spans="1:12">
      <c r="A74" s="44" t="s">
        <v>1677</v>
      </c>
      <c r="B74" s="356" t="s">
        <v>120</v>
      </c>
      <c r="C74" s="40" t="s">
        <v>1055</v>
      </c>
      <c r="D74" s="306" t="s">
        <v>740</v>
      </c>
      <c r="E74" s="396">
        <v>309.54662097644439</v>
      </c>
      <c r="F74" s="396">
        <v>66.44020513098647</v>
      </c>
      <c r="G74" s="396">
        <v>0</v>
      </c>
      <c r="H74" s="396">
        <v>0</v>
      </c>
      <c r="I74" s="396">
        <v>0</v>
      </c>
      <c r="J74" s="396">
        <v>375.99</v>
      </c>
      <c r="L74" s="269"/>
    </row>
    <row r="75" spans="1:12">
      <c r="D75" s="306" t="s">
        <v>299</v>
      </c>
      <c r="E75" s="396"/>
      <c r="F75" s="396"/>
      <c r="G75" s="396"/>
      <c r="H75" s="396"/>
      <c r="I75" s="396"/>
      <c r="J75" s="396"/>
      <c r="L75" s="269"/>
    </row>
    <row r="76" spans="1:12">
      <c r="A76" s="44" t="s">
        <v>1678</v>
      </c>
      <c r="B76" s="356" t="s">
        <v>292</v>
      </c>
      <c r="C76" s="40" t="s">
        <v>1056</v>
      </c>
      <c r="D76" s="306" t="s">
        <v>741</v>
      </c>
      <c r="E76" s="396">
        <v>319.50112825588019</v>
      </c>
      <c r="F76" s="396">
        <v>105.37387314820819</v>
      </c>
      <c r="G76" s="396">
        <v>0</v>
      </c>
      <c r="H76" s="396">
        <v>0</v>
      </c>
      <c r="I76" s="396">
        <v>0</v>
      </c>
      <c r="J76" s="396">
        <v>424.88</v>
      </c>
      <c r="L76" s="269"/>
    </row>
    <row r="77" spans="1:12">
      <c r="D77" s="306" t="s">
        <v>299</v>
      </c>
      <c r="E77" s="396"/>
      <c r="F77" s="396"/>
      <c r="G77" s="396"/>
      <c r="H77" s="396"/>
      <c r="I77" s="396"/>
      <c r="J77" s="396"/>
      <c r="L77" s="269"/>
    </row>
    <row r="78" spans="1:12">
      <c r="A78" s="44" t="s">
        <v>1679</v>
      </c>
      <c r="B78" s="356" t="s">
        <v>128</v>
      </c>
      <c r="C78" s="40" t="s">
        <v>1264</v>
      </c>
      <c r="D78" s="306" t="s">
        <v>742</v>
      </c>
      <c r="E78" s="396">
        <v>71.706909516417511</v>
      </c>
      <c r="F78" s="396">
        <v>21.242815734076029</v>
      </c>
      <c r="G78" s="396">
        <v>0</v>
      </c>
      <c r="H78" s="396">
        <v>0</v>
      </c>
      <c r="I78" s="396">
        <v>0</v>
      </c>
      <c r="J78" s="396">
        <v>92.95</v>
      </c>
      <c r="L78" s="269"/>
    </row>
    <row r="79" spans="1:12">
      <c r="A79" s="44" t="s">
        <v>1680</v>
      </c>
      <c r="B79" s="356" t="s">
        <v>66</v>
      </c>
      <c r="C79" s="40" t="s">
        <v>1265</v>
      </c>
      <c r="D79" s="306" t="s">
        <v>743</v>
      </c>
      <c r="E79" s="396">
        <v>106.08187797842164</v>
      </c>
      <c r="F79" s="396">
        <v>29.435532455125802</v>
      </c>
      <c r="G79" s="396">
        <v>0</v>
      </c>
      <c r="H79" s="396">
        <v>0</v>
      </c>
      <c r="I79" s="396">
        <v>0</v>
      </c>
      <c r="J79" s="396">
        <v>135.52000000000001</v>
      </c>
      <c r="L79" s="269"/>
    </row>
    <row r="80" spans="1:12">
      <c r="A80" s="44" t="s">
        <v>1681</v>
      </c>
      <c r="B80" s="356" t="s">
        <v>58</v>
      </c>
      <c r="C80" s="40" t="s">
        <v>1266</v>
      </c>
      <c r="D80" s="306" t="s">
        <v>908</v>
      </c>
      <c r="E80" s="396">
        <v>115.61354736285298</v>
      </c>
      <c r="F80" s="396">
        <v>33.405431747112907</v>
      </c>
      <c r="G80" s="396">
        <v>8.2994613677203368</v>
      </c>
      <c r="H80" s="396">
        <v>1.7286335516295321</v>
      </c>
      <c r="I80" s="396">
        <v>0</v>
      </c>
      <c r="J80" s="396">
        <v>159.05000000000001</v>
      </c>
      <c r="L80" s="269"/>
    </row>
    <row r="81" spans="1:12">
      <c r="A81" s="44" t="s">
        <v>1682</v>
      </c>
      <c r="B81" s="356" t="s">
        <v>164</v>
      </c>
      <c r="C81" s="40" t="s">
        <v>1267</v>
      </c>
      <c r="D81" s="306" t="s">
        <v>909</v>
      </c>
      <c r="E81" s="396">
        <v>144.89071985571164</v>
      </c>
      <c r="F81" s="396">
        <v>34.453735579302183</v>
      </c>
      <c r="G81" s="396">
        <v>8.2994613677203368</v>
      </c>
      <c r="H81" s="396">
        <v>1.7286335516295321</v>
      </c>
      <c r="I81" s="396">
        <v>0</v>
      </c>
      <c r="J81" s="396">
        <v>189.37</v>
      </c>
      <c r="L81" s="269"/>
    </row>
    <row r="82" spans="1:12">
      <c r="A82" s="44" t="s">
        <v>1683</v>
      </c>
      <c r="B82" s="356" t="s">
        <v>151</v>
      </c>
      <c r="C82" s="40" t="s">
        <v>1061</v>
      </c>
      <c r="D82" s="306" t="s">
        <v>744</v>
      </c>
      <c r="E82" s="396">
        <v>77.795475890581784</v>
      </c>
      <c r="F82" s="396">
        <v>27.819597136236968</v>
      </c>
      <c r="G82" s="396">
        <v>0</v>
      </c>
      <c r="H82" s="396">
        <v>0</v>
      </c>
      <c r="I82" s="396">
        <v>0</v>
      </c>
      <c r="J82" s="396">
        <v>105.62</v>
      </c>
      <c r="L82" s="269"/>
    </row>
    <row r="83" spans="1:12">
      <c r="A83" s="44" t="s">
        <v>1684</v>
      </c>
      <c r="B83" s="356" t="s">
        <v>207</v>
      </c>
      <c r="C83" s="40" t="s">
        <v>1062</v>
      </c>
      <c r="D83" s="306" t="s">
        <v>745</v>
      </c>
      <c r="E83" s="396">
        <v>130.04024340998291</v>
      </c>
      <c r="F83" s="396">
        <v>34.769061346100358</v>
      </c>
      <c r="G83" s="396">
        <v>0</v>
      </c>
      <c r="H83" s="396">
        <v>0</v>
      </c>
      <c r="I83" s="396">
        <v>0</v>
      </c>
      <c r="J83" s="396">
        <v>164.81</v>
      </c>
      <c r="L83" s="269"/>
    </row>
    <row r="84" spans="1:12">
      <c r="A84" s="44" t="s">
        <v>1685</v>
      </c>
      <c r="B84" s="356" t="s">
        <v>80</v>
      </c>
      <c r="C84" s="40" t="s">
        <v>1063</v>
      </c>
      <c r="D84" s="306" t="s">
        <v>746</v>
      </c>
      <c r="E84" s="396">
        <v>126.72151222459898</v>
      </c>
      <c r="F84" s="396">
        <v>40.31879063305076</v>
      </c>
      <c r="G84" s="396">
        <v>0</v>
      </c>
      <c r="H84" s="396">
        <v>0</v>
      </c>
      <c r="I84" s="396">
        <v>0</v>
      </c>
      <c r="J84" s="396">
        <v>167.04</v>
      </c>
      <c r="L84" s="269"/>
    </row>
    <row r="85" spans="1:12">
      <c r="A85" s="44" t="s">
        <v>1686</v>
      </c>
      <c r="B85" s="356" t="s">
        <v>135</v>
      </c>
      <c r="C85" s="40" t="s">
        <v>1064</v>
      </c>
      <c r="D85" s="306" t="s">
        <v>747</v>
      </c>
      <c r="E85" s="396">
        <v>188.01950938164148</v>
      </c>
      <c r="F85" s="396">
        <v>43.745689066637823</v>
      </c>
      <c r="G85" s="396">
        <v>0</v>
      </c>
      <c r="H85" s="396">
        <v>0</v>
      </c>
      <c r="I85" s="396">
        <v>0</v>
      </c>
      <c r="J85" s="396">
        <v>231.77</v>
      </c>
      <c r="L85" s="269"/>
    </row>
    <row r="86" spans="1:12">
      <c r="A86" s="44" t="s">
        <v>1687</v>
      </c>
      <c r="B86" s="356" t="s">
        <v>90</v>
      </c>
      <c r="C86" s="40" t="s">
        <v>1065</v>
      </c>
      <c r="D86" s="306" t="s">
        <v>748</v>
      </c>
      <c r="E86" s="396">
        <v>216.46684081959836</v>
      </c>
      <c r="F86" s="396">
        <v>45.717255879965435</v>
      </c>
      <c r="G86" s="396">
        <v>0</v>
      </c>
      <c r="H86" s="396">
        <v>0</v>
      </c>
      <c r="I86" s="396">
        <v>0</v>
      </c>
      <c r="J86" s="396">
        <v>262.18</v>
      </c>
      <c r="L86" s="269"/>
    </row>
    <row r="87" spans="1:12">
      <c r="D87" s="306" t="s">
        <v>299</v>
      </c>
      <c r="E87" s="396"/>
      <c r="F87" s="396"/>
      <c r="G87" s="396"/>
      <c r="H87" s="396"/>
      <c r="I87" s="396"/>
      <c r="J87" s="396"/>
      <c r="L87" s="269"/>
    </row>
    <row r="88" spans="1:12">
      <c r="A88" s="44" t="s">
        <v>1688</v>
      </c>
      <c r="B88" s="356" t="s">
        <v>75</v>
      </c>
      <c r="C88" s="40" t="s">
        <v>1066</v>
      </c>
      <c r="D88" s="306" t="s">
        <v>910</v>
      </c>
      <c r="E88" s="396">
        <v>128.40434005256103</v>
      </c>
      <c r="F88" s="396">
        <v>36.004499076964926</v>
      </c>
      <c r="G88" s="396">
        <v>8.2994613677203368</v>
      </c>
      <c r="H88" s="396">
        <v>1.7286335516295321</v>
      </c>
      <c r="I88" s="396">
        <v>0</v>
      </c>
      <c r="J88" s="396">
        <v>174.44</v>
      </c>
      <c r="L88" s="269"/>
    </row>
    <row r="89" spans="1:12">
      <c r="A89" s="44" t="s">
        <v>1689</v>
      </c>
      <c r="B89" s="356" t="s">
        <v>203</v>
      </c>
      <c r="C89" s="40" t="s">
        <v>1067</v>
      </c>
      <c r="D89" s="306" t="s">
        <v>911</v>
      </c>
      <c r="E89" s="396">
        <v>174.59304790661525</v>
      </c>
      <c r="F89" s="396">
        <v>35.592692080953732</v>
      </c>
      <c r="G89" s="396">
        <v>8.2994613677203368</v>
      </c>
      <c r="H89" s="396">
        <v>1.7286335516295321</v>
      </c>
      <c r="I89" s="396">
        <v>0</v>
      </c>
      <c r="J89" s="396">
        <v>220.21</v>
      </c>
      <c r="L89" s="269"/>
    </row>
    <row r="90" spans="1:12">
      <c r="A90" s="44" t="s">
        <v>1690</v>
      </c>
      <c r="B90" s="356" t="s">
        <v>86</v>
      </c>
      <c r="C90" s="40" t="s">
        <v>1068</v>
      </c>
      <c r="D90" s="306" t="s">
        <v>912</v>
      </c>
      <c r="E90" s="396">
        <v>175.40806533762714</v>
      </c>
      <c r="F90" s="396">
        <v>46.239432709673984</v>
      </c>
      <c r="G90" s="396">
        <v>9.8901012908688237</v>
      </c>
      <c r="H90" s="396">
        <v>0.91050164169799819</v>
      </c>
      <c r="I90" s="396">
        <v>0</v>
      </c>
      <c r="J90" s="396">
        <v>232.45</v>
      </c>
      <c r="L90" s="269"/>
    </row>
    <row r="91" spans="1:12">
      <c r="A91" s="44" t="s">
        <v>1691</v>
      </c>
      <c r="B91" s="356" t="s">
        <v>223</v>
      </c>
      <c r="C91" s="40" t="s">
        <v>1069</v>
      </c>
      <c r="D91" s="306" t="s">
        <v>913</v>
      </c>
      <c r="E91" s="396">
        <v>231.45218384056167</v>
      </c>
      <c r="F91" s="396">
        <v>39.649615645816795</v>
      </c>
      <c r="G91" s="396">
        <v>11.978492482485551</v>
      </c>
      <c r="H91" s="396">
        <v>0.91050164169799819</v>
      </c>
      <c r="I91" s="396">
        <v>0</v>
      </c>
      <c r="J91" s="396">
        <v>283.99</v>
      </c>
      <c r="L91" s="269"/>
    </row>
    <row r="92" spans="1:12">
      <c r="A92" s="44" t="s">
        <v>1692</v>
      </c>
      <c r="B92" s="356" t="s">
        <v>30</v>
      </c>
      <c r="C92" s="40" t="s">
        <v>1070</v>
      </c>
      <c r="D92" s="306" t="s">
        <v>914</v>
      </c>
      <c r="E92" s="396">
        <v>252.12600059986036</v>
      </c>
      <c r="F92" s="396">
        <v>51.676739421992082</v>
      </c>
      <c r="G92" s="396">
        <v>11.978492482485551</v>
      </c>
      <c r="H92" s="396">
        <v>0.91050164169799819</v>
      </c>
      <c r="I92" s="396">
        <v>0</v>
      </c>
      <c r="J92" s="396">
        <v>316.69</v>
      </c>
      <c r="L92" s="269"/>
    </row>
    <row r="93" spans="1:12">
      <c r="D93" s="306" t="s">
        <v>299</v>
      </c>
      <c r="E93" s="396"/>
      <c r="F93" s="396"/>
      <c r="G93" s="396"/>
      <c r="H93" s="396"/>
      <c r="I93" s="396"/>
      <c r="J93" s="396"/>
      <c r="L93" s="269"/>
    </row>
    <row r="94" spans="1:12">
      <c r="A94" s="44" t="s">
        <v>1693</v>
      </c>
      <c r="B94" s="356" t="s">
        <v>104</v>
      </c>
      <c r="C94" s="40" t="s">
        <v>1071</v>
      </c>
      <c r="D94" s="306" t="s">
        <v>915</v>
      </c>
      <c r="E94" s="396">
        <v>96.943231437047473</v>
      </c>
      <c r="F94" s="396">
        <v>35.777891696373558</v>
      </c>
      <c r="G94" s="396">
        <v>0</v>
      </c>
      <c r="H94" s="396">
        <v>0</v>
      </c>
      <c r="I94" s="396">
        <v>0</v>
      </c>
      <c r="J94" s="396">
        <v>132.72</v>
      </c>
      <c r="L94" s="269"/>
    </row>
    <row r="95" spans="1:12">
      <c r="A95" s="44" t="s">
        <v>1694</v>
      </c>
      <c r="B95" s="356" t="s">
        <v>139</v>
      </c>
      <c r="C95" s="40" t="s">
        <v>1072</v>
      </c>
      <c r="D95" s="306" t="s">
        <v>916</v>
      </c>
      <c r="E95" s="396">
        <v>161.92791349923323</v>
      </c>
      <c r="F95" s="396">
        <v>45.227723010270402</v>
      </c>
      <c r="G95" s="396">
        <v>0</v>
      </c>
      <c r="H95" s="396">
        <v>0</v>
      </c>
      <c r="I95" s="396">
        <v>0</v>
      </c>
      <c r="J95" s="396">
        <v>207.16</v>
      </c>
      <c r="L95" s="269"/>
    </row>
    <row r="96" spans="1:12">
      <c r="A96" s="44" t="s">
        <v>1695</v>
      </c>
      <c r="B96" s="356" t="s">
        <v>85</v>
      </c>
      <c r="C96" s="40" t="s">
        <v>1073</v>
      </c>
      <c r="D96" s="306" t="s">
        <v>917</v>
      </c>
      <c r="E96" s="396">
        <v>163.87175155201626</v>
      </c>
      <c r="F96" s="396">
        <v>46.330811686138418</v>
      </c>
      <c r="G96" s="396">
        <v>0</v>
      </c>
      <c r="H96" s="396">
        <v>0</v>
      </c>
      <c r="I96" s="396">
        <v>0</v>
      </c>
      <c r="J96" s="396">
        <v>210.2</v>
      </c>
      <c r="L96" s="269"/>
    </row>
    <row r="97" spans="1:12">
      <c r="A97" s="44" t="s">
        <v>1696</v>
      </c>
      <c r="B97" s="356" t="s">
        <v>233</v>
      </c>
      <c r="C97" s="40" t="s">
        <v>1074</v>
      </c>
      <c r="D97" s="306" t="s">
        <v>918</v>
      </c>
      <c r="E97" s="396">
        <v>234.3065524802322</v>
      </c>
      <c r="F97" s="396">
        <v>56.370473045397134</v>
      </c>
      <c r="G97" s="396">
        <v>0</v>
      </c>
      <c r="H97" s="396">
        <v>0</v>
      </c>
      <c r="I97" s="396">
        <v>0</v>
      </c>
      <c r="J97" s="396">
        <v>290.68</v>
      </c>
      <c r="L97" s="269"/>
    </row>
    <row r="98" spans="1:12">
      <c r="A98" s="44" t="s">
        <v>1697</v>
      </c>
      <c r="B98" s="356" t="s">
        <v>101</v>
      </c>
      <c r="C98" s="40" t="s">
        <v>1075</v>
      </c>
      <c r="D98" s="306" t="s">
        <v>919</v>
      </c>
      <c r="E98" s="396">
        <v>264.212096641519</v>
      </c>
      <c r="F98" s="396">
        <v>60.970166535001638</v>
      </c>
      <c r="G98" s="396">
        <v>0</v>
      </c>
      <c r="H98" s="396">
        <v>0</v>
      </c>
      <c r="I98" s="396">
        <v>0</v>
      </c>
      <c r="J98" s="396">
        <v>325.18</v>
      </c>
      <c r="L98" s="269"/>
    </row>
    <row r="99" spans="1:12">
      <c r="D99" s="306" t="s">
        <v>299</v>
      </c>
      <c r="E99" s="396"/>
      <c r="F99" s="396"/>
      <c r="G99" s="396"/>
      <c r="H99" s="396"/>
      <c r="I99" s="396"/>
      <c r="J99" s="396"/>
      <c r="L99" s="269"/>
    </row>
    <row r="100" spans="1:12">
      <c r="A100" s="44" t="s">
        <v>1698</v>
      </c>
      <c r="B100" s="356" t="s">
        <v>179</v>
      </c>
      <c r="C100" s="40" t="s">
        <v>1076</v>
      </c>
      <c r="D100" s="306" t="s">
        <v>920</v>
      </c>
      <c r="E100" s="396">
        <v>138.43245915813267</v>
      </c>
      <c r="F100" s="396">
        <v>48.939037088496427</v>
      </c>
      <c r="G100" s="396">
        <v>8.2994613677203368</v>
      </c>
      <c r="H100" s="396">
        <v>1.7286335516295321</v>
      </c>
      <c r="I100" s="396">
        <v>0</v>
      </c>
      <c r="J100" s="396">
        <v>197.4</v>
      </c>
      <c r="L100" s="269"/>
    </row>
    <row r="101" spans="1:12">
      <c r="A101" s="44" t="s">
        <v>1699</v>
      </c>
      <c r="B101" s="356" t="s">
        <v>161</v>
      </c>
      <c r="C101" s="40" t="s">
        <v>1077</v>
      </c>
      <c r="D101" s="306" t="s">
        <v>921</v>
      </c>
      <c r="E101" s="396">
        <v>186.0876755814854</v>
      </c>
      <c r="F101" s="396">
        <v>49.831059206911</v>
      </c>
      <c r="G101" s="396">
        <v>8.2994613677203368</v>
      </c>
      <c r="H101" s="396">
        <v>1.7286335516295321</v>
      </c>
      <c r="I101" s="396">
        <v>0</v>
      </c>
      <c r="J101" s="396">
        <v>245.95</v>
      </c>
      <c r="L101" s="269"/>
    </row>
    <row r="102" spans="1:12">
      <c r="A102" s="44" t="s">
        <v>1700</v>
      </c>
      <c r="B102" s="356" t="s">
        <v>92</v>
      </c>
      <c r="C102" s="40" t="s">
        <v>1078</v>
      </c>
      <c r="D102" s="306" t="s">
        <v>922</v>
      </c>
      <c r="E102" s="396">
        <v>203.80798415959018</v>
      </c>
      <c r="F102" s="396">
        <v>60.141487905407089</v>
      </c>
      <c r="G102" s="396">
        <v>9.8901012908688237</v>
      </c>
      <c r="H102" s="396">
        <v>0.91050164169799819</v>
      </c>
      <c r="I102" s="396">
        <v>0</v>
      </c>
      <c r="J102" s="396">
        <v>274.75</v>
      </c>
      <c r="L102" s="269"/>
    </row>
    <row r="103" spans="1:12">
      <c r="A103" s="44" t="s">
        <v>1701</v>
      </c>
      <c r="B103" s="356" t="s">
        <v>171</v>
      </c>
      <c r="C103" s="40" t="s">
        <v>1079</v>
      </c>
      <c r="D103" s="306" t="s">
        <v>923</v>
      </c>
      <c r="E103" s="396">
        <v>265.20606893592389</v>
      </c>
      <c r="F103" s="396">
        <v>66.727706843280927</v>
      </c>
      <c r="G103" s="396">
        <v>11.978492482485551</v>
      </c>
      <c r="H103" s="396">
        <v>0.91050164169799819</v>
      </c>
      <c r="I103" s="396">
        <v>0</v>
      </c>
      <c r="J103" s="396">
        <v>344.82</v>
      </c>
      <c r="L103" s="269"/>
    </row>
    <row r="104" spans="1:12">
      <c r="A104" s="44" t="s">
        <v>1702</v>
      </c>
      <c r="B104" s="356" t="s">
        <v>73</v>
      </c>
      <c r="C104" s="40" t="s">
        <v>1080</v>
      </c>
      <c r="D104" s="306" t="s">
        <v>924</v>
      </c>
      <c r="E104" s="396">
        <v>279.63316870496527</v>
      </c>
      <c r="F104" s="396">
        <v>65.062661697996788</v>
      </c>
      <c r="G104" s="396">
        <v>11.978492482485551</v>
      </c>
      <c r="H104" s="396">
        <v>0.91050164169799819</v>
      </c>
      <c r="I104" s="396">
        <v>0</v>
      </c>
      <c r="J104" s="396">
        <v>357.58</v>
      </c>
      <c r="L104" s="269"/>
    </row>
    <row r="105" spans="1:12">
      <c r="D105" s="306" t="s">
        <v>299</v>
      </c>
      <c r="E105" s="396"/>
      <c r="F105" s="396"/>
      <c r="G105" s="396"/>
      <c r="H105" s="396"/>
      <c r="I105" s="396"/>
      <c r="J105" s="396"/>
      <c r="L105" s="269"/>
    </row>
    <row r="106" spans="1:12">
      <c r="A106" s="44" t="s">
        <v>1703</v>
      </c>
      <c r="B106" s="356" t="s">
        <v>220</v>
      </c>
      <c r="C106" s="40" t="s">
        <v>1081</v>
      </c>
      <c r="D106" s="306" t="s">
        <v>749</v>
      </c>
      <c r="E106" s="396">
        <v>125.09757422901096</v>
      </c>
      <c r="F106" s="396">
        <v>32.949074699064077</v>
      </c>
      <c r="G106" s="396">
        <v>0</v>
      </c>
      <c r="H106" s="396">
        <v>0</v>
      </c>
      <c r="I106" s="396">
        <v>0</v>
      </c>
      <c r="J106" s="396">
        <v>158.05000000000001</v>
      </c>
      <c r="L106" s="269"/>
    </row>
    <row r="107" spans="1:12">
      <c r="A107" s="44" t="s">
        <v>1704</v>
      </c>
      <c r="B107" s="356" t="s">
        <v>98</v>
      </c>
      <c r="C107" s="40" t="s">
        <v>1082</v>
      </c>
      <c r="D107" s="306" t="s">
        <v>750</v>
      </c>
      <c r="E107" s="396">
        <v>260.66905151622814</v>
      </c>
      <c r="F107" s="396">
        <v>62.122734408358177</v>
      </c>
      <c r="G107" s="396">
        <v>0</v>
      </c>
      <c r="H107" s="396">
        <v>0</v>
      </c>
      <c r="I107" s="396">
        <v>0</v>
      </c>
      <c r="J107" s="396">
        <v>322.79000000000002</v>
      </c>
      <c r="L107" s="269"/>
    </row>
    <row r="108" spans="1:12">
      <c r="A108" s="44" t="s">
        <v>1705</v>
      </c>
      <c r="B108" s="356" t="s">
        <v>113</v>
      </c>
      <c r="C108" s="40" t="s">
        <v>1083</v>
      </c>
      <c r="D108" s="306" t="s">
        <v>751</v>
      </c>
      <c r="E108" s="396">
        <v>297.05112820334563</v>
      </c>
      <c r="F108" s="396">
        <v>72.853637887840989</v>
      </c>
      <c r="G108" s="396">
        <v>0</v>
      </c>
      <c r="H108" s="396">
        <v>0</v>
      </c>
      <c r="I108" s="396">
        <v>0</v>
      </c>
      <c r="J108" s="396">
        <v>369.9</v>
      </c>
      <c r="L108" s="269"/>
    </row>
    <row r="109" spans="1:12">
      <c r="A109" s="44" t="s">
        <v>1706</v>
      </c>
      <c r="B109" s="356" t="s">
        <v>110</v>
      </c>
      <c r="C109" s="40" t="s">
        <v>1084</v>
      </c>
      <c r="D109" s="306" t="s">
        <v>752</v>
      </c>
      <c r="E109" s="396">
        <v>142.09578871282872</v>
      </c>
      <c r="F109" s="396">
        <v>49.112722737414089</v>
      </c>
      <c r="G109" s="396">
        <v>0</v>
      </c>
      <c r="H109" s="396">
        <v>0</v>
      </c>
      <c r="I109" s="396">
        <v>0</v>
      </c>
      <c r="J109" s="396">
        <v>191.21</v>
      </c>
      <c r="L109" s="269"/>
    </row>
    <row r="110" spans="1:12">
      <c r="D110" s="306" t="s">
        <v>299</v>
      </c>
      <c r="E110" s="396"/>
      <c r="F110" s="396"/>
      <c r="G110" s="396"/>
      <c r="H110" s="396"/>
      <c r="I110" s="396"/>
      <c r="J110" s="396"/>
      <c r="L110" s="269"/>
    </row>
    <row r="111" spans="1:12">
      <c r="A111" s="44" t="s">
        <v>1707</v>
      </c>
      <c r="B111" s="356" t="s">
        <v>28</v>
      </c>
      <c r="C111" s="40" t="s">
        <v>1085</v>
      </c>
      <c r="D111" s="306" t="s">
        <v>925</v>
      </c>
      <c r="E111" s="396">
        <v>143.66647327755712</v>
      </c>
      <c r="F111" s="396">
        <v>49.571781526411471</v>
      </c>
      <c r="G111" s="396">
        <v>8.2994613677203368</v>
      </c>
      <c r="H111" s="396">
        <v>1.3591546245636779</v>
      </c>
      <c r="I111" s="396">
        <v>0</v>
      </c>
      <c r="J111" s="396">
        <v>202.9</v>
      </c>
      <c r="L111" s="269"/>
    </row>
    <row r="112" spans="1:12">
      <c r="A112" s="44" t="s">
        <v>1708</v>
      </c>
      <c r="B112" s="356" t="s">
        <v>44</v>
      </c>
      <c r="C112" s="40" t="s">
        <v>1086</v>
      </c>
      <c r="D112" s="306" t="s">
        <v>926</v>
      </c>
      <c r="E112" s="396">
        <v>292.1533242036287</v>
      </c>
      <c r="F112" s="396">
        <v>78.46162313631477</v>
      </c>
      <c r="G112" s="396">
        <v>8.2994613677203368</v>
      </c>
      <c r="H112" s="396">
        <v>1.3591546245636779</v>
      </c>
      <c r="I112" s="396">
        <v>0</v>
      </c>
      <c r="J112" s="396">
        <v>380.27</v>
      </c>
      <c r="L112" s="269"/>
    </row>
    <row r="113" spans="1:12">
      <c r="A113" s="44" t="s">
        <v>1709</v>
      </c>
      <c r="B113" s="356" t="s">
        <v>195</v>
      </c>
      <c r="C113" s="40" t="s">
        <v>1087</v>
      </c>
      <c r="D113" s="306" t="s">
        <v>927</v>
      </c>
      <c r="E113" s="396">
        <v>313.97284051543403</v>
      </c>
      <c r="F113" s="396">
        <v>94.549406614110282</v>
      </c>
      <c r="G113" s="396">
        <v>9.8901012908688273</v>
      </c>
      <c r="H113" s="396">
        <v>1.3591546245636779</v>
      </c>
      <c r="I113" s="396">
        <v>0</v>
      </c>
      <c r="J113" s="396">
        <v>419.77</v>
      </c>
      <c r="L113" s="269"/>
    </row>
    <row r="114" spans="1:12">
      <c r="A114" s="44" t="s">
        <v>1710</v>
      </c>
      <c r="B114" s="356" t="s">
        <v>156</v>
      </c>
      <c r="C114" s="40" t="s">
        <v>1088</v>
      </c>
      <c r="D114" s="306" t="s">
        <v>928</v>
      </c>
      <c r="E114" s="396">
        <v>188.7932157050451</v>
      </c>
      <c r="F114" s="396">
        <v>65.560128899343368</v>
      </c>
      <c r="G114" s="396">
        <v>8.2994613677203368</v>
      </c>
      <c r="H114" s="396">
        <v>1.3591546245636779</v>
      </c>
      <c r="I114" s="396">
        <v>0</v>
      </c>
      <c r="J114" s="396">
        <v>264.01</v>
      </c>
      <c r="L114" s="269"/>
    </row>
    <row r="115" spans="1:12">
      <c r="D115" s="306" t="s">
        <v>299</v>
      </c>
      <c r="E115" s="396"/>
      <c r="F115" s="396"/>
      <c r="G115" s="396"/>
      <c r="H115" s="396"/>
      <c r="I115" s="396"/>
      <c r="J115" s="396"/>
      <c r="L115" s="269"/>
    </row>
    <row r="116" spans="1:12">
      <c r="A116" s="44" t="s">
        <v>1711</v>
      </c>
      <c r="B116" s="356" t="s">
        <v>184</v>
      </c>
      <c r="C116" s="40" t="s">
        <v>1089</v>
      </c>
      <c r="D116" s="306" t="s">
        <v>929</v>
      </c>
      <c r="E116" s="396">
        <v>128.22012897041418</v>
      </c>
      <c r="F116" s="396">
        <v>20.647943589969174</v>
      </c>
      <c r="G116" s="396">
        <v>0</v>
      </c>
      <c r="H116" s="396">
        <v>0</v>
      </c>
      <c r="I116" s="396">
        <v>0</v>
      </c>
      <c r="J116" s="396">
        <v>148.87</v>
      </c>
      <c r="L116" s="269"/>
    </row>
    <row r="117" spans="1:12">
      <c r="A117" s="44" t="s">
        <v>1712</v>
      </c>
      <c r="B117" s="356" t="s">
        <v>134</v>
      </c>
      <c r="C117" s="40" t="s">
        <v>1090</v>
      </c>
      <c r="D117" s="306" t="s">
        <v>930</v>
      </c>
      <c r="E117" s="396">
        <v>293.95186730565524</v>
      </c>
      <c r="F117" s="396">
        <v>32.729165056252555</v>
      </c>
      <c r="G117" s="396">
        <v>0</v>
      </c>
      <c r="H117" s="396">
        <v>0</v>
      </c>
      <c r="I117" s="396">
        <v>0</v>
      </c>
      <c r="J117" s="396">
        <v>326.68</v>
      </c>
      <c r="L117" s="269"/>
    </row>
    <row r="118" spans="1:12">
      <c r="A118" s="44" t="s">
        <v>1713</v>
      </c>
      <c r="B118" s="356" t="s">
        <v>53</v>
      </c>
      <c r="C118" s="40" t="s">
        <v>1091</v>
      </c>
      <c r="D118" s="306" t="s">
        <v>931</v>
      </c>
      <c r="E118" s="396">
        <v>335.38831770953817</v>
      </c>
      <c r="F118" s="396">
        <v>40.538872089583762</v>
      </c>
      <c r="G118" s="396">
        <v>0</v>
      </c>
      <c r="H118" s="396">
        <v>0</v>
      </c>
      <c r="I118" s="396">
        <v>0</v>
      </c>
      <c r="J118" s="396">
        <v>375.93</v>
      </c>
      <c r="L118" s="269"/>
    </row>
    <row r="119" spans="1:12">
      <c r="A119" s="44" t="s">
        <v>1714</v>
      </c>
      <c r="B119" s="356" t="s">
        <v>230</v>
      </c>
      <c r="C119" s="40" t="s">
        <v>1092</v>
      </c>
      <c r="D119" s="306" t="s">
        <v>932</v>
      </c>
      <c r="E119" s="396">
        <v>162.12123919937684</v>
      </c>
      <c r="F119" s="396">
        <v>56.149594271492788</v>
      </c>
      <c r="G119" s="396">
        <v>0</v>
      </c>
      <c r="H119" s="396">
        <v>0</v>
      </c>
      <c r="I119" s="396">
        <v>0</v>
      </c>
      <c r="J119" s="396">
        <v>218.27</v>
      </c>
      <c r="L119" s="269"/>
    </row>
    <row r="120" spans="1:12">
      <c r="D120" s="306" t="s">
        <v>299</v>
      </c>
      <c r="E120" s="396"/>
      <c r="F120" s="396"/>
      <c r="G120" s="396"/>
      <c r="H120" s="396"/>
      <c r="I120" s="396"/>
      <c r="J120" s="396"/>
      <c r="L120" s="269"/>
    </row>
    <row r="121" spans="1:12">
      <c r="A121" s="44" t="s">
        <v>1715</v>
      </c>
      <c r="B121" s="356" t="s">
        <v>23</v>
      </c>
      <c r="C121" s="40" t="s">
        <v>1093</v>
      </c>
      <c r="D121" s="306" t="s">
        <v>933</v>
      </c>
      <c r="E121" s="396">
        <v>175.72270927154321</v>
      </c>
      <c r="F121" s="396">
        <v>25.138971591835393</v>
      </c>
      <c r="G121" s="396">
        <v>8.2994613677203368</v>
      </c>
      <c r="H121" s="396">
        <v>1.3591546245636779</v>
      </c>
      <c r="I121" s="396">
        <v>0</v>
      </c>
      <c r="J121" s="396">
        <v>210.52</v>
      </c>
      <c r="L121" s="269"/>
    </row>
    <row r="122" spans="1:12">
      <c r="A122" s="44" t="s">
        <v>1716</v>
      </c>
      <c r="B122" s="356" t="s">
        <v>107</v>
      </c>
      <c r="C122" s="40" t="s">
        <v>1094</v>
      </c>
      <c r="D122" s="306" t="s">
        <v>934</v>
      </c>
      <c r="E122" s="396">
        <v>348.0321234518695</v>
      </c>
      <c r="F122" s="396">
        <v>58.694022134189701</v>
      </c>
      <c r="G122" s="396">
        <v>8.2994613677203368</v>
      </c>
      <c r="H122" s="396">
        <v>1.3591546245636779</v>
      </c>
      <c r="I122" s="396">
        <v>0</v>
      </c>
      <c r="J122" s="396">
        <v>416.38</v>
      </c>
      <c r="L122" s="269"/>
    </row>
    <row r="123" spans="1:12">
      <c r="A123" s="44" t="s">
        <v>1717</v>
      </c>
      <c r="B123" s="356" t="s">
        <v>67</v>
      </c>
      <c r="C123" s="40" t="s">
        <v>1095</v>
      </c>
      <c r="D123" s="306" t="s">
        <v>935</v>
      </c>
      <c r="E123" s="396">
        <v>413.52090268223526</v>
      </c>
      <c r="F123" s="396">
        <v>66.76386114624809</v>
      </c>
      <c r="G123" s="396">
        <v>9.8901012908688273</v>
      </c>
      <c r="H123" s="396">
        <v>1.3591546245636779</v>
      </c>
      <c r="I123" s="396">
        <v>0</v>
      </c>
      <c r="J123" s="396">
        <v>491.53</v>
      </c>
      <c r="L123" s="269"/>
    </row>
    <row r="124" spans="1:12">
      <c r="A124" s="40" t="s">
        <v>1718</v>
      </c>
      <c r="B124" s="356" t="s">
        <v>202</v>
      </c>
      <c r="C124" s="40" t="s">
        <v>1096</v>
      </c>
      <c r="D124" s="306" t="s">
        <v>936</v>
      </c>
      <c r="E124" s="396">
        <v>208.67052000630437</v>
      </c>
      <c r="F124" s="396">
        <v>72.585143637570951</v>
      </c>
      <c r="G124" s="396">
        <v>8.2994613677203368</v>
      </c>
      <c r="H124" s="396">
        <v>1.3591546245636779</v>
      </c>
      <c r="I124" s="396">
        <v>0</v>
      </c>
      <c r="J124" s="396">
        <v>290.91000000000003</v>
      </c>
      <c r="L124" s="269"/>
    </row>
    <row r="125" spans="1:12">
      <c r="A125" s="40"/>
      <c r="D125" s="306" t="s">
        <v>299</v>
      </c>
      <c r="E125" s="396"/>
      <c r="F125" s="396"/>
      <c r="G125" s="396"/>
      <c r="H125" s="396"/>
      <c r="I125" s="396"/>
      <c r="J125" s="396"/>
      <c r="L125" s="269"/>
    </row>
    <row r="126" spans="1:12">
      <c r="A126" s="40" t="s">
        <v>1719</v>
      </c>
      <c r="B126" s="356" t="s">
        <v>59</v>
      </c>
      <c r="C126" s="40" t="s">
        <v>1268</v>
      </c>
      <c r="D126" s="306" t="s">
        <v>753</v>
      </c>
      <c r="E126" s="396">
        <v>55.384405435860302</v>
      </c>
      <c r="F126" s="396">
        <v>28.78066387999343</v>
      </c>
      <c r="G126" s="396">
        <v>0</v>
      </c>
      <c r="H126" s="396">
        <v>0</v>
      </c>
      <c r="I126" s="396">
        <v>0</v>
      </c>
      <c r="J126" s="396">
        <v>84.17</v>
      </c>
      <c r="L126" s="269"/>
    </row>
    <row r="127" spans="1:12">
      <c r="A127" s="40" t="s">
        <v>1720</v>
      </c>
      <c r="B127" s="356" t="s">
        <v>116</v>
      </c>
      <c r="C127" s="40" t="s">
        <v>1269</v>
      </c>
      <c r="D127" s="306" t="s">
        <v>754</v>
      </c>
      <c r="E127" s="396">
        <v>98.329166893182531</v>
      </c>
      <c r="F127" s="396">
        <v>37.395630291804743</v>
      </c>
      <c r="G127" s="396">
        <v>0</v>
      </c>
      <c r="H127" s="396">
        <v>0</v>
      </c>
      <c r="I127" s="396">
        <v>0</v>
      </c>
      <c r="J127" s="396">
        <v>135.72</v>
      </c>
      <c r="L127" s="269"/>
    </row>
    <row r="128" spans="1:12">
      <c r="A128" s="40" t="s">
        <v>1721</v>
      </c>
      <c r="B128" s="356" t="s">
        <v>208</v>
      </c>
      <c r="C128" s="40" t="s">
        <v>1270</v>
      </c>
      <c r="D128" s="306" t="s">
        <v>937</v>
      </c>
      <c r="E128" s="396">
        <v>101.83023356339568</v>
      </c>
      <c r="F128" s="396">
        <v>35.749094241319447</v>
      </c>
      <c r="G128" s="396">
        <v>8.2994613677203368</v>
      </c>
      <c r="H128" s="396">
        <v>1.3591546245636779</v>
      </c>
      <c r="I128" s="396">
        <v>0</v>
      </c>
      <c r="J128" s="396">
        <v>147.24</v>
      </c>
      <c r="L128" s="269"/>
    </row>
    <row r="129" spans="1:12">
      <c r="A129" s="44" t="s">
        <v>1722</v>
      </c>
      <c r="B129" s="356" t="s">
        <v>147</v>
      </c>
      <c r="C129" s="40" t="s">
        <v>1271</v>
      </c>
      <c r="D129" s="306" t="s">
        <v>938</v>
      </c>
      <c r="E129" s="396">
        <v>139.09443491712224</v>
      </c>
      <c r="F129" s="396">
        <v>41.548390009094192</v>
      </c>
      <c r="G129" s="396">
        <v>8.2994613677203368</v>
      </c>
      <c r="H129" s="396">
        <v>1.3591546245636779</v>
      </c>
      <c r="I129" s="396">
        <v>0</v>
      </c>
      <c r="J129" s="396">
        <v>190.3</v>
      </c>
      <c r="L129" s="269"/>
    </row>
    <row r="130" spans="1:12">
      <c r="A130" s="44" t="s">
        <v>1723</v>
      </c>
      <c r="B130" s="356" t="s">
        <v>132</v>
      </c>
      <c r="C130" s="40" t="s">
        <v>1101</v>
      </c>
      <c r="D130" s="306" t="s">
        <v>755</v>
      </c>
      <c r="E130" s="396">
        <v>132.85776553702823</v>
      </c>
      <c r="F130" s="396">
        <v>41.003606888199904</v>
      </c>
      <c r="G130" s="396">
        <v>0</v>
      </c>
      <c r="H130" s="396">
        <v>0</v>
      </c>
      <c r="I130" s="396">
        <v>0</v>
      </c>
      <c r="J130" s="396">
        <v>173.86</v>
      </c>
      <c r="L130" s="269"/>
    </row>
    <row r="131" spans="1:12">
      <c r="A131" s="44" t="s">
        <v>1724</v>
      </c>
      <c r="B131" s="356" t="s">
        <v>182</v>
      </c>
      <c r="C131" s="40" t="s">
        <v>1102</v>
      </c>
      <c r="D131" s="306" t="s">
        <v>756</v>
      </c>
      <c r="E131" s="396">
        <v>178.7772558189653</v>
      </c>
      <c r="F131" s="396">
        <v>47.956459798933082</v>
      </c>
      <c r="G131" s="396">
        <v>0</v>
      </c>
      <c r="H131" s="396">
        <v>0</v>
      </c>
      <c r="I131" s="396">
        <v>0</v>
      </c>
      <c r="J131" s="396">
        <v>226.73</v>
      </c>
      <c r="L131" s="269"/>
    </row>
    <row r="132" spans="1:12">
      <c r="A132" s="44" t="s">
        <v>1725</v>
      </c>
      <c r="B132" s="356" t="s">
        <v>168</v>
      </c>
      <c r="C132" s="40" t="s">
        <v>1103</v>
      </c>
      <c r="D132" s="306" t="s">
        <v>757</v>
      </c>
      <c r="E132" s="396">
        <v>200.23282920056027</v>
      </c>
      <c r="F132" s="396">
        <v>51.409244271862086</v>
      </c>
      <c r="G132" s="396">
        <v>0</v>
      </c>
      <c r="H132" s="396">
        <v>0</v>
      </c>
      <c r="I132" s="396">
        <v>0</v>
      </c>
      <c r="J132" s="396">
        <v>251.64</v>
      </c>
      <c r="L132" s="269"/>
    </row>
    <row r="133" spans="1:12">
      <c r="D133" s="306" t="s">
        <v>299</v>
      </c>
      <c r="E133" s="396"/>
      <c r="F133" s="396"/>
      <c r="G133" s="396"/>
      <c r="H133" s="396"/>
      <c r="I133" s="396"/>
      <c r="J133" s="396"/>
      <c r="L133" s="269"/>
    </row>
    <row r="134" spans="1:12">
      <c r="A134" s="44" t="s">
        <v>1726</v>
      </c>
      <c r="B134" s="356" t="s">
        <v>50</v>
      </c>
      <c r="C134" s="40" t="s">
        <v>1104</v>
      </c>
      <c r="D134" s="306" t="s">
        <v>939</v>
      </c>
      <c r="E134" s="396">
        <v>172.36346499835685</v>
      </c>
      <c r="F134" s="396">
        <v>44.930841654538725</v>
      </c>
      <c r="G134" s="396">
        <v>8.2994613677203368</v>
      </c>
      <c r="H134" s="396">
        <v>1.3591546245636779</v>
      </c>
      <c r="I134" s="396">
        <v>0</v>
      </c>
      <c r="J134" s="396">
        <v>226.95</v>
      </c>
      <c r="L134" s="269"/>
    </row>
    <row r="135" spans="1:12">
      <c r="A135" s="44" t="s">
        <v>1727</v>
      </c>
      <c r="B135" s="356" t="s">
        <v>118</v>
      </c>
      <c r="C135" s="40" t="s">
        <v>1105</v>
      </c>
      <c r="D135" s="306" t="s">
        <v>940</v>
      </c>
      <c r="E135" s="396">
        <v>230.72504091924756</v>
      </c>
      <c r="F135" s="396">
        <v>53.407956075134784</v>
      </c>
      <c r="G135" s="396">
        <v>9.8792806111195208</v>
      </c>
      <c r="H135" s="396">
        <v>1.3591546245636779</v>
      </c>
      <c r="I135" s="396">
        <v>0</v>
      </c>
      <c r="J135" s="396">
        <v>295.37</v>
      </c>
      <c r="L135" s="269"/>
    </row>
    <row r="136" spans="1:12">
      <c r="A136" s="44" t="s">
        <v>1728</v>
      </c>
      <c r="B136" s="356" t="s">
        <v>216</v>
      </c>
      <c r="C136" s="40" t="s">
        <v>1106</v>
      </c>
      <c r="D136" s="306" t="s">
        <v>941</v>
      </c>
      <c r="E136" s="396">
        <v>249.31209895430084</v>
      </c>
      <c r="F136" s="396">
        <v>57.444978475943103</v>
      </c>
      <c r="G136" s="396">
        <v>11.978492482485555</v>
      </c>
      <c r="H136" s="396">
        <v>1.3591546245636779</v>
      </c>
      <c r="I136" s="396">
        <v>0</v>
      </c>
      <c r="J136" s="396">
        <v>320.08999999999997</v>
      </c>
      <c r="L136" s="269"/>
    </row>
    <row r="137" spans="1:12">
      <c r="D137" s="306" t="s">
        <v>299</v>
      </c>
      <c r="E137" s="396"/>
      <c r="F137" s="396"/>
      <c r="G137" s="396"/>
      <c r="H137" s="396"/>
      <c r="I137" s="396"/>
      <c r="J137" s="396"/>
      <c r="L137" s="269"/>
    </row>
    <row r="138" spans="1:12">
      <c r="A138" s="44" t="s">
        <v>1729</v>
      </c>
      <c r="B138" s="356" t="s">
        <v>169</v>
      </c>
      <c r="C138" s="40" t="s">
        <v>1107</v>
      </c>
      <c r="D138" s="306" t="s">
        <v>942</v>
      </c>
      <c r="E138" s="396">
        <v>143.41786999327627</v>
      </c>
      <c r="F138" s="396">
        <v>45.575667913993236</v>
      </c>
      <c r="G138" s="396">
        <v>0</v>
      </c>
      <c r="H138" s="396">
        <v>0</v>
      </c>
      <c r="I138" s="396">
        <v>0</v>
      </c>
      <c r="J138" s="396">
        <v>188.99</v>
      </c>
      <c r="L138" s="269"/>
    </row>
    <row r="139" spans="1:12">
      <c r="A139" s="44" t="s">
        <v>1730</v>
      </c>
      <c r="B139" s="356" t="s">
        <v>24</v>
      </c>
      <c r="C139" s="40" t="s">
        <v>1108</v>
      </c>
      <c r="D139" s="306" t="s">
        <v>943</v>
      </c>
      <c r="E139" s="396">
        <v>198.09305820254457</v>
      </c>
      <c r="F139" s="396">
        <v>51.016579204884152</v>
      </c>
      <c r="G139" s="396">
        <v>0</v>
      </c>
      <c r="H139" s="396">
        <v>0</v>
      </c>
      <c r="I139" s="396">
        <v>0</v>
      </c>
      <c r="J139" s="396">
        <v>249.11</v>
      </c>
      <c r="L139" s="269"/>
    </row>
    <row r="140" spans="1:12">
      <c r="A140" s="44" t="s">
        <v>1731</v>
      </c>
      <c r="B140" s="356" t="s">
        <v>153</v>
      </c>
      <c r="C140" s="40" t="s">
        <v>1109</v>
      </c>
      <c r="D140" s="306" t="s">
        <v>944</v>
      </c>
      <c r="E140" s="396">
        <v>227.39369065164718</v>
      </c>
      <c r="F140" s="396">
        <v>52.817411852565876</v>
      </c>
      <c r="G140" s="396">
        <v>0</v>
      </c>
      <c r="H140" s="396">
        <v>0</v>
      </c>
      <c r="I140" s="396">
        <v>0</v>
      </c>
      <c r="J140" s="396">
        <v>280.20999999999998</v>
      </c>
      <c r="L140" s="269"/>
    </row>
    <row r="141" spans="1:12">
      <c r="D141" s="306" t="s">
        <v>299</v>
      </c>
      <c r="E141" s="396"/>
      <c r="F141" s="396"/>
      <c r="G141" s="396"/>
      <c r="H141" s="396"/>
      <c r="I141" s="396"/>
      <c r="J141" s="396"/>
      <c r="L141" s="269"/>
    </row>
    <row r="142" spans="1:12">
      <c r="A142" s="44" t="s">
        <v>1732</v>
      </c>
      <c r="B142" s="356" t="s">
        <v>173</v>
      </c>
      <c r="C142" s="40" t="s">
        <v>1110</v>
      </c>
      <c r="D142" s="306" t="s">
        <v>945</v>
      </c>
      <c r="E142" s="396">
        <v>183.5415280431057</v>
      </c>
      <c r="F142" s="396">
        <v>49.377455346842595</v>
      </c>
      <c r="G142" s="396">
        <v>8.2994613677203368</v>
      </c>
      <c r="H142" s="396">
        <v>1.3591546245636779</v>
      </c>
      <c r="I142" s="396">
        <v>0</v>
      </c>
      <c r="J142" s="396">
        <v>242.58</v>
      </c>
      <c r="L142" s="269"/>
    </row>
    <row r="143" spans="1:12">
      <c r="A143" s="44" t="s">
        <v>1733</v>
      </c>
      <c r="B143" s="356" t="s">
        <v>76</v>
      </c>
      <c r="C143" s="40" t="s">
        <v>1111</v>
      </c>
      <c r="D143" s="306" t="s">
        <v>946</v>
      </c>
      <c r="E143" s="396">
        <v>250.74755633802087</v>
      </c>
      <c r="F143" s="396">
        <v>57.100923664048238</v>
      </c>
      <c r="G143" s="396">
        <v>9.8792806111195208</v>
      </c>
      <c r="H143" s="396">
        <v>1.3591546245636779</v>
      </c>
      <c r="I143" s="396">
        <v>0</v>
      </c>
      <c r="J143" s="396">
        <v>319.08999999999997</v>
      </c>
      <c r="L143" s="269"/>
    </row>
    <row r="144" spans="1:12">
      <c r="A144" s="44" t="s">
        <v>1734</v>
      </c>
      <c r="B144" s="356" t="s">
        <v>102</v>
      </c>
      <c r="C144" s="40" t="s">
        <v>1112</v>
      </c>
      <c r="D144" s="306" t="s">
        <v>947</v>
      </c>
      <c r="E144" s="396">
        <v>278.08338899419795</v>
      </c>
      <c r="F144" s="396">
        <v>59.630264081771386</v>
      </c>
      <c r="G144" s="396">
        <v>11.978492482485555</v>
      </c>
      <c r="H144" s="396">
        <v>1.3591546245636779</v>
      </c>
      <c r="I144" s="396">
        <v>0</v>
      </c>
      <c r="J144" s="396">
        <v>351.05</v>
      </c>
      <c r="L144" s="269"/>
    </row>
    <row r="145" spans="1:12">
      <c r="D145" s="306" t="s">
        <v>299</v>
      </c>
      <c r="E145" s="396"/>
      <c r="F145" s="396"/>
      <c r="G145" s="396"/>
      <c r="H145" s="396"/>
      <c r="I145" s="396"/>
      <c r="J145" s="396"/>
      <c r="L145" s="269"/>
    </row>
    <row r="146" spans="1:12">
      <c r="A146" s="44" t="s">
        <v>1480</v>
      </c>
      <c r="B146" s="356" t="s">
        <v>1479</v>
      </c>
      <c r="D146" s="1" t="s">
        <v>1493</v>
      </c>
      <c r="E146" s="396">
        <v>38.140659647908208</v>
      </c>
      <c r="F146" s="396">
        <v>13.717203148066035</v>
      </c>
      <c r="G146" s="396">
        <v>8.2979554272518392</v>
      </c>
      <c r="H146" s="396">
        <v>0.6465461700095424</v>
      </c>
      <c r="I146" s="396">
        <v>0</v>
      </c>
      <c r="J146" s="396">
        <v>60.8</v>
      </c>
    </row>
    <row r="147" spans="1:12">
      <c r="A147" s="44" t="s">
        <v>1482</v>
      </c>
      <c r="B147" s="356" t="s">
        <v>1481</v>
      </c>
      <c r="D147" s="1" t="s">
        <v>1492</v>
      </c>
      <c r="E147" s="396">
        <v>43.201953291277363</v>
      </c>
      <c r="F147" s="396">
        <v>15.541732269536791</v>
      </c>
      <c r="G147" s="396">
        <v>10.042624560446718</v>
      </c>
      <c r="H147" s="396">
        <v>0.6465461700095424</v>
      </c>
      <c r="I147" s="396">
        <v>0</v>
      </c>
      <c r="J147" s="396">
        <v>69.430000000000007</v>
      </c>
    </row>
    <row r="148" spans="1:12">
      <c r="A148" s="44" t="s">
        <v>1484</v>
      </c>
      <c r="B148" s="356" t="s">
        <v>1483</v>
      </c>
      <c r="D148" s="1" t="s">
        <v>1491</v>
      </c>
      <c r="E148" s="396">
        <v>36.645559881579338</v>
      </c>
      <c r="F148" s="396">
        <v>13.183544825755781</v>
      </c>
      <c r="G148" s="396">
        <v>8.9731412224095983</v>
      </c>
      <c r="H148" s="396">
        <v>0.6465461700095424</v>
      </c>
      <c r="I148" s="396">
        <v>0</v>
      </c>
      <c r="J148" s="396">
        <v>59.45</v>
      </c>
    </row>
    <row r="149" spans="1:12">
      <c r="A149" s="44" t="s">
        <v>1486</v>
      </c>
      <c r="B149" s="356" t="s">
        <v>1485</v>
      </c>
      <c r="D149" s="1" t="s">
        <v>1490</v>
      </c>
      <c r="E149" s="396">
        <v>47.399471551034914</v>
      </c>
      <c r="F149" s="396">
        <v>17.04547987231463</v>
      </c>
      <c r="G149" s="396">
        <v>10.04863230167744</v>
      </c>
      <c r="H149" s="396">
        <v>0.6465461700095424</v>
      </c>
      <c r="I149" s="396">
        <v>0</v>
      </c>
      <c r="J149" s="396">
        <v>75.14</v>
      </c>
    </row>
    <row r="150" spans="1:12">
      <c r="A150" s="44" t="s">
        <v>1488</v>
      </c>
      <c r="B150" s="356" t="s">
        <v>1487</v>
      </c>
      <c r="D150" s="1" t="s">
        <v>1489</v>
      </c>
      <c r="E150" s="396">
        <v>58.924437563299037</v>
      </c>
      <c r="F150" s="396">
        <v>21.20345978131369</v>
      </c>
      <c r="G150" s="396">
        <v>16.005314450452651</v>
      </c>
      <c r="H150" s="396">
        <v>0.6465461700095424</v>
      </c>
      <c r="I150" s="396">
        <v>0</v>
      </c>
      <c r="J150" s="396">
        <v>96.78</v>
      </c>
    </row>
    <row r="151" spans="1:12">
      <c r="D151" s="1" t="s">
        <v>299</v>
      </c>
      <c r="E151" s="396"/>
      <c r="F151" s="396"/>
      <c r="G151" s="396"/>
      <c r="H151" s="396"/>
      <c r="I151" s="396"/>
      <c r="J151" s="396"/>
    </row>
    <row r="152" spans="1:12">
      <c r="A152" s="44" t="s">
        <v>979</v>
      </c>
      <c r="B152" s="356" t="s">
        <v>3</v>
      </c>
      <c r="C152" s="40" t="s">
        <v>979</v>
      </c>
      <c r="D152" s="1" t="s">
        <v>1004</v>
      </c>
      <c r="E152" s="396">
        <v>23.501392601556407</v>
      </c>
      <c r="F152" s="396">
        <v>5.9913177143995977</v>
      </c>
      <c r="G152" s="396">
        <v>6.470766490087045</v>
      </c>
      <c r="H152" s="396">
        <v>0.97769244475034256</v>
      </c>
      <c r="I152" s="396">
        <v>0</v>
      </c>
      <c r="J152" s="396">
        <v>36.94</v>
      </c>
    </row>
    <row r="153" spans="1:12">
      <c r="A153" s="44" t="s">
        <v>981</v>
      </c>
      <c r="B153" s="356" t="s">
        <v>980</v>
      </c>
      <c r="C153" s="40" t="s">
        <v>981</v>
      </c>
      <c r="D153" s="1" t="s">
        <v>950</v>
      </c>
      <c r="E153" s="396">
        <v>37.050411833610127</v>
      </c>
      <c r="F153" s="396">
        <v>10.10668756682365</v>
      </c>
      <c r="G153" s="396">
        <v>7.7043239815083195</v>
      </c>
      <c r="H153" s="396">
        <v>0.91300301983453114</v>
      </c>
      <c r="I153" s="396">
        <v>0</v>
      </c>
      <c r="J153" s="396">
        <v>55.77</v>
      </c>
    </row>
    <row r="154" spans="1:12">
      <c r="A154" s="44" t="s">
        <v>983</v>
      </c>
      <c r="B154" s="356" t="s">
        <v>982</v>
      </c>
      <c r="C154" s="40" t="s">
        <v>983</v>
      </c>
      <c r="D154" s="1" t="s">
        <v>951</v>
      </c>
      <c r="E154" s="396">
        <v>37.050411833610127</v>
      </c>
      <c r="F154" s="396">
        <v>10.106976875368222</v>
      </c>
      <c r="G154" s="396">
        <v>7.7043239815083195</v>
      </c>
      <c r="H154" s="396">
        <v>0.99239458677666381</v>
      </c>
      <c r="I154" s="396">
        <v>0</v>
      </c>
      <c r="J154" s="396">
        <v>55.85</v>
      </c>
    </row>
    <row r="155" spans="1:12">
      <c r="A155" s="44" t="s">
        <v>984</v>
      </c>
      <c r="B155" s="356" t="s">
        <v>1272</v>
      </c>
      <c r="C155" s="40" t="s">
        <v>984</v>
      </c>
      <c r="D155" s="1" t="s">
        <v>1527</v>
      </c>
      <c r="E155" s="396">
        <v>65.939295925517456</v>
      </c>
      <c r="F155" s="396">
        <v>24.33892833410841</v>
      </c>
      <c r="G155" s="396">
        <v>9.3382466236540473</v>
      </c>
      <c r="H155" s="396">
        <v>0.71011345987130203</v>
      </c>
      <c r="I155" s="396">
        <v>0</v>
      </c>
      <c r="J155" s="396">
        <v>100.33</v>
      </c>
    </row>
    <row r="156" spans="1:12">
      <c r="A156" s="44" t="s">
        <v>985</v>
      </c>
      <c r="B156" s="356" t="s">
        <v>4</v>
      </c>
      <c r="C156" s="40" t="s">
        <v>985</v>
      </c>
      <c r="D156" s="1" t="s">
        <v>953</v>
      </c>
      <c r="E156" s="396">
        <v>65.939295925517456</v>
      </c>
      <c r="F156" s="396">
        <v>24.333094209907681</v>
      </c>
      <c r="G156" s="396">
        <v>7.7043239815083195</v>
      </c>
      <c r="H156" s="396">
        <v>0.89977109201084149</v>
      </c>
      <c r="I156" s="396">
        <v>0</v>
      </c>
      <c r="J156" s="396">
        <v>98.88</v>
      </c>
    </row>
    <row r="157" spans="1:12">
      <c r="A157" s="44" t="s">
        <v>986</v>
      </c>
      <c r="B157" s="356" t="s">
        <v>252</v>
      </c>
      <c r="C157" s="40" t="s">
        <v>986</v>
      </c>
      <c r="D157" s="1" t="s">
        <v>954</v>
      </c>
      <c r="E157" s="396">
        <v>34.59482453826007</v>
      </c>
      <c r="F157" s="396">
        <v>7.4753069770083354</v>
      </c>
      <c r="G157" s="396">
        <v>12.010954521733478</v>
      </c>
      <c r="H157" s="396">
        <v>0.91300301983453114</v>
      </c>
      <c r="I157" s="396">
        <v>0</v>
      </c>
      <c r="J157" s="396">
        <v>54.99</v>
      </c>
    </row>
    <row r="158" spans="1:12">
      <c r="A158" s="44" t="s">
        <v>988</v>
      </c>
      <c r="B158" s="356" t="s">
        <v>987</v>
      </c>
      <c r="C158" s="40" t="s">
        <v>988</v>
      </c>
      <c r="D158" s="1" t="s">
        <v>955</v>
      </c>
      <c r="E158" s="396">
        <v>43.614319684988871</v>
      </c>
      <c r="F158" s="396">
        <v>8.9997776593884353</v>
      </c>
      <c r="G158" s="396">
        <v>8.3211027272189586</v>
      </c>
      <c r="H158" s="396">
        <v>1.7333825449032394</v>
      </c>
      <c r="I158" s="396">
        <v>0</v>
      </c>
      <c r="J158" s="396">
        <v>62.67</v>
      </c>
    </row>
    <row r="159" spans="1:12">
      <c r="A159" s="44" t="s">
        <v>990</v>
      </c>
      <c r="B159" s="356" t="s">
        <v>989</v>
      </c>
      <c r="C159" s="40" t="s">
        <v>990</v>
      </c>
      <c r="D159" s="1" t="s">
        <v>956</v>
      </c>
      <c r="E159" s="396">
        <v>43.614319684988871</v>
      </c>
      <c r="F159" s="396">
        <v>9.0115239676115024</v>
      </c>
      <c r="G159" s="396">
        <v>12.010954521733478</v>
      </c>
      <c r="H159" s="396">
        <v>0.91300301983453114</v>
      </c>
      <c r="I159" s="396">
        <v>0</v>
      </c>
      <c r="J159" s="396">
        <v>65.55</v>
      </c>
    </row>
    <row r="160" spans="1:12">
      <c r="A160" s="44" t="s">
        <v>992</v>
      </c>
      <c r="B160" s="356" t="s">
        <v>991</v>
      </c>
      <c r="C160" s="40" t="s">
        <v>992</v>
      </c>
      <c r="D160" s="1" t="s">
        <v>957</v>
      </c>
      <c r="E160" s="396">
        <v>50.036279987529205</v>
      </c>
      <c r="F160" s="396">
        <v>9.4626683727933365</v>
      </c>
      <c r="G160" s="396">
        <v>8.3211027272189586</v>
      </c>
      <c r="H160" s="396">
        <v>1.7333825449032394</v>
      </c>
      <c r="I160" s="396">
        <v>0</v>
      </c>
      <c r="J160" s="396">
        <v>69.55</v>
      </c>
    </row>
    <row r="161" spans="1:10">
      <c r="A161" s="44" t="s">
        <v>994</v>
      </c>
      <c r="B161" s="356" t="s">
        <v>993</v>
      </c>
      <c r="C161" s="40" t="s">
        <v>994</v>
      </c>
      <c r="D161" s="1" t="s">
        <v>958</v>
      </c>
      <c r="E161" s="396">
        <v>50.036279987529205</v>
      </c>
      <c r="F161" s="396">
        <v>9.4660744606025968</v>
      </c>
      <c r="G161" s="396">
        <v>9.9225633301167555</v>
      </c>
      <c r="H161" s="396">
        <v>0.91300301983453114</v>
      </c>
      <c r="I161" s="396">
        <v>0</v>
      </c>
      <c r="J161" s="396">
        <v>70.34</v>
      </c>
    </row>
    <row r="162" spans="1:10">
      <c r="A162" s="44" t="s">
        <v>995</v>
      </c>
      <c r="B162" s="356" t="s">
        <v>255</v>
      </c>
      <c r="C162" s="40" t="s">
        <v>995</v>
      </c>
      <c r="D162" s="1" t="s">
        <v>959</v>
      </c>
      <c r="E162" s="396">
        <v>34.191525599716201</v>
      </c>
      <c r="F162" s="396">
        <v>13.004373199617598</v>
      </c>
      <c r="G162" s="396">
        <v>6.470766490087045</v>
      </c>
      <c r="H162" s="396">
        <v>1.0600244400977406</v>
      </c>
      <c r="I162" s="396">
        <v>0</v>
      </c>
      <c r="J162" s="396">
        <v>54.73</v>
      </c>
    </row>
    <row r="163" spans="1:10">
      <c r="A163" s="44" t="s">
        <v>996</v>
      </c>
      <c r="B163" s="356" t="s">
        <v>254</v>
      </c>
      <c r="C163" s="40" t="s">
        <v>996</v>
      </c>
      <c r="D163" s="1" t="s">
        <v>960</v>
      </c>
      <c r="E163" s="396">
        <v>47.976216458775305</v>
      </c>
      <c r="F163" s="396">
        <v>11.817077749887734</v>
      </c>
      <c r="G163" s="396">
        <v>6.470766490087045</v>
      </c>
      <c r="H163" s="396">
        <v>1.0600244400977406</v>
      </c>
      <c r="I163" s="396">
        <v>0</v>
      </c>
      <c r="J163" s="396">
        <v>67.319999999999993</v>
      </c>
    </row>
    <row r="164" spans="1:10">
      <c r="A164" s="44" t="s">
        <v>997</v>
      </c>
      <c r="B164" s="356" t="s">
        <v>253</v>
      </c>
      <c r="C164" s="40" t="s">
        <v>997</v>
      </c>
      <c r="D164" s="1" t="s">
        <v>961</v>
      </c>
      <c r="E164" s="396">
        <v>60.074333133736296</v>
      </c>
      <c r="F164" s="396">
        <v>13.787030982588208</v>
      </c>
      <c r="G164" s="396">
        <v>7.7151446612576304</v>
      </c>
      <c r="H164" s="396">
        <v>1.0600244400977406</v>
      </c>
      <c r="I164" s="396">
        <v>0</v>
      </c>
      <c r="J164" s="396">
        <v>82.64</v>
      </c>
    </row>
    <row r="165" spans="1:10">
      <c r="A165" s="44" t="s">
        <v>998</v>
      </c>
      <c r="B165" s="356" t="s">
        <v>257</v>
      </c>
      <c r="C165" s="40" t="s">
        <v>998</v>
      </c>
      <c r="D165" s="1" t="s">
        <v>962</v>
      </c>
      <c r="E165" s="396">
        <v>36.772113454983099</v>
      </c>
      <c r="F165" s="396">
        <v>8.9643137970898348</v>
      </c>
      <c r="G165" s="396">
        <v>6.470766490087045</v>
      </c>
      <c r="H165" s="396">
        <v>1.0600244400977406</v>
      </c>
      <c r="I165" s="396">
        <v>0</v>
      </c>
      <c r="J165" s="396">
        <v>53.27</v>
      </c>
    </row>
    <row r="166" spans="1:10">
      <c r="A166" s="44" t="s">
        <v>999</v>
      </c>
      <c r="B166" s="356" t="s">
        <v>256</v>
      </c>
      <c r="C166" s="40" t="s">
        <v>999</v>
      </c>
      <c r="D166" s="1" t="s">
        <v>963</v>
      </c>
      <c r="E166" s="396">
        <v>39.435218295133225</v>
      </c>
      <c r="F166" s="396">
        <v>11.211136251998319</v>
      </c>
      <c r="G166" s="396">
        <v>6.470766490087045</v>
      </c>
      <c r="H166" s="396">
        <v>1.0600244400977406</v>
      </c>
      <c r="I166" s="396">
        <v>0</v>
      </c>
      <c r="J166" s="396">
        <v>58.18</v>
      </c>
    </row>
    <row r="167" spans="1:10">
      <c r="A167" s="44" t="s">
        <v>1001</v>
      </c>
      <c r="B167" s="356" t="s">
        <v>1000</v>
      </c>
      <c r="C167" s="40" t="s">
        <v>1001</v>
      </c>
      <c r="D167" s="1" t="s">
        <v>964</v>
      </c>
      <c r="E167" s="396">
        <v>49.788123971119326</v>
      </c>
      <c r="F167" s="396">
        <v>10.455547510768369</v>
      </c>
      <c r="G167" s="396">
        <v>7.7043239815083195</v>
      </c>
      <c r="H167" s="396">
        <v>1.0600244400977406</v>
      </c>
      <c r="I167" s="396">
        <v>0</v>
      </c>
      <c r="J167" s="396">
        <v>69.010000000000005</v>
      </c>
    </row>
    <row r="168" spans="1:10">
      <c r="A168" s="44" t="s">
        <v>1003</v>
      </c>
      <c r="B168" s="356" t="s">
        <v>1002</v>
      </c>
      <c r="C168" s="40" t="s">
        <v>1003</v>
      </c>
      <c r="D168" s="1" t="s">
        <v>965</v>
      </c>
      <c r="E168" s="396">
        <v>49.788123971119326</v>
      </c>
      <c r="F168" s="396">
        <v>10.462072760936683</v>
      </c>
      <c r="G168" s="396">
        <v>9.3382466236540473</v>
      </c>
      <c r="H168" s="396">
        <v>1.0600244400977406</v>
      </c>
      <c r="I168" s="396">
        <v>0</v>
      </c>
      <c r="J168" s="396">
        <v>70.650000000000006</v>
      </c>
    </row>
  </sheetData>
  <sheetProtection algorithmName="SHA-512" hashValue="CaQKrpibXhqCqzIDHD/kWaQX+qNPpvGufyU6uiBeL8q7HpzsnzAYMXwHxNkfHS3W40mIce9saSWlwSZsqKbW+g==" saltValue="ghnQd+fxnOcPujxtvoKO+w=="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N215"/>
  <sheetViews>
    <sheetView topLeftCell="A41" workbookViewId="0">
      <selection activeCell="D12" sqref="D12"/>
    </sheetView>
  </sheetViews>
  <sheetFormatPr defaultColWidth="8.7109375" defaultRowHeight="15"/>
  <cols>
    <col min="1" max="1" width="8.7109375" style="44"/>
    <col min="2" max="2" width="12.7109375" style="192" customWidth="1"/>
    <col min="3" max="3" width="55.140625" style="40" customWidth="1"/>
    <col min="4" max="4" width="61.28515625" style="40" customWidth="1"/>
    <col min="5" max="5" width="11.5703125" style="356" customWidth="1"/>
    <col min="6" max="8" width="11.5703125" style="42" customWidth="1"/>
    <col min="9" max="9" width="39.42578125" style="42" bestFit="1" customWidth="1"/>
    <col min="10" max="10" width="11.85546875" style="42" bestFit="1" customWidth="1"/>
    <col min="11" max="11" width="9.28515625" style="40" bestFit="1" customWidth="1"/>
    <col min="12" max="16384" width="8.7109375" style="40"/>
  </cols>
  <sheetData>
    <row r="1" spans="1:14" s="392" customFormat="1">
      <c r="A1" s="393" t="s">
        <v>1765</v>
      </c>
      <c r="B1" s="394"/>
    </row>
    <row r="2" spans="1:14">
      <c r="A2" s="41" t="s">
        <v>978</v>
      </c>
      <c r="E2" s="395" t="s">
        <v>971</v>
      </c>
      <c r="F2" s="395" t="s">
        <v>972</v>
      </c>
      <c r="G2" s="395" t="s">
        <v>973</v>
      </c>
      <c r="H2" s="395" t="s">
        <v>974</v>
      </c>
      <c r="I2" s="396" t="s">
        <v>1254</v>
      </c>
      <c r="J2" s="395" t="s">
        <v>1255</v>
      </c>
    </row>
    <row r="3" spans="1:14">
      <c r="A3" s="41"/>
      <c r="E3" s="392"/>
      <c r="F3" s="392"/>
      <c r="G3" s="392"/>
      <c r="H3" s="392"/>
      <c r="I3" s="397" t="s">
        <v>1744</v>
      </c>
      <c r="J3" s="392"/>
    </row>
    <row r="4" spans="1:14" s="44" customFormat="1" ht="11.25">
      <c r="B4" s="46" t="s">
        <v>975</v>
      </c>
      <c r="C4" s="41" t="s">
        <v>0</v>
      </c>
      <c r="D4" s="41"/>
      <c r="E4" s="398" t="s">
        <v>1273</v>
      </c>
      <c r="F4" s="397" t="s">
        <v>1274</v>
      </c>
      <c r="G4" s="397" t="s">
        <v>976</v>
      </c>
      <c r="H4" s="397" t="s">
        <v>1745</v>
      </c>
      <c r="I4" s="397" t="s">
        <v>1746</v>
      </c>
      <c r="J4" s="397" t="s">
        <v>977</v>
      </c>
    </row>
    <row r="5" spans="1:14">
      <c r="A5" s="41"/>
      <c r="E5" s="392"/>
      <c r="F5" s="392"/>
      <c r="G5" s="392"/>
      <c r="H5" s="392"/>
      <c r="I5" s="392"/>
      <c r="J5" s="392"/>
    </row>
    <row r="6" spans="1:14">
      <c r="B6" s="192" t="s">
        <v>150</v>
      </c>
      <c r="C6" s="40" t="s">
        <v>1005</v>
      </c>
      <c r="D6" s="40" t="s">
        <v>758</v>
      </c>
      <c r="E6" s="396">
        <v>53.404478383474299</v>
      </c>
      <c r="F6" s="396">
        <v>30.275038279180222</v>
      </c>
      <c r="G6" s="396">
        <v>29.248297362383415</v>
      </c>
      <c r="H6" s="396">
        <v>2.8106789808938188</v>
      </c>
      <c r="I6" s="396">
        <v>0</v>
      </c>
      <c r="J6" s="396">
        <v>115.74</v>
      </c>
      <c r="K6" s="42"/>
      <c r="L6" s="269"/>
      <c r="N6" s="269"/>
    </row>
    <row r="7" spans="1:14">
      <c r="B7" s="192" t="s">
        <v>177</v>
      </c>
      <c r="C7" s="40" t="s">
        <v>1006</v>
      </c>
      <c r="D7" s="40" t="s">
        <v>759</v>
      </c>
      <c r="E7" s="396">
        <v>80.028594763354548</v>
      </c>
      <c r="F7" s="396">
        <v>34.725795903710882</v>
      </c>
      <c r="G7" s="396">
        <v>30.719909808289493</v>
      </c>
      <c r="H7" s="396">
        <v>2.8106789808938188</v>
      </c>
      <c r="I7" s="396">
        <v>0</v>
      </c>
      <c r="J7" s="396">
        <v>148.28</v>
      </c>
      <c r="K7" s="42"/>
      <c r="L7" s="269"/>
      <c r="N7" s="269"/>
    </row>
    <row r="8" spans="1:14">
      <c r="B8" s="192" t="s">
        <v>194</v>
      </c>
      <c r="C8" s="40" t="s">
        <v>1007</v>
      </c>
      <c r="D8" s="40" t="s">
        <v>760</v>
      </c>
      <c r="E8" s="396">
        <v>109.28249627683094</v>
      </c>
      <c r="F8" s="396">
        <v>38.979985585326531</v>
      </c>
      <c r="G8" s="396">
        <v>33.533286543109952</v>
      </c>
      <c r="H8" s="396">
        <v>2.8106789808938188</v>
      </c>
      <c r="I8" s="396">
        <v>0</v>
      </c>
      <c r="J8" s="396">
        <v>184.61</v>
      </c>
      <c r="K8" s="42"/>
      <c r="L8" s="269"/>
      <c r="N8" s="269"/>
    </row>
    <row r="9" spans="1:14">
      <c r="B9" s="192" t="s">
        <v>69</v>
      </c>
      <c r="C9" s="40" t="s">
        <v>1008</v>
      </c>
      <c r="D9" s="40" t="s">
        <v>761</v>
      </c>
      <c r="E9" s="396">
        <v>99.447078911193657</v>
      </c>
      <c r="F9" s="396">
        <v>40.617789632485518</v>
      </c>
      <c r="G9" s="396">
        <v>34.020217131828872</v>
      </c>
      <c r="H9" s="396">
        <v>2.8106789808938188</v>
      </c>
      <c r="I9" s="396">
        <v>0</v>
      </c>
      <c r="J9" s="396">
        <v>176.9</v>
      </c>
      <c r="K9" s="42"/>
      <c r="L9" s="269"/>
      <c r="N9" s="269"/>
    </row>
    <row r="10" spans="1:14">
      <c r="B10" s="192" t="s">
        <v>47</v>
      </c>
      <c r="C10" s="40" t="s">
        <v>1009</v>
      </c>
      <c r="D10" s="40" t="s">
        <v>762</v>
      </c>
      <c r="E10" s="396">
        <v>214.43161705214885</v>
      </c>
      <c r="F10" s="396">
        <v>58.090028716141546</v>
      </c>
      <c r="G10" s="396">
        <v>33.511364400758026</v>
      </c>
      <c r="H10" s="396">
        <v>4.0757297501088932</v>
      </c>
      <c r="I10" s="396">
        <v>0</v>
      </c>
      <c r="J10" s="396">
        <v>310.11</v>
      </c>
      <c r="K10" s="42"/>
      <c r="L10" s="269"/>
      <c r="N10" s="269"/>
    </row>
    <row r="11" spans="1:14">
      <c r="B11" s="192" t="s">
        <v>196</v>
      </c>
      <c r="C11" s="40" t="s">
        <v>1010</v>
      </c>
      <c r="D11" s="40" t="s">
        <v>763</v>
      </c>
      <c r="E11" s="396">
        <v>193.31751749691409</v>
      </c>
      <c r="F11" s="396">
        <v>54.835735458708989</v>
      </c>
      <c r="G11" s="396">
        <v>33.424798962763546</v>
      </c>
      <c r="H11" s="396">
        <v>4.0874493519170674</v>
      </c>
      <c r="I11" s="396">
        <v>0</v>
      </c>
      <c r="J11" s="396">
        <v>285.67</v>
      </c>
      <c r="K11" s="42"/>
      <c r="L11" s="269"/>
      <c r="N11" s="269"/>
    </row>
    <row r="12" spans="1:14">
      <c r="B12" s="192" t="s">
        <v>146</v>
      </c>
      <c r="C12" s="40" t="s">
        <v>1011</v>
      </c>
      <c r="D12" s="40" t="s">
        <v>764</v>
      </c>
      <c r="E12" s="396">
        <v>262.85389712877691</v>
      </c>
      <c r="F12" s="396">
        <v>64.734235397394684</v>
      </c>
      <c r="G12" s="396">
        <v>34.507147720547813</v>
      </c>
      <c r="H12" s="396">
        <v>4.0759877995325695</v>
      </c>
      <c r="I12" s="396">
        <v>0</v>
      </c>
      <c r="J12" s="396">
        <v>366.17</v>
      </c>
      <c r="K12" s="42"/>
      <c r="L12" s="269"/>
      <c r="N12" s="269"/>
    </row>
    <row r="13" spans="1:14">
      <c r="B13" s="192" t="s">
        <v>49</v>
      </c>
      <c r="C13" s="40" t="s">
        <v>1012</v>
      </c>
      <c r="D13" s="40" t="s">
        <v>765</v>
      </c>
      <c r="E13" s="396">
        <v>357.17675846024002</v>
      </c>
      <c r="F13" s="396">
        <v>77.731168664580608</v>
      </c>
      <c r="G13" s="396">
        <v>35.567012770273507</v>
      </c>
      <c r="H13" s="396">
        <v>5.1431034292480788</v>
      </c>
      <c r="I13" s="396">
        <v>0</v>
      </c>
      <c r="J13" s="396">
        <v>475.62</v>
      </c>
      <c r="K13" s="42"/>
      <c r="L13" s="269"/>
      <c r="N13" s="269"/>
    </row>
    <row r="14" spans="1:14">
      <c r="B14" s="192" t="s">
        <v>294</v>
      </c>
      <c r="C14" s="40" t="s">
        <v>1013</v>
      </c>
      <c r="D14" s="40" t="s">
        <v>766</v>
      </c>
      <c r="E14" s="396">
        <v>177.7825457265991</v>
      </c>
      <c r="F14" s="396">
        <v>55.073945373921291</v>
      </c>
      <c r="G14" s="396">
        <v>32.548043120216171</v>
      </c>
      <c r="H14" s="396">
        <v>5.4187365503890073</v>
      </c>
      <c r="I14" s="396">
        <v>0</v>
      </c>
      <c r="J14" s="396">
        <v>270.82</v>
      </c>
      <c r="K14" s="42"/>
      <c r="L14" s="269"/>
      <c r="N14" s="269"/>
    </row>
    <row r="15" spans="1:14">
      <c r="B15" s="192" t="s">
        <v>235</v>
      </c>
      <c r="C15" s="40" t="s">
        <v>1014</v>
      </c>
      <c r="D15" s="40" t="s">
        <v>767</v>
      </c>
      <c r="E15" s="396">
        <v>420.77048781583136</v>
      </c>
      <c r="F15" s="396">
        <v>94.018735292338647</v>
      </c>
      <c r="G15" s="396">
        <v>35.535112296732201</v>
      </c>
      <c r="H15" s="396">
        <v>4.0642681977243953</v>
      </c>
      <c r="I15" s="396">
        <v>0</v>
      </c>
      <c r="J15" s="396">
        <v>554.39</v>
      </c>
      <c r="K15" s="42"/>
      <c r="L15" s="269"/>
      <c r="N15" s="269"/>
    </row>
    <row r="16" spans="1:14">
      <c r="B16" s="192" t="s">
        <v>26</v>
      </c>
      <c r="C16" s="40" t="s">
        <v>1015</v>
      </c>
      <c r="D16" s="40" t="s">
        <v>768</v>
      </c>
      <c r="E16" s="396">
        <v>128.06170922210731</v>
      </c>
      <c r="F16" s="396">
        <v>46.25924606725895</v>
      </c>
      <c r="G16" s="396">
        <v>34.041858491327496</v>
      </c>
      <c r="H16" s="396">
        <v>3.0877881761932091</v>
      </c>
      <c r="I16" s="396">
        <v>0</v>
      </c>
      <c r="J16" s="396">
        <v>211.45</v>
      </c>
      <c r="K16" s="42"/>
      <c r="L16" s="269"/>
      <c r="N16" s="269"/>
    </row>
    <row r="17" spans="1:14">
      <c r="A17" s="40"/>
      <c r="B17" s="192" t="s">
        <v>206</v>
      </c>
      <c r="C17" s="40" t="s">
        <v>1016</v>
      </c>
      <c r="D17" s="40" t="s">
        <v>769</v>
      </c>
      <c r="E17" s="396">
        <v>120.56654547025518</v>
      </c>
      <c r="F17" s="396">
        <v>46.402087131475042</v>
      </c>
      <c r="G17" s="396">
        <v>34.528789080046415</v>
      </c>
      <c r="H17" s="396">
        <v>3.0877881761932091</v>
      </c>
      <c r="I17" s="396">
        <v>0</v>
      </c>
      <c r="J17" s="396">
        <v>204.59</v>
      </c>
      <c r="K17" s="42"/>
      <c r="L17" s="269"/>
      <c r="N17" s="269"/>
    </row>
    <row r="18" spans="1:14">
      <c r="A18" s="40"/>
      <c r="B18" s="192" t="s">
        <v>159</v>
      </c>
      <c r="C18" s="40" t="s">
        <v>1017</v>
      </c>
      <c r="D18" s="40" t="s">
        <v>770</v>
      </c>
      <c r="E18" s="396">
        <v>234.79221732233344</v>
      </c>
      <c r="F18" s="396">
        <v>62.652592430441771</v>
      </c>
      <c r="G18" s="396">
        <v>34.539609759795738</v>
      </c>
      <c r="H18" s="396">
        <v>4.7504433479895534</v>
      </c>
      <c r="I18" s="396">
        <v>0</v>
      </c>
      <c r="J18" s="396">
        <v>336.73</v>
      </c>
      <c r="K18" s="42"/>
      <c r="L18" s="269"/>
      <c r="N18" s="269"/>
    </row>
    <row r="19" spans="1:14">
      <c r="A19" s="40"/>
      <c r="B19" s="192" t="s">
        <v>167</v>
      </c>
      <c r="C19" s="40" t="s">
        <v>1018</v>
      </c>
      <c r="D19" s="40" t="s">
        <v>771</v>
      </c>
      <c r="E19" s="396">
        <v>213.12135824488581</v>
      </c>
      <c r="F19" s="396">
        <v>60.537106305241053</v>
      </c>
      <c r="G19" s="396">
        <v>35.297057342247392</v>
      </c>
      <c r="H19" s="396">
        <v>4.7504433479895534</v>
      </c>
      <c r="I19" s="396">
        <v>0</v>
      </c>
      <c r="J19" s="396">
        <v>313.70999999999998</v>
      </c>
      <c r="K19" s="42"/>
      <c r="L19" s="269"/>
      <c r="N19" s="269"/>
    </row>
    <row r="20" spans="1:14">
      <c r="A20" s="40"/>
      <c r="B20" s="192" t="s">
        <v>91</v>
      </c>
      <c r="C20" s="40" t="s">
        <v>1019</v>
      </c>
      <c r="D20" s="40" t="s">
        <v>772</v>
      </c>
      <c r="E20" s="396">
        <v>294.35964620043302</v>
      </c>
      <c r="F20" s="396">
        <v>72.289876326307962</v>
      </c>
      <c r="G20" s="396">
        <v>36.379125317178335</v>
      </c>
      <c r="H20" s="396">
        <v>4.7504433479895534</v>
      </c>
      <c r="I20" s="396">
        <v>0</v>
      </c>
      <c r="J20" s="396">
        <v>407.78</v>
      </c>
      <c r="K20" s="42"/>
      <c r="L20" s="269"/>
      <c r="N20" s="269"/>
    </row>
    <row r="21" spans="1:14">
      <c r="A21" s="40"/>
      <c r="B21" s="192" t="s">
        <v>227</v>
      </c>
      <c r="C21" s="40" t="s">
        <v>1020</v>
      </c>
      <c r="D21" s="40" t="s">
        <v>773</v>
      </c>
      <c r="E21" s="396">
        <v>376.2468768384457</v>
      </c>
      <c r="F21" s="396">
        <v>86.360595625469031</v>
      </c>
      <c r="G21" s="396">
        <v>37.428731252861347</v>
      </c>
      <c r="H21" s="396">
        <v>6.0700109446533164</v>
      </c>
      <c r="I21" s="396">
        <v>0</v>
      </c>
      <c r="J21" s="396">
        <v>506.11</v>
      </c>
      <c r="K21" s="42"/>
      <c r="L21" s="269"/>
      <c r="N21" s="269"/>
    </row>
    <row r="22" spans="1:14">
      <c r="A22" s="40"/>
      <c r="B22" s="192" t="s">
        <v>293</v>
      </c>
      <c r="C22" s="40" t="s">
        <v>1021</v>
      </c>
      <c r="D22" s="40" t="s">
        <v>774</v>
      </c>
      <c r="E22" s="396">
        <v>245.88190704629878</v>
      </c>
      <c r="F22" s="396">
        <v>65.022825887487997</v>
      </c>
      <c r="G22" s="396">
        <v>44.234938815176989</v>
      </c>
      <c r="H22" s="396">
        <v>6.4526855476858085</v>
      </c>
      <c r="I22" s="396">
        <v>0</v>
      </c>
      <c r="J22" s="396">
        <v>361.59</v>
      </c>
      <c r="K22" s="42"/>
      <c r="L22" s="269"/>
      <c r="N22" s="269"/>
    </row>
    <row r="23" spans="1:14">
      <c r="A23" s="40"/>
      <c r="B23" s="192" t="s">
        <v>70</v>
      </c>
      <c r="C23" s="40" t="s">
        <v>1022</v>
      </c>
      <c r="D23" s="40" t="s">
        <v>775</v>
      </c>
      <c r="E23" s="396">
        <v>426.87700607000238</v>
      </c>
      <c r="F23" s="396">
        <v>94.637934746360997</v>
      </c>
      <c r="G23" s="396">
        <v>37.428731252861347</v>
      </c>
      <c r="H23" s="396">
        <v>4.7504433479895534</v>
      </c>
      <c r="I23" s="396">
        <v>0</v>
      </c>
      <c r="J23" s="396">
        <v>563.69000000000005</v>
      </c>
      <c r="K23" s="42"/>
      <c r="L23" s="269"/>
      <c r="N23" s="269"/>
    </row>
    <row r="24" spans="1:14">
      <c r="A24" s="40"/>
      <c r="B24" s="192" t="s">
        <v>229</v>
      </c>
      <c r="C24" s="40" t="s">
        <v>1497</v>
      </c>
      <c r="D24" s="355" t="s">
        <v>1552</v>
      </c>
      <c r="E24" s="396">
        <v>121.0445752382944</v>
      </c>
      <c r="F24" s="396">
        <v>41.1911529725107</v>
      </c>
      <c r="G24" s="396">
        <v>26.975954615028432</v>
      </c>
      <c r="H24" s="396">
        <v>6.5978379833188256</v>
      </c>
      <c r="I24" s="396">
        <v>0</v>
      </c>
      <c r="J24" s="396">
        <v>195.81</v>
      </c>
      <c r="K24" s="42"/>
      <c r="L24" s="269"/>
      <c r="N24" s="269"/>
    </row>
    <row r="25" spans="1:14">
      <c r="A25" s="40"/>
      <c r="B25" s="192" t="s">
        <v>189</v>
      </c>
      <c r="C25" s="40" t="s">
        <v>1498</v>
      </c>
      <c r="D25" s="355" t="s">
        <v>1551</v>
      </c>
      <c r="E25" s="396">
        <v>122.89252954872519</v>
      </c>
      <c r="F25" s="396">
        <v>45.85060888613809</v>
      </c>
      <c r="G25" s="396">
        <v>26.975954615028432</v>
      </c>
      <c r="H25" s="396">
        <v>6.5978379833188256</v>
      </c>
      <c r="I25" s="396">
        <v>0</v>
      </c>
      <c r="J25" s="396">
        <v>202.32</v>
      </c>
      <c r="K25" s="42"/>
      <c r="L25" s="269"/>
      <c r="N25" s="269"/>
    </row>
    <row r="26" spans="1:14">
      <c r="A26" s="40"/>
      <c r="B26" s="192" t="s">
        <v>125</v>
      </c>
      <c r="C26" s="40" t="s">
        <v>1499</v>
      </c>
      <c r="D26" s="355" t="s">
        <v>1550</v>
      </c>
      <c r="E26" s="396">
        <v>127.59909472073923</v>
      </c>
      <c r="F26" s="396">
        <v>51.244758787311412</v>
      </c>
      <c r="G26" s="396">
        <v>36.682104350158994</v>
      </c>
      <c r="H26" s="396">
        <v>6.5978379833188256</v>
      </c>
      <c r="I26" s="396">
        <v>0</v>
      </c>
      <c r="J26" s="396">
        <v>222.12</v>
      </c>
      <c r="K26" s="42"/>
      <c r="L26" s="269"/>
      <c r="N26" s="269"/>
    </row>
    <row r="27" spans="1:14">
      <c r="A27" s="40"/>
      <c r="B27" s="192" t="s">
        <v>201</v>
      </c>
      <c r="C27" s="40" t="s">
        <v>1500</v>
      </c>
      <c r="D27" s="355" t="s">
        <v>1545</v>
      </c>
      <c r="E27" s="396">
        <v>274.11298276928068</v>
      </c>
      <c r="F27" s="396">
        <v>70.985130518852969</v>
      </c>
      <c r="G27" s="396">
        <v>33.273590229126519</v>
      </c>
      <c r="H27" s="396">
        <v>6.5978379833188256</v>
      </c>
      <c r="I27" s="396">
        <v>0</v>
      </c>
      <c r="J27" s="396">
        <v>384.97</v>
      </c>
      <c r="K27" s="42"/>
      <c r="L27" s="269"/>
      <c r="N27" s="269"/>
    </row>
    <row r="28" spans="1:14">
      <c r="A28" s="40"/>
      <c r="B28" s="192" t="s">
        <v>112</v>
      </c>
      <c r="C28" s="40" t="s">
        <v>1501</v>
      </c>
      <c r="D28" s="355" t="s">
        <v>1615</v>
      </c>
      <c r="E28" s="396">
        <v>310.2329445215214</v>
      </c>
      <c r="F28" s="396">
        <v>73.797233320400906</v>
      </c>
      <c r="G28" s="396">
        <v>38.045509998571987</v>
      </c>
      <c r="H28" s="396">
        <v>6.5978379833188256</v>
      </c>
      <c r="I28" s="396">
        <v>0</v>
      </c>
      <c r="J28" s="396">
        <v>428.67</v>
      </c>
      <c r="K28" s="42"/>
      <c r="L28" s="269"/>
      <c r="N28" s="269"/>
    </row>
    <row r="29" spans="1:14">
      <c r="A29" s="40"/>
      <c r="B29" s="192" t="s">
        <v>175</v>
      </c>
      <c r="C29" s="40" t="s">
        <v>1502</v>
      </c>
      <c r="D29" s="355" t="s">
        <v>1546</v>
      </c>
      <c r="E29" s="396">
        <v>149.27756723884698</v>
      </c>
      <c r="F29" s="396">
        <v>47.824199965292756</v>
      </c>
      <c r="G29" s="396">
        <v>38.261923593558173</v>
      </c>
      <c r="H29" s="396">
        <v>7.2444261056840693</v>
      </c>
      <c r="I29" s="396">
        <v>0</v>
      </c>
      <c r="J29" s="396">
        <v>242.61</v>
      </c>
      <c r="K29" s="42"/>
      <c r="L29" s="269"/>
      <c r="N29" s="269"/>
    </row>
    <row r="30" spans="1:14">
      <c r="A30" s="40"/>
      <c r="B30" s="192" t="s">
        <v>31</v>
      </c>
      <c r="C30" s="40" t="s">
        <v>1503</v>
      </c>
      <c r="D30" s="355" t="s">
        <v>1547</v>
      </c>
      <c r="E30" s="396">
        <v>160.65519075483118</v>
      </c>
      <c r="F30" s="396">
        <v>50.588912098786103</v>
      </c>
      <c r="G30" s="396">
        <v>38.261923593558173</v>
      </c>
      <c r="H30" s="396">
        <v>7.2444261056840693</v>
      </c>
      <c r="I30" s="396">
        <v>0</v>
      </c>
      <c r="J30" s="396">
        <v>256.75</v>
      </c>
      <c r="K30" s="42"/>
      <c r="L30" s="269"/>
      <c r="N30" s="269"/>
    </row>
    <row r="31" spans="1:14">
      <c r="A31" s="40"/>
      <c r="B31" s="192" t="s">
        <v>193</v>
      </c>
      <c r="C31" s="40" t="s">
        <v>1504</v>
      </c>
      <c r="D31" s="355" t="s">
        <v>1548</v>
      </c>
      <c r="E31" s="396">
        <v>157.78789680746718</v>
      </c>
      <c r="F31" s="396">
        <v>54.808270798841455</v>
      </c>
      <c r="G31" s="396">
        <v>49.201630820110026</v>
      </c>
      <c r="H31" s="396">
        <v>7.2444261056840693</v>
      </c>
      <c r="I31" s="396">
        <v>0</v>
      </c>
      <c r="J31" s="396">
        <v>269.04000000000002</v>
      </c>
      <c r="K31" s="42"/>
      <c r="L31" s="269"/>
      <c r="N31" s="269"/>
    </row>
    <row r="32" spans="1:14">
      <c r="A32" s="40"/>
      <c r="B32" s="192" t="s">
        <v>192</v>
      </c>
      <c r="C32" s="40" t="s">
        <v>1505</v>
      </c>
      <c r="D32" s="355" t="s">
        <v>1549</v>
      </c>
      <c r="E32" s="396">
        <v>296.29426101092707</v>
      </c>
      <c r="F32" s="396">
        <v>75.394213846509786</v>
      </c>
      <c r="G32" s="396">
        <v>43.628980749215657</v>
      </c>
      <c r="H32" s="396">
        <v>7.2444261056840693</v>
      </c>
      <c r="I32" s="396">
        <v>0</v>
      </c>
      <c r="J32" s="396">
        <v>422.56</v>
      </c>
      <c r="K32" s="42"/>
      <c r="L32" s="269"/>
      <c r="N32" s="269"/>
    </row>
    <row r="33" spans="1:14">
      <c r="A33" s="40"/>
      <c r="B33" s="192" t="s">
        <v>209</v>
      </c>
      <c r="C33" s="40" t="s">
        <v>1506</v>
      </c>
      <c r="D33" s="355" t="s">
        <v>1543</v>
      </c>
      <c r="E33" s="396">
        <v>351.50943117932263</v>
      </c>
      <c r="F33" s="396">
        <v>81.845084053901061</v>
      </c>
      <c r="G33" s="396">
        <v>54.839204969500237</v>
      </c>
      <c r="H33" s="396">
        <v>7.2444261056840693</v>
      </c>
      <c r="I33" s="396">
        <v>0</v>
      </c>
      <c r="J33" s="396">
        <v>495.44</v>
      </c>
      <c r="K33" s="42"/>
      <c r="L33" s="269"/>
      <c r="N33" s="269"/>
    </row>
    <row r="34" spans="1:14">
      <c r="A34" s="40"/>
      <c r="B34" s="192" t="s">
        <v>1578</v>
      </c>
      <c r="C34" s="40" t="s">
        <v>1507</v>
      </c>
      <c r="D34" s="355" t="s">
        <v>1542</v>
      </c>
      <c r="E34" s="396">
        <v>126.45767607507979</v>
      </c>
      <c r="F34" s="396">
        <v>45.526633353856198</v>
      </c>
      <c r="G34" s="396">
        <v>35.559069378454353</v>
      </c>
      <c r="H34" s="396">
        <v>6.0964022965865956</v>
      </c>
      <c r="I34" s="396">
        <v>0</v>
      </c>
      <c r="J34" s="396">
        <v>213.64</v>
      </c>
      <c r="K34" s="42"/>
      <c r="L34" s="269"/>
      <c r="N34" s="269"/>
    </row>
    <row r="35" spans="1:14">
      <c r="A35" s="40"/>
      <c r="B35" s="192" t="s">
        <v>1579</v>
      </c>
      <c r="C35" s="40" t="s">
        <v>1508</v>
      </c>
      <c r="D35" s="355" t="s">
        <v>1541</v>
      </c>
      <c r="E35" s="396">
        <v>148.91525509252517</v>
      </c>
      <c r="F35" s="396">
        <v>53.59183097127152</v>
      </c>
      <c r="G35" s="396">
        <v>38.900572690797887</v>
      </c>
      <c r="H35" s="396">
        <v>6.0964022965865956</v>
      </c>
      <c r="I35" s="396">
        <v>0</v>
      </c>
      <c r="J35" s="396">
        <v>247.5</v>
      </c>
      <c r="K35" s="42"/>
      <c r="L35" s="269"/>
      <c r="N35" s="269"/>
    </row>
    <row r="36" spans="1:14">
      <c r="A36" s="40"/>
      <c r="B36" s="192" t="s">
        <v>1580</v>
      </c>
      <c r="C36" s="40" t="s">
        <v>1509</v>
      </c>
      <c r="D36" s="355" t="s">
        <v>1553</v>
      </c>
      <c r="E36" s="396">
        <v>160.6117080293354</v>
      </c>
      <c r="F36" s="396">
        <v>57.777592965179601</v>
      </c>
      <c r="G36" s="396">
        <v>38.435209982329802</v>
      </c>
      <c r="H36" s="396">
        <v>6.0964022965865956</v>
      </c>
      <c r="I36" s="396">
        <v>0</v>
      </c>
      <c r="J36" s="396">
        <v>262.92</v>
      </c>
      <c r="K36" s="42"/>
      <c r="L36" s="269"/>
      <c r="N36" s="269"/>
    </row>
    <row r="37" spans="1:14">
      <c r="A37" s="40"/>
      <c r="B37" s="192" t="s">
        <v>1581</v>
      </c>
      <c r="C37" s="40" t="s">
        <v>1510</v>
      </c>
      <c r="D37" s="355" t="s">
        <v>1554</v>
      </c>
      <c r="E37" s="396">
        <v>196.81911493894967</v>
      </c>
      <c r="F37" s="396">
        <v>70.713735108908239</v>
      </c>
      <c r="G37" s="396">
        <v>39.774669329133374</v>
      </c>
      <c r="H37" s="396">
        <v>6.0964022965865956</v>
      </c>
      <c r="I37" s="396">
        <v>0</v>
      </c>
      <c r="J37" s="396">
        <v>313.39999999999998</v>
      </c>
      <c r="K37" s="42"/>
      <c r="L37" s="269"/>
      <c r="N37" s="269"/>
    </row>
    <row r="38" spans="1:14">
      <c r="A38" s="40"/>
      <c r="B38" s="192" t="s">
        <v>1582</v>
      </c>
      <c r="C38" s="40" t="s">
        <v>1511</v>
      </c>
      <c r="D38" s="355" t="s">
        <v>1555</v>
      </c>
      <c r="E38" s="396">
        <v>267.54079605891184</v>
      </c>
      <c r="F38" s="396">
        <v>96.16585900987134</v>
      </c>
      <c r="G38" s="396">
        <v>49.994549642869032</v>
      </c>
      <c r="H38" s="396">
        <v>6.0964022965865956</v>
      </c>
      <c r="I38" s="396">
        <v>0</v>
      </c>
      <c r="J38" s="396">
        <v>419.8</v>
      </c>
      <c r="K38" s="42"/>
      <c r="L38" s="269"/>
      <c r="N38" s="269"/>
    </row>
    <row r="39" spans="1:14">
      <c r="A39" s="40"/>
      <c r="B39" s="192" t="s">
        <v>1583</v>
      </c>
      <c r="C39" s="40" t="s">
        <v>1512</v>
      </c>
      <c r="D39" s="355" t="s">
        <v>1539</v>
      </c>
      <c r="E39" s="396">
        <v>102.97148507898102</v>
      </c>
      <c r="F39" s="396">
        <v>37.066310806010414</v>
      </c>
      <c r="G39" s="396">
        <v>27.261112697639732</v>
      </c>
      <c r="H39" s="396">
        <v>5.4630098501879871</v>
      </c>
      <c r="I39" s="396">
        <v>0</v>
      </c>
      <c r="J39" s="396">
        <v>172.76</v>
      </c>
      <c r="K39" s="42"/>
      <c r="L39" s="269"/>
      <c r="N39" s="269"/>
    </row>
    <row r="40" spans="1:14">
      <c r="A40" s="40"/>
      <c r="B40" s="192" t="s">
        <v>1584</v>
      </c>
      <c r="C40" s="40" t="s">
        <v>1513</v>
      </c>
      <c r="D40" s="355" t="s">
        <v>1556</v>
      </c>
      <c r="E40" s="396">
        <v>124.15677933309478</v>
      </c>
      <c r="F40" s="396">
        <v>44.66815202841493</v>
      </c>
      <c r="G40" s="396">
        <v>28.857997960262978</v>
      </c>
      <c r="H40" s="396">
        <v>5.4630098501879871</v>
      </c>
      <c r="I40" s="396">
        <v>0</v>
      </c>
      <c r="J40" s="396">
        <v>203.15</v>
      </c>
      <c r="K40" s="42"/>
      <c r="L40" s="269"/>
      <c r="N40" s="269"/>
    </row>
    <row r="41" spans="1:14">
      <c r="A41" s="40"/>
      <c r="B41" s="192" t="s">
        <v>1585</v>
      </c>
      <c r="C41" s="40" t="s">
        <v>1514</v>
      </c>
      <c r="D41" s="355" t="s">
        <v>1537</v>
      </c>
      <c r="E41" s="396">
        <v>135.39818151513691</v>
      </c>
      <c r="F41" s="396">
        <v>48.694950704925063</v>
      </c>
      <c r="G41" s="396">
        <v>29.462025975267633</v>
      </c>
      <c r="H41" s="396">
        <v>5.4630098501879871</v>
      </c>
      <c r="I41" s="396">
        <v>0</v>
      </c>
      <c r="J41" s="396">
        <v>219.02</v>
      </c>
      <c r="K41" s="42"/>
      <c r="L41" s="269"/>
      <c r="N41" s="269"/>
    </row>
    <row r="42" spans="1:14">
      <c r="A42" s="40"/>
      <c r="B42" s="192" t="s">
        <v>1586</v>
      </c>
      <c r="C42" s="40" t="s">
        <v>1515</v>
      </c>
      <c r="D42" s="355" t="s">
        <v>1538</v>
      </c>
      <c r="E42" s="396">
        <v>170.99266291832865</v>
      </c>
      <c r="F42" s="396">
        <v>61.406931832473724</v>
      </c>
      <c r="G42" s="396">
        <v>29.726080266405116</v>
      </c>
      <c r="H42" s="396">
        <v>5.4630098501879871</v>
      </c>
      <c r="I42" s="396">
        <v>0</v>
      </c>
      <c r="J42" s="396">
        <v>267.58999999999997</v>
      </c>
      <c r="K42" s="42"/>
      <c r="L42" s="269"/>
      <c r="N42" s="269"/>
    </row>
    <row r="43" spans="1:14">
      <c r="A43" s="40"/>
      <c r="B43" s="192" t="s">
        <v>1587</v>
      </c>
      <c r="C43" s="40" t="s">
        <v>1516</v>
      </c>
      <c r="D43" s="355" t="s">
        <v>1540</v>
      </c>
      <c r="E43" s="396">
        <v>227.87534371842679</v>
      </c>
      <c r="F43" s="396">
        <v>81.870994213026634</v>
      </c>
      <c r="G43" s="396">
        <v>33.98923519241638</v>
      </c>
      <c r="H43" s="396">
        <v>5.4630098501879871</v>
      </c>
      <c r="I43" s="396">
        <v>0</v>
      </c>
      <c r="J43" s="396">
        <v>349.2</v>
      </c>
      <c r="K43" s="42"/>
      <c r="L43" s="269"/>
      <c r="N43" s="269"/>
    </row>
    <row r="44" spans="1:14">
      <c r="A44" s="40"/>
      <c r="B44" s="192" t="s">
        <v>99</v>
      </c>
      <c r="C44" s="40" t="s">
        <v>1023</v>
      </c>
      <c r="D44" s="40" t="s">
        <v>790</v>
      </c>
      <c r="E44" s="396">
        <v>39.860050687163493</v>
      </c>
      <c r="F44" s="396">
        <v>26.45607983507395</v>
      </c>
      <c r="G44" s="396">
        <v>27.257292288510477</v>
      </c>
      <c r="H44" s="396">
        <v>2.1904822104618495</v>
      </c>
      <c r="I44" s="396">
        <v>0</v>
      </c>
      <c r="J44" s="396">
        <v>95.76</v>
      </c>
      <c r="K44" s="42"/>
      <c r="L44" s="269"/>
      <c r="N44" s="269"/>
    </row>
    <row r="45" spans="1:14">
      <c r="A45" s="40"/>
      <c r="B45" s="192" t="s">
        <v>29</v>
      </c>
      <c r="C45" s="40" t="s">
        <v>1024</v>
      </c>
      <c r="D45" s="40" t="s">
        <v>791</v>
      </c>
      <c r="E45" s="396">
        <v>54.435271364543958</v>
      </c>
      <c r="F45" s="396">
        <v>27.408277224427934</v>
      </c>
      <c r="G45" s="396">
        <v>27.257292288510477</v>
      </c>
      <c r="H45" s="396">
        <v>2.1904822104618495</v>
      </c>
      <c r="I45" s="396">
        <v>0</v>
      </c>
      <c r="J45" s="396">
        <v>111.29</v>
      </c>
      <c r="K45" s="42"/>
      <c r="L45" s="269"/>
      <c r="N45" s="269"/>
    </row>
    <row r="46" spans="1:14">
      <c r="A46" s="40"/>
      <c r="B46" s="192" t="s">
        <v>163</v>
      </c>
      <c r="C46" s="40" t="s">
        <v>1025</v>
      </c>
      <c r="D46" s="40" t="s">
        <v>792</v>
      </c>
      <c r="E46" s="396">
        <v>74.079369059459751</v>
      </c>
      <c r="F46" s="396">
        <v>36.069025926050493</v>
      </c>
      <c r="G46" s="396">
        <v>35.556753656230818</v>
      </c>
      <c r="H46" s="396">
        <v>3.4440714272924255</v>
      </c>
      <c r="I46" s="396">
        <v>0</v>
      </c>
      <c r="J46" s="396">
        <v>149.15</v>
      </c>
      <c r="K46" s="42"/>
      <c r="L46" s="269"/>
      <c r="N46" s="269"/>
    </row>
    <row r="47" spans="1:14">
      <c r="A47" s="40"/>
      <c r="B47" s="192" t="s">
        <v>83</v>
      </c>
      <c r="C47" s="40" t="s">
        <v>1026</v>
      </c>
      <c r="D47" s="40" t="s">
        <v>793</v>
      </c>
      <c r="E47" s="396">
        <v>90.425772633703374</v>
      </c>
      <c r="F47" s="396">
        <v>36.259889717318146</v>
      </c>
      <c r="G47" s="396">
        <v>35.556753656230818</v>
      </c>
      <c r="H47" s="396">
        <v>3.4440714272924255</v>
      </c>
      <c r="I47" s="396">
        <v>0</v>
      </c>
      <c r="J47" s="396">
        <v>165.69</v>
      </c>
      <c r="K47" s="42"/>
      <c r="L47" s="269"/>
      <c r="N47" s="269"/>
    </row>
    <row r="48" spans="1:14">
      <c r="A48" s="40"/>
      <c r="B48" s="192" t="s">
        <v>56</v>
      </c>
      <c r="C48" s="40" t="s">
        <v>1027</v>
      </c>
      <c r="D48" s="40" t="s">
        <v>794</v>
      </c>
      <c r="E48" s="396">
        <v>86.20051508976816</v>
      </c>
      <c r="F48" s="396">
        <v>31.520329781197539</v>
      </c>
      <c r="G48" s="396">
        <v>27.257292288510477</v>
      </c>
      <c r="H48" s="396">
        <v>2.1904822104618495</v>
      </c>
      <c r="I48" s="396">
        <v>0</v>
      </c>
      <c r="J48" s="396">
        <v>147.16999999999999</v>
      </c>
      <c r="K48" s="42"/>
      <c r="L48" s="269"/>
      <c r="N48" s="269"/>
    </row>
    <row r="49" spans="1:14">
      <c r="A49" s="40"/>
      <c r="B49" s="192" t="s">
        <v>111</v>
      </c>
      <c r="C49" s="40" t="s">
        <v>1028</v>
      </c>
      <c r="D49" s="40" t="s">
        <v>795</v>
      </c>
      <c r="E49" s="396">
        <v>114.22853232441045</v>
      </c>
      <c r="F49" s="396">
        <v>35.130858297019209</v>
      </c>
      <c r="G49" s="396">
        <v>27.257292288510477</v>
      </c>
      <c r="H49" s="396">
        <v>2.1904822104618495</v>
      </c>
      <c r="I49" s="396">
        <v>0</v>
      </c>
      <c r="J49" s="396">
        <v>178.81</v>
      </c>
      <c r="K49" s="42"/>
      <c r="L49" s="269"/>
      <c r="N49" s="269"/>
    </row>
    <row r="50" spans="1:14">
      <c r="A50" s="40"/>
      <c r="B50" s="192" t="s">
        <v>165</v>
      </c>
      <c r="C50" s="40" t="s">
        <v>1029</v>
      </c>
      <c r="D50" s="40" t="s">
        <v>796</v>
      </c>
      <c r="E50" s="396">
        <v>144.4416764195274</v>
      </c>
      <c r="F50" s="396">
        <v>38.491330379577889</v>
      </c>
      <c r="G50" s="396">
        <v>24.898384103161018</v>
      </c>
      <c r="H50" s="396">
        <v>8.4848196465480061</v>
      </c>
      <c r="I50" s="396">
        <v>0</v>
      </c>
      <c r="J50" s="396">
        <v>216.32</v>
      </c>
      <c r="K50" s="42"/>
      <c r="L50" s="269"/>
      <c r="N50" s="269"/>
    </row>
    <row r="51" spans="1:14">
      <c r="A51" s="40"/>
      <c r="B51" s="192" t="s">
        <v>225</v>
      </c>
      <c r="C51" s="40" t="s">
        <v>1030</v>
      </c>
      <c r="D51" s="40" t="s">
        <v>797</v>
      </c>
      <c r="E51" s="396">
        <v>121.57139176050532</v>
      </c>
      <c r="F51" s="396">
        <v>36.941709156490717</v>
      </c>
      <c r="G51" s="396">
        <v>24.898384103161018</v>
      </c>
      <c r="H51" s="396">
        <v>5.6213579617876377</v>
      </c>
      <c r="I51" s="396">
        <v>0</v>
      </c>
      <c r="J51" s="396">
        <v>189.03</v>
      </c>
      <c r="K51" s="42"/>
      <c r="L51" s="269"/>
      <c r="N51" s="269"/>
    </row>
    <row r="52" spans="1:14">
      <c r="A52" s="40"/>
      <c r="B52" s="192" t="s">
        <v>38</v>
      </c>
      <c r="C52" s="40" t="s">
        <v>1031</v>
      </c>
      <c r="D52" s="40" t="s">
        <v>798</v>
      </c>
      <c r="E52" s="396">
        <v>162.06297439558756</v>
      </c>
      <c r="F52" s="396">
        <v>39.573205659201697</v>
      </c>
      <c r="G52" s="396">
        <v>24.898384103161018</v>
      </c>
      <c r="H52" s="396">
        <v>8.4848196465480061</v>
      </c>
      <c r="I52" s="396">
        <v>0</v>
      </c>
      <c r="J52" s="396">
        <v>235.02</v>
      </c>
      <c r="K52" s="42"/>
      <c r="L52" s="269"/>
      <c r="N52" s="269"/>
    </row>
    <row r="53" spans="1:14">
      <c r="A53" s="40"/>
      <c r="B53" s="192" t="s">
        <v>141</v>
      </c>
      <c r="C53" s="40" t="s">
        <v>1032</v>
      </c>
      <c r="D53" s="40" t="s">
        <v>799</v>
      </c>
      <c r="E53" s="396">
        <v>171.63804766903655</v>
      </c>
      <c r="F53" s="396">
        <v>42.709730809516643</v>
      </c>
      <c r="G53" s="396">
        <v>33.565187016651265</v>
      </c>
      <c r="H53" s="396">
        <v>8.5194623531251796</v>
      </c>
      <c r="I53" s="396">
        <v>0</v>
      </c>
      <c r="J53" s="396">
        <v>256.43</v>
      </c>
      <c r="K53" s="42"/>
      <c r="L53" s="269"/>
      <c r="N53" s="269"/>
    </row>
    <row r="54" spans="1:14">
      <c r="A54" s="40"/>
      <c r="B54" s="192" t="s">
        <v>34</v>
      </c>
      <c r="C54" s="40" t="s">
        <v>1033</v>
      </c>
      <c r="D54" s="40" t="s">
        <v>800</v>
      </c>
      <c r="E54" s="396">
        <v>119.28437358340547</v>
      </c>
      <c r="F54" s="396">
        <v>39.558139283518507</v>
      </c>
      <c r="G54" s="396">
        <v>35.556753656230818</v>
      </c>
      <c r="H54" s="396">
        <v>3.4440714272924255</v>
      </c>
      <c r="I54" s="396">
        <v>0</v>
      </c>
      <c r="J54" s="396">
        <v>197.84</v>
      </c>
      <c r="K54" s="42"/>
      <c r="L54" s="269"/>
      <c r="N54" s="269"/>
    </row>
    <row r="55" spans="1:14">
      <c r="A55" s="40"/>
      <c r="B55" s="192" t="s">
        <v>39</v>
      </c>
      <c r="C55" s="40" t="s">
        <v>1034</v>
      </c>
      <c r="D55" s="40" t="s">
        <v>801</v>
      </c>
      <c r="E55" s="396">
        <v>147.61292214205719</v>
      </c>
      <c r="F55" s="396">
        <v>43.294005938169285</v>
      </c>
      <c r="G55" s="396">
        <v>35.556753656230818</v>
      </c>
      <c r="H55" s="396">
        <v>3.4440714272924255</v>
      </c>
      <c r="I55" s="396">
        <v>0</v>
      </c>
      <c r="J55" s="396">
        <v>229.91</v>
      </c>
      <c r="K55" s="42"/>
      <c r="L55" s="269"/>
      <c r="N55" s="269"/>
    </row>
    <row r="56" spans="1:14">
      <c r="A56" s="40"/>
      <c r="B56" s="192" t="s">
        <v>95</v>
      </c>
      <c r="C56" s="40" t="s">
        <v>1035</v>
      </c>
      <c r="D56" s="40" t="s">
        <v>802</v>
      </c>
      <c r="E56" s="396">
        <v>188.54650247650082</v>
      </c>
      <c r="F56" s="396">
        <v>50.569144949004276</v>
      </c>
      <c r="G56" s="396">
        <v>34.77766471428054</v>
      </c>
      <c r="H56" s="396">
        <v>9.3953212882460058</v>
      </c>
      <c r="I56" s="396">
        <v>0</v>
      </c>
      <c r="J56" s="396">
        <v>283.29000000000002</v>
      </c>
      <c r="K56" s="42"/>
      <c r="L56" s="269"/>
      <c r="N56" s="269"/>
    </row>
    <row r="57" spans="1:14">
      <c r="A57" s="40"/>
      <c r="B57" s="192" t="s">
        <v>17</v>
      </c>
      <c r="C57" s="40" t="s">
        <v>1036</v>
      </c>
      <c r="D57" s="40" t="s">
        <v>803</v>
      </c>
      <c r="E57" s="396">
        <v>165.29840582704554</v>
      </c>
      <c r="F57" s="396">
        <v>48.045133214114585</v>
      </c>
      <c r="G57" s="396">
        <v>34.77766471428054</v>
      </c>
      <c r="H57" s="396">
        <v>6.6110336592854608</v>
      </c>
      <c r="I57" s="396">
        <v>0</v>
      </c>
      <c r="J57" s="396">
        <v>254.73</v>
      </c>
      <c r="K57" s="42"/>
      <c r="L57" s="269"/>
      <c r="N57" s="269"/>
    </row>
    <row r="58" spans="1:14">
      <c r="A58" s="40"/>
      <c r="B58" s="192" t="s">
        <v>64</v>
      </c>
      <c r="C58" s="40" t="s">
        <v>1037</v>
      </c>
      <c r="D58" s="40" t="s">
        <v>804</v>
      </c>
      <c r="E58" s="396">
        <v>211.37229841357623</v>
      </c>
      <c r="F58" s="396">
        <v>54.349887616969845</v>
      </c>
      <c r="G58" s="396">
        <v>34.77766471428054</v>
      </c>
      <c r="H58" s="396">
        <v>9.382125612279367</v>
      </c>
      <c r="I58" s="396">
        <v>0</v>
      </c>
      <c r="J58" s="396">
        <v>309.88</v>
      </c>
      <c r="K58" s="42"/>
      <c r="L58" s="269"/>
      <c r="N58" s="269"/>
    </row>
    <row r="59" spans="1:14">
      <c r="A59" s="40"/>
      <c r="B59" s="192" t="s">
        <v>115</v>
      </c>
      <c r="C59" s="40" t="s">
        <v>1038</v>
      </c>
      <c r="D59" s="40" t="s">
        <v>805</v>
      </c>
      <c r="E59" s="396">
        <v>237.23317802448389</v>
      </c>
      <c r="F59" s="396">
        <v>56.005948461474624</v>
      </c>
      <c r="G59" s="396">
        <v>45.543679499136807</v>
      </c>
      <c r="H59" s="396">
        <v>9.4299639948231739</v>
      </c>
      <c r="I59" s="396">
        <v>0</v>
      </c>
      <c r="J59" s="396">
        <v>348.21</v>
      </c>
      <c r="K59" s="42"/>
      <c r="L59" s="269"/>
      <c r="N59" s="269"/>
    </row>
    <row r="60" spans="1:14">
      <c r="A60" s="40"/>
      <c r="B60" s="192" t="s">
        <v>188</v>
      </c>
      <c r="C60" s="40" t="s">
        <v>1039</v>
      </c>
      <c r="D60" s="40" t="s">
        <v>806</v>
      </c>
      <c r="E60" s="396">
        <v>99.45885450058222</v>
      </c>
      <c r="F60" s="396">
        <v>36.758659622489162</v>
      </c>
      <c r="G60" s="396">
        <v>27.257292288510477</v>
      </c>
      <c r="H60" s="396">
        <v>2.8106789808938188</v>
      </c>
      <c r="I60" s="396">
        <v>0</v>
      </c>
      <c r="J60" s="396">
        <v>166.29</v>
      </c>
      <c r="K60" s="42"/>
      <c r="L60" s="269"/>
      <c r="N60" s="269"/>
    </row>
    <row r="61" spans="1:14">
      <c r="A61" s="40"/>
      <c r="B61" s="192" t="s">
        <v>106</v>
      </c>
      <c r="C61" s="40" t="s">
        <v>1040</v>
      </c>
      <c r="D61" s="40" t="s">
        <v>807</v>
      </c>
      <c r="E61" s="396">
        <v>135.45044157424863</v>
      </c>
      <c r="F61" s="396">
        <v>42.360277192639536</v>
      </c>
      <c r="G61" s="396">
        <v>27.257292288510477</v>
      </c>
      <c r="H61" s="396">
        <v>2.8106789808938188</v>
      </c>
      <c r="I61" s="396">
        <v>0</v>
      </c>
      <c r="J61" s="396">
        <v>207.88</v>
      </c>
      <c r="K61" s="42"/>
      <c r="L61" s="269"/>
      <c r="N61" s="269"/>
    </row>
    <row r="62" spans="1:14">
      <c r="A62" s="40"/>
      <c r="B62" s="192" t="s">
        <v>133</v>
      </c>
      <c r="C62" s="40" t="s">
        <v>1041</v>
      </c>
      <c r="D62" s="40" t="s">
        <v>808</v>
      </c>
      <c r="E62" s="396">
        <v>177.62461172604009</v>
      </c>
      <c r="F62" s="396">
        <v>47.615461301372505</v>
      </c>
      <c r="G62" s="396">
        <v>29.464710957369601</v>
      </c>
      <c r="H62" s="396">
        <v>9.5668650758122951</v>
      </c>
      <c r="I62" s="396">
        <v>0</v>
      </c>
      <c r="J62" s="396">
        <v>264.27</v>
      </c>
      <c r="K62" s="42"/>
      <c r="L62" s="269"/>
      <c r="N62" s="269"/>
    </row>
    <row r="63" spans="1:14">
      <c r="A63" s="40"/>
      <c r="B63" s="192" t="s">
        <v>45</v>
      </c>
      <c r="C63" s="40" t="s">
        <v>1042</v>
      </c>
      <c r="D63" s="40" t="s">
        <v>809</v>
      </c>
      <c r="E63" s="396">
        <v>147.56297842404501</v>
      </c>
      <c r="F63" s="396">
        <v>44.848705956291909</v>
      </c>
      <c r="G63" s="396">
        <v>29.464710957369601</v>
      </c>
      <c r="H63" s="396">
        <v>6.8089687987850267</v>
      </c>
      <c r="I63" s="396">
        <v>0</v>
      </c>
      <c r="J63" s="396">
        <v>228.69</v>
      </c>
      <c r="K63" s="42"/>
      <c r="L63" s="269"/>
      <c r="N63" s="269"/>
    </row>
    <row r="64" spans="1:14">
      <c r="A64" s="40"/>
      <c r="B64" s="192" t="s">
        <v>234</v>
      </c>
      <c r="C64" s="40" t="s">
        <v>1043</v>
      </c>
      <c r="D64" s="40" t="s">
        <v>810</v>
      </c>
      <c r="E64" s="396">
        <v>229.33434784154858</v>
      </c>
      <c r="F64" s="396">
        <v>55.950199760151563</v>
      </c>
      <c r="G64" s="396">
        <v>29.464710957369601</v>
      </c>
      <c r="H64" s="396">
        <v>9.5668650758122951</v>
      </c>
      <c r="I64" s="396">
        <v>0</v>
      </c>
      <c r="J64" s="396">
        <v>324.32</v>
      </c>
      <c r="K64" s="42"/>
      <c r="L64" s="269"/>
      <c r="N64" s="269"/>
    </row>
    <row r="65" spans="1:14">
      <c r="A65" s="40"/>
      <c r="B65" s="192" t="s">
        <v>65</v>
      </c>
      <c r="C65" s="40" t="s">
        <v>1044</v>
      </c>
      <c r="D65" s="40" t="s">
        <v>811</v>
      </c>
      <c r="E65" s="396">
        <v>210.9578022916879</v>
      </c>
      <c r="F65" s="396">
        <v>52.703782691292346</v>
      </c>
      <c r="G65" s="396">
        <v>38.099613397318535</v>
      </c>
      <c r="H65" s="396">
        <v>9.5668650758122951</v>
      </c>
      <c r="I65" s="396">
        <v>0</v>
      </c>
      <c r="J65" s="396">
        <v>311.33</v>
      </c>
      <c r="K65" s="42"/>
      <c r="L65" s="269"/>
      <c r="N65" s="269"/>
    </row>
    <row r="66" spans="1:14">
      <c r="A66" s="40"/>
      <c r="B66" s="192" t="s">
        <v>60</v>
      </c>
      <c r="C66" s="40" t="s">
        <v>1045</v>
      </c>
      <c r="D66" s="40" t="s">
        <v>812</v>
      </c>
      <c r="E66" s="396">
        <v>130.63219948998929</v>
      </c>
      <c r="F66" s="396">
        <v>45.108654674375479</v>
      </c>
      <c r="G66" s="396">
        <v>35.556753656230818</v>
      </c>
      <c r="H66" s="396">
        <v>4.0642681977243953</v>
      </c>
      <c r="I66" s="396">
        <v>0</v>
      </c>
      <c r="J66" s="396">
        <v>215.36</v>
      </c>
      <c r="K66" s="42"/>
      <c r="L66" s="269"/>
      <c r="N66" s="269"/>
    </row>
    <row r="67" spans="1:14">
      <c r="A67" s="40"/>
      <c r="B67" s="192" t="s">
        <v>222</v>
      </c>
      <c r="C67" s="40" t="s">
        <v>1046</v>
      </c>
      <c r="D67" s="40" t="s">
        <v>813</v>
      </c>
      <c r="E67" s="396">
        <v>163.72240396941871</v>
      </c>
      <c r="F67" s="396">
        <v>50.580576287731127</v>
      </c>
      <c r="G67" s="396">
        <v>35.556753656230818</v>
      </c>
      <c r="H67" s="396">
        <v>4.0642681977243953</v>
      </c>
      <c r="I67" s="396">
        <v>0</v>
      </c>
      <c r="J67" s="396">
        <v>253.92</v>
      </c>
      <c r="K67" s="42"/>
      <c r="L67" s="269"/>
      <c r="N67" s="269"/>
    </row>
    <row r="68" spans="1:14">
      <c r="A68" s="40"/>
      <c r="B68" s="192" t="s">
        <v>33</v>
      </c>
      <c r="C68" s="40" t="s">
        <v>1047</v>
      </c>
      <c r="D68" s="40" t="s">
        <v>814</v>
      </c>
      <c r="E68" s="396">
        <v>218.86971030322638</v>
      </c>
      <c r="F68" s="396">
        <v>59.508676391907755</v>
      </c>
      <c r="G68" s="396">
        <v>39.343991568489116</v>
      </c>
      <c r="H68" s="396">
        <v>10.477366717510293</v>
      </c>
      <c r="I68" s="396">
        <v>0</v>
      </c>
      <c r="J68" s="396">
        <v>328.2</v>
      </c>
      <c r="K68" s="42"/>
      <c r="L68" s="269"/>
      <c r="N68" s="269"/>
    </row>
    <row r="69" spans="1:14">
      <c r="A69" s="40"/>
      <c r="B69" s="192" t="s">
        <v>25</v>
      </c>
      <c r="C69" s="40" t="s">
        <v>1048</v>
      </c>
      <c r="D69" s="40" t="s">
        <v>815</v>
      </c>
      <c r="E69" s="396">
        <v>190.82222933381027</v>
      </c>
      <c r="F69" s="396">
        <v>55.975763981469072</v>
      </c>
      <c r="G69" s="396">
        <v>39.343991568489116</v>
      </c>
      <c r="H69" s="396">
        <v>7.7722531443495733</v>
      </c>
      <c r="I69" s="396">
        <v>0</v>
      </c>
      <c r="J69" s="396">
        <v>293.91000000000003</v>
      </c>
      <c r="K69" s="42"/>
      <c r="L69" s="269"/>
      <c r="N69" s="269"/>
    </row>
    <row r="70" spans="1:14">
      <c r="A70" s="40"/>
      <c r="B70" s="192" t="s">
        <v>89</v>
      </c>
      <c r="C70" s="40" t="s">
        <v>1049</v>
      </c>
      <c r="D70" s="40" t="s">
        <v>816</v>
      </c>
      <c r="E70" s="396">
        <v>289.98770725948981</v>
      </c>
      <c r="F70" s="396">
        <v>73.129939291630606</v>
      </c>
      <c r="G70" s="396">
        <v>39.343991568489116</v>
      </c>
      <c r="H70" s="396">
        <v>10.477366717510293</v>
      </c>
      <c r="I70" s="396">
        <v>0</v>
      </c>
      <c r="J70" s="396">
        <v>412.94</v>
      </c>
      <c r="K70" s="42"/>
      <c r="L70" s="269"/>
      <c r="N70" s="269"/>
    </row>
    <row r="71" spans="1:14">
      <c r="A71" s="40"/>
      <c r="B71" s="192" t="s">
        <v>57</v>
      </c>
      <c r="C71" s="40" t="s">
        <v>1050</v>
      </c>
      <c r="D71" s="40" t="s">
        <v>817</v>
      </c>
      <c r="E71" s="396">
        <v>272.17268888279051</v>
      </c>
      <c r="F71" s="396">
        <v>68.751891349065303</v>
      </c>
      <c r="G71" s="396">
        <v>50.078105879804085</v>
      </c>
      <c r="H71" s="396">
        <v>10.477366717510293</v>
      </c>
      <c r="I71" s="396">
        <v>0</v>
      </c>
      <c r="J71" s="396">
        <v>401.48</v>
      </c>
      <c r="K71" s="42"/>
      <c r="L71" s="269"/>
      <c r="N71" s="269"/>
    </row>
    <row r="72" spans="1:14">
      <c r="A72" s="40"/>
      <c r="B72" s="192" t="s">
        <v>71</v>
      </c>
      <c r="C72" s="40" t="s">
        <v>1051</v>
      </c>
      <c r="D72" s="40" t="s">
        <v>818</v>
      </c>
      <c r="E72" s="396">
        <v>164.58723193000083</v>
      </c>
      <c r="F72" s="396">
        <v>47.479718491538726</v>
      </c>
      <c r="G72" s="396">
        <v>35.556753656230818</v>
      </c>
      <c r="H72" s="396">
        <v>4.0642681977243953</v>
      </c>
      <c r="I72" s="396">
        <v>0</v>
      </c>
      <c r="J72" s="396">
        <v>251.69</v>
      </c>
      <c r="K72" s="42"/>
      <c r="L72" s="269"/>
      <c r="N72" s="269"/>
    </row>
    <row r="73" spans="1:14">
      <c r="A73" s="40"/>
      <c r="B73" s="192" t="s">
        <v>237</v>
      </c>
      <c r="C73" s="40" t="s">
        <v>1052</v>
      </c>
      <c r="D73" s="40" t="s">
        <v>819</v>
      </c>
      <c r="E73" s="396">
        <v>207.55859445386301</v>
      </c>
      <c r="F73" s="396">
        <v>54.643090837201072</v>
      </c>
      <c r="G73" s="396">
        <v>35.556753656230818</v>
      </c>
      <c r="H73" s="396">
        <v>4.0642681977243953</v>
      </c>
      <c r="I73" s="396">
        <v>0</v>
      </c>
      <c r="J73" s="396">
        <v>301.82</v>
      </c>
      <c r="K73" s="42"/>
      <c r="L73" s="269"/>
      <c r="N73" s="269"/>
    </row>
    <row r="74" spans="1:14">
      <c r="A74" s="40"/>
      <c r="B74" s="192" t="s">
        <v>81</v>
      </c>
      <c r="C74" s="40" t="s">
        <v>1053</v>
      </c>
      <c r="D74" s="40" t="s">
        <v>820</v>
      </c>
      <c r="E74" s="396">
        <v>274.86323658811762</v>
      </c>
      <c r="F74" s="396">
        <v>65.080250317325522</v>
      </c>
      <c r="G74" s="396">
        <v>46.258405928297847</v>
      </c>
      <c r="H74" s="396">
        <v>7.7722531443495733</v>
      </c>
      <c r="I74" s="396">
        <v>0</v>
      </c>
      <c r="J74" s="396">
        <v>393.97</v>
      </c>
      <c r="K74" s="42"/>
      <c r="L74" s="269"/>
      <c r="N74" s="269"/>
    </row>
    <row r="75" spans="1:14">
      <c r="A75" s="40"/>
      <c r="B75" s="192" t="s">
        <v>200</v>
      </c>
      <c r="C75" s="40" t="s">
        <v>1054</v>
      </c>
      <c r="D75" s="40" t="s">
        <v>821</v>
      </c>
      <c r="E75" s="396">
        <v>330.32863479358997</v>
      </c>
      <c r="F75" s="396">
        <v>68.418429514075029</v>
      </c>
      <c r="G75" s="396">
        <v>46.258405928297847</v>
      </c>
      <c r="H75" s="396">
        <v>7.7722531443495733</v>
      </c>
      <c r="I75" s="396">
        <v>0</v>
      </c>
      <c r="J75" s="396">
        <v>452.78</v>
      </c>
      <c r="K75" s="42"/>
      <c r="L75" s="269"/>
      <c r="N75" s="269"/>
    </row>
    <row r="76" spans="1:14">
      <c r="A76" s="40"/>
      <c r="B76" s="192" t="s">
        <v>214</v>
      </c>
      <c r="C76" s="40" t="s">
        <v>1055</v>
      </c>
      <c r="D76" s="40" t="s">
        <v>822</v>
      </c>
      <c r="E76" s="396">
        <v>310.3246776495256</v>
      </c>
      <c r="F76" s="396">
        <v>68.044351788602668</v>
      </c>
      <c r="G76" s="396">
        <v>46.258405928297847</v>
      </c>
      <c r="H76" s="396">
        <v>7.7722531443495733</v>
      </c>
      <c r="I76" s="396">
        <v>0</v>
      </c>
      <c r="J76" s="396">
        <v>432.4</v>
      </c>
      <c r="K76" s="42"/>
      <c r="L76" s="269"/>
      <c r="N76" s="269"/>
    </row>
    <row r="77" spans="1:14">
      <c r="A77" s="40"/>
      <c r="B77" s="192" t="s">
        <v>291</v>
      </c>
      <c r="C77" s="40" t="s">
        <v>1056</v>
      </c>
      <c r="D77" s="40" t="s">
        <v>823</v>
      </c>
      <c r="E77" s="396">
        <v>340.44932699845015</v>
      </c>
      <c r="F77" s="396">
        <v>112.30622026113734</v>
      </c>
      <c r="G77" s="396">
        <v>46.258405928297847</v>
      </c>
      <c r="H77" s="396">
        <v>10.477366717510293</v>
      </c>
      <c r="I77" s="396">
        <v>0</v>
      </c>
      <c r="J77" s="396">
        <v>509.49</v>
      </c>
      <c r="K77" s="42"/>
      <c r="L77" s="269"/>
      <c r="N77" s="269"/>
    </row>
    <row r="78" spans="1:14">
      <c r="A78" s="40"/>
      <c r="B78" s="192" t="s">
        <v>72</v>
      </c>
      <c r="C78" s="40" t="s">
        <v>1057</v>
      </c>
      <c r="D78" s="40" t="s">
        <v>824</v>
      </c>
      <c r="E78" s="396">
        <v>73.038499416380759</v>
      </c>
      <c r="F78" s="396">
        <v>32.844058739291398</v>
      </c>
      <c r="G78" s="396">
        <v>27.268112968259786</v>
      </c>
      <c r="H78" s="396">
        <v>3.1522904818679338</v>
      </c>
      <c r="I78" s="396">
        <v>0</v>
      </c>
      <c r="J78" s="396">
        <v>136.30000000000001</v>
      </c>
      <c r="K78" s="42"/>
      <c r="L78" s="269"/>
      <c r="N78" s="269"/>
    </row>
    <row r="79" spans="1:14">
      <c r="A79" s="40"/>
      <c r="B79" s="192" t="s">
        <v>204</v>
      </c>
      <c r="C79" s="40" t="s">
        <v>1058</v>
      </c>
      <c r="D79" s="40" t="s">
        <v>825</v>
      </c>
      <c r="E79" s="396">
        <v>106.7175599137442</v>
      </c>
      <c r="F79" s="396">
        <v>36.119054976753716</v>
      </c>
      <c r="G79" s="396">
        <v>27.268112968259786</v>
      </c>
      <c r="H79" s="396">
        <v>3.1522904818679338</v>
      </c>
      <c r="I79" s="396">
        <v>0</v>
      </c>
      <c r="J79" s="396">
        <v>173.26</v>
      </c>
      <c r="K79" s="42"/>
      <c r="L79" s="269"/>
      <c r="N79" s="269"/>
    </row>
    <row r="80" spans="1:14">
      <c r="A80" s="40"/>
      <c r="B80" s="192" t="s">
        <v>121</v>
      </c>
      <c r="C80" s="40" t="s">
        <v>1059</v>
      </c>
      <c r="D80" s="40" t="s">
        <v>826</v>
      </c>
      <c r="E80" s="396">
        <v>119.06598976564914</v>
      </c>
      <c r="F80" s="396">
        <v>39.944954706283774</v>
      </c>
      <c r="G80" s="396">
        <v>35.567574335980119</v>
      </c>
      <c r="H80" s="396">
        <v>4.8809240334974664</v>
      </c>
      <c r="I80" s="396">
        <v>0</v>
      </c>
      <c r="J80" s="396">
        <v>199.46</v>
      </c>
      <c r="K80" s="42"/>
      <c r="L80" s="269"/>
      <c r="N80" s="269"/>
    </row>
    <row r="81" spans="1:14">
      <c r="A81" s="40"/>
      <c r="B81" s="192" t="s">
        <v>61</v>
      </c>
      <c r="C81" s="40" t="s">
        <v>1060</v>
      </c>
      <c r="D81" s="40" t="s">
        <v>827</v>
      </c>
      <c r="E81" s="396">
        <v>147.03988902572382</v>
      </c>
      <c r="F81" s="396">
        <v>43.355098163322197</v>
      </c>
      <c r="G81" s="396">
        <v>35.567574335980119</v>
      </c>
      <c r="H81" s="396">
        <v>4.8809240334974664</v>
      </c>
      <c r="I81" s="396">
        <v>0</v>
      </c>
      <c r="J81" s="396">
        <v>230.84</v>
      </c>
      <c r="K81" s="42"/>
      <c r="L81" s="269"/>
      <c r="N81" s="269"/>
    </row>
    <row r="82" spans="1:14">
      <c r="A82" s="40"/>
      <c r="B82" s="192" t="s">
        <v>35</v>
      </c>
      <c r="C82" s="40" t="s">
        <v>1061</v>
      </c>
      <c r="D82" s="40" t="s">
        <v>828</v>
      </c>
      <c r="E82" s="396">
        <v>78.878044784484644</v>
      </c>
      <c r="F82" s="396">
        <v>34.352148868230387</v>
      </c>
      <c r="G82" s="396">
        <v>27.268112968259786</v>
      </c>
      <c r="H82" s="396">
        <v>3.1522904818679338</v>
      </c>
      <c r="I82" s="396">
        <v>0</v>
      </c>
      <c r="J82" s="396">
        <v>143.65</v>
      </c>
      <c r="K82" s="42"/>
      <c r="L82" s="269"/>
      <c r="N82" s="269"/>
    </row>
    <row r="83" spans="1:14">
      <c r="A83" s="40"/>
      <c r="B83" s="192" t="s">
        <v>119</v>
      </c>
      <c r="C83" s="40" t="s">
        <v>1062</v>
      </c>
      <c r="D83" s="40" t="s">
        <v>829</v>
      </c>
      <c r="E83" s="396">
        <v>134.96324830390554</v>
      </c>
      <c r="F83" s="396">
        <v>40.912331618432972</v>
      </c>
      <c r="G83" s="396">
        <v>27.268112968259786</v>
      </c>
      <c r="H83" s="396">
        <v>3.1522904818679338</v>
      </c>
      <c r="I83" s="396">
        <v>0</v>
      </c>
      <c r="J83" s="396">
        <v>206.3</v>
      </c>
      <c r="K83" s="42"/>
      <c r="L83" s="269"/>
      <c r="N83" s="269"/>
    </row>
    <row r="84" spans="1:14">
      <c r="A84" s="40"/>
      <c r="B84" s="192" t="s">
        <v>215</v>
      </c>
      <c r="C84" s="40" t="s">
        <v>1063</v>
      </c>
      <c r="D84" s="40" t="s">
        <v>830</v>
      </c>
      <c r="E84" s="396">
        <v>128.09359280989483</v>
      </c>
      <c r="F84" s="396">
        <v>42.180855644126758</v>
      </c>
      <c r="G84" s="396">
        <v>27.029496448068361</v>
      </c>
      <c r="H84" s="396">
        <v>8.5311819549333521</v>
      </c>
      <c r="I84" s="396">
        <v>0</v>
      </c>
      <c r="J84" s="396">
        <v>205.84</v>
      </c>
      <c r="K84" s="42"/>
      <c r="L84" s="269"/>
      <c r="N84" s="269"/>
    </row>
    <row r="85" spans="1:14">
      <c r="A85" s="40"/>
      <c r="B85" s="192" t="s">
        <v>103</v>
      </c>
      <c r="C85" s="40" t="s">
        <v>1064</v>
      </c>
      <c r="D85" s="40" t="s">
        <v>831</v>
      </c>
      <c r="E85" s="396">
        <v>198.78783199513657</v>
      </c>
      <c r="F85" s="396">
        <v>50.691330271400318</v>
      </c>
      <c r="G85" s="396">
        <v>32.72145477905844</v>
      </c>
      <c r="H85" s="396">
        <v>8.5197204025488524</v>
      </c>
      <c r="I85" s="396">
        <v>0</v>
      </c>
      <c r="J85" s="396">
        <v>290.72000000000003</v>
      </c>
      <c r="K85" s="42"/>
      <c r="L85" s="269"/>
      <c r="N85" s="269"/>
    </row>
    <row r="86" spans="1:14">
      <c r="A86" s="40"/>
      <c r="B86" s="192" t="s">
        <v>136</v>
      </c>
      <c r="C86" s="40" t="s">
        <v>1065</v>
      </c>
      <c r="D86" s="40" t="s">
        <v>832</v>
      </c>
      <c r="E86" s="396">
        <v>219.3345617714248</v>
      </c>
      <c r="F86" s="396">
        <v>52.815511877391209</v>
      </c>
      <c r="G86" s="396">
        <v>32.710634099309125</v>
      </c>
      <c r="H86" s="396">
        <v>8.5080008007406782</v>
      </c>
      <c r="I86" s="396">
        <v>0</v>
      </c>
      <c r="J86" s="396">
        <v>313.37</v>
      </c>
      <c r="K86" s="42"/>
      <c r="L86" s="269"/>
      <c r="N86" s="269"/>
    </row>
    <row r="87" spans="1:14">
      <c r="A87" s="40"/>
      <c r="B87" s="192" t="s">
        <v>88</v>
      </c>
      <c r="C87" s="40" t="s">
        <v>1066</v>
      </c>
      <c r="D87" s="40" t="s">
        <v>833</v>
      </c>
      <c r="E87" s="396">
        <v>124.68934312905706</v>
      </c>
      <c r="F87" s="396">
        <v>42.775578183969884</v>
      </c>
      <c r="G87" s="396">
        <v>35.567574335980119</v>
      </c>
      <c r="H87" s="396">
        <v>4.8809240334974664</v>
      </c>
      <c r="I87" s="396">
        <v>0</v>
      </c>
      <c r="J87" s="396">
        <v>207.91</v>
      </c>
      <c r="K87" s="42"/>
      <c r="L87" s="269"/>
      <c r="N87" s="269"/>
    </row>
    <row r="88" spans="1:14">
      <c r="A88" s="40"/>
      <c r="B88" s="192" t="s">
        <v>51</v>
      </c>
      <c r="C88" s="40" t="s">
        <v>1067</v>
      </c>
      <c r="D88" s="40" t="s">
        <v>834</v>
      </c>
      <c r="E88" s="396">
        <v>176.23837540151754</v>
      </c>
      <c r="F88" s="396">
        <v>45.278806020805938</v>
      </c>
      <c r="G88" s="396">
        <v>35.567574335980119</v>
      </c>
      <c r="H88" s="396">
        <v>4.8809240334974664</v>
      </c>
      <c r="I88" s="396">
        <v>0</v>
      </c>
      <c r="J88" s="396">
        <v>261.97000000000003</v>
      </c>
      <c r="K88" s="42"/>
      <c r="L88" s="269"/>
      <c r="N88" s="269"/>
    </row>
    <row r="89" spans="1:14">
      <c r="A89" s="40"/>
      <c r="B89" s="192" t="s">
        <v>84</v>
      </c>
      <c r="C89" s="40" t="s">
        <v>1068</v>
      </c>
      <c r="D89" s="40" t="s">
        <v>835</v>
      </c>
      <c r="E89" s="396">
        <v>176.78014592292305</v>
      </c>
      <c r="F89" s="396">
        <v>48.101497720749983</v>
      </c>
      <c r="G89" s="396">
        <v>36.919597738937185</v>
      </c>
      <c r="H89" s="396">
        <v>9.4416835966313482</v>
      </c>
      <c r="I89" s="396">
        <v>0</v>
      </c>
      <c r="J89" s="396">
        <v>271.24</v>
      </c>
      <c r="K89" s="42"/>
      <c r="L89" s="269"/>
      <c r="N89" s="269"/>
    </row>
    <row r="90" spans="1:14">
      <c r="A90" s="40"/>
      <c r="B90" s="192" t="s">
        <v>18</v>
      </c>
      <c r="C90" s="40" t="s">
        <v>1069</v>
      </c>
      <c r="D90" s="40" t="s">
        <v>836</v>
      </c>
      <c r="E90" s="396">
        <v>236.2548080087962</v>
      </c>
      <c r="F90" s="396">
        <v>53.99406936206536</v>
      </c>
      <c r="G90" s="396">
        <v>44.699947261543983</v>
      </c>
      <c r="H90" s="396">
        <v>9.4302220442468503</v>
      </c>
      <c r="I90" s="396">
        <v>0</v>
      </c>
      <c r="J90" s="396">
        <v>344.38</v>
      </c>
      <c r="K90" s="42"/>
      <c r="L90" s="269"/>
      <c r="N90" s="269"/>
    </row>
    <row r="91" spans="1:14">
      <c r="A91" s="40"/>
      <c r="B91" s="192" t="s">
        <v>124</v>
      </c>
      <c r="C91" s="40" t="s">
        <v>1070</v>
      </c>
      <c r="D91" s="40" t="s">
        <v>837</v>
      </c>
      <c r="E91" s="396">
        <v>256.32915019667649</v>
      </c>
      <c r="F91" s="396">
        <v>55.656836097834727</v>
      </c>
      <c r="G91" s="396">
        <v>44.689126581794675</v>
      </c>
      <c r="H91" s="396">
        <v>9.4185024424386778</v>
      </c>
      <c r="I91" s="396">
        <v>0</v>
      </c>
      <c r="J91" s="396">
        <v>366.09</v>
      </c>
      <c r="K91" s="42"/>
      <c r="L91" s="269"/>
      <c r="N91" s="269"/>
    </row>
    <row r="92" spans="1:14">
      <c r="A92" s="40"/>
      <c r="B92" s="192" t="s">
        <v>199</v>
      </c>
      <c r="C92" s="40" t="s">
        <v>1071</v>
      </c>
      <c r="D92" s="40" t="s">
        <v>838</v>
      </c>
      <c r="E92" s="396">
        <v>97.014608808610348</v>
      </c>
      <c r="F92" s="396">
        <v>37.245841947384882</v>
      </c>
      <c r="G92" s="396">
        <v>27.257292288510477</v>
      </c>
      <c r="H92" s="396">
        <v>3.7871590024250055</v>
      </c>
      <c r="I92" s="396">
        <v>0</v>
      </c>
      <c r="J92" s="396">
        <v>165.3</v>
      </c>
      <c r="K92" s="42"/>
      <c r="L92" s="269"/>
      <c r="N92" s="269"/>
    </row>
    <row r="93" spans="1:14">
      <c r="A93" s="40"/>
      <c r="B93" s="192" t="s">
        <v>63</v>
      </c>
      <c r="C93" s="40" t="s">
        <v>1072</v>
      </c>
      <c r="D93" s="40" t="s">
        <v>839</v>
      </c>
      <c r="E93" s="396">
        <v>161.98144652790535</v>
      </c>
      <c r="F93" s="396">
        <v>46.689402823140206</v>
      </c>
      <c r="G93" s="396">
        <v>27.257292288510477</v>
      </c>
      <c r="H93" s="396">
        <v>3.7871590024250055</v>
      </c>
      <c r="I93" s="396">
        <v>0</v>
      </c>
      <c r="J93" s="396">
        <v>239.72</v>
      </c>
      <c r="K93" s="42"/>
      <c r="L93" s="269"/>
      <c r="N93" s="269"/>
    </row>
    <row r="94" spans="1:14">
      <c r="A94" s="40"/>
      <c r="B94" s="192" t="s">
        <v>217</v>
      </c>
      <c r="C94" s="40" t="s">
        <v>1073</v>
      </c>
      <c r="D94" s="40" t="s">
        <v>840</v>
      </c>
      <c r="E94" s="396">
        <v>163.94791605104209</v>
      </c>
      <c r="F94" s="396">
        <v>47.836922768008598</v>
      </c>
      <c r="G94" s="396">
        <v>31.563922828735635</v>
      </c>
      <c r="H94" s="396">
        <v>9.5668650758122951</v>
      </c>
      <c r="I94" s="396">
        <v>0</v>
      </c>
      <c r="J94" s="396">
        <v>252.92</v>
      </c>
      <c r="K94" s="42"/>
      <c r="L94" s="269"/>
      <c r="N94" s="269"/>
    </row>
    <row r="95" spans="1:14">
      <c r="A95" s="40"/>
      <c r="B95" s="192" t="s">
        <v>218</v>
      </c>
      <c r="C95" s="40" t="s">
        <v>1074</v>
      </c>
      <c r="D95" s="40" t="s">
        <v>841</v>
      </c>
      <c r="E95" s="396">
        <v>234.38685202324041</v>
      </c>
      <c r="F95" s="396">
        <v>57.907686263540668</v>
      </c>
      <c r="G95" s="396">
        <v>37.255600376872394</v>
      </c>
      <c r="H95" s="396">
        <v>9.5668650758122951</v>
      </c>
      <c r="I95" s="396">
        <v>0</v>
      </c>
      <c r="J95" s="396">
        <v>339.12</v>
      </c>
      <c r="K95" s="42"/>
      <c r="L95" s="269"/>
      <c r="N95" s="269"/>
    </row>
    <row r="96" spans="1:14">
      <c r="A96" s="40"/>
      <c r="B96" s="192" t="s">
        <v>142</v>
      </c>
      <c r="C96" s="40" t="s">
        <v>1075</v>
      </c>
      <c r="D96" s="40" t="s">
        <v>842</v>
      </c>
      <c r="E96" s="396">
        <v>264.26023597060157</v>
      </c>
      <c r="F96" s="396">
        <v>62.490860956912655</v>
      </c>
      <c r="G96" s="396">
        <v>37.255600376872394</v>
      </c>
      <c r="H96" s="396">
        <v>9.5668650758122951</v>
      </c>
      <c r="I96" s="396">
        <v>0</v>
      </c>
      <c r="J96" s="396">
        <v>373.57</v>
      </c>
      <c r="K96" s="42"/>
      <c r="L96" s="269"/>
      <c r="N96" s="269"/>
    </row>
    <row r="97" spans="1:14">
      <c r="A97" s="40"/>
      <c r="B97" s="192" t="s">
        <v>78</v>
      </c>
      <c r="C97" s="40" t="s">
        <v>1076</v>
      </c>
      <c r="D97" s="40" t="s">
        <v>843</v>
      </c>
      <c r="E97" s="396">
        <v>138.50383652969552</v>
      </c>
      <c r="F97" s="396">
        <v>50.407035425494165</v>
      </c>
      <c r="G97" s="396">
        <v>35.556753656230818</v>
      </c>
      <c r="H97" s="396">
        <v>5.5289882300211755</v>
      </c>
      <c r="I97" s="396">
        <v>0</v>
      </c>
      <c r="J97" s="396">
        <v>230</v>
      </c>
      <c r="K97" s="42"/>
      <c r="L97" s="269"/>
      <c r="N97" s="269"/>
    </row>
    <row r="98" spans="1:14">
      <c r="B98" s="192" t="s">
        <v>190</v>
      </c>
      <c r="C98" s="40" t="s">
        <v>1077</v>
      </c>
      <c r="D98" s="40" t="s">
        <v>844</v>
      </c>
      <c r="E98" s="396">
        <v>195.98971894506334</v>
      </c>
      <c r="F98" s="396">
        <v>57.417505938156594</v>
      </c>
      <c r="G98" s="396">
        <v>35.556753656230818</v>
      </c>
      <c r="H98" s="396">
        <v>5.5289882300211755</v>
      </c>
      <c r="I98" s="396">
        <v>0</v>
      </c>
      <c r="J98" s="396">
        <v>294.49</v>
      </c>
      <c r="K98" s="42"/>
      <c r="L98" s="269"/>
      <c r="N98" s="269"/>
    </row>
    <row r="99" spans="1:14">
      <c r="B99" s="192" t="s">
        <v>40</v>
      </c>
      <c r="C99" s="40" t="s">
        <v>1078</v>
      </c>
      <c r="D99" s="40" t="s">
        <v>845</v>
      </c>
      <c r="E99" s="396">
        <v>203.88414865861597</v>
      </c>
      <c r="F99" s="396">
        <v>61.647555773700006</v>
      </c>
      <c r="G99" s="396">
        <v>41.443203439855147</v>
      </c>
      <c r="H99" s="396">
        <v>10.477366717510293</v>
      </c>
      <c r="I99" s="396">
        <v>0</v>
      </c>
      <c r="J99" s="396">
        <v>317.45</v>
      </c>
      <c r="K99" s="42"/>
      <c r="L99" s="269"/>
      <c r="N99" s="269"/>
    </row>
    <row r="100" spans="1:14">
      <c r="B100" s="192" t="s">
        <v>77</v>
      </c>
      <c r="C100" s="40" t="s">
        <v>1079</v>
      </c>
      <c r="D100" s="40" t="s">
        <v>846</v>
      </c>
      <c r="E100" s="396">
        <v>265.28636847893216</v>
      </c>
      <c r="F100" s="396">
        <v>68.264920061424448</v>
      </c>
      <c r="G100" s="396">
        <v>49.234092859357958</v>
      </c>
      <c r="H100" s="396">
        <v>10.477366717510293</v>
      </c>
      <c r="I100" s="396">
        <v>0</v>
      </c>
      <c r="J100" s="396">
        <v>393.26</v>
      </c>
      <c r="K100" s="42"/>
      <c r="L100" s="269"/>
      <c r="N100" s="269"/>
    </row>
    <row r="101" spans="1:14">
      <c r="B101" s="192" t="s">
        <v>210</v>
      </c>
      <c r="C101" s="40" t="s">
        <v>1080</v>
      </c>
      <c r="D101" s="40" t="s">
        <v>847</v>
      </c>
      <c r="E101" s="396">
        <v>279.68130803404773</v>
      </c>
      <c r="F101" s="396">
        <v>66.583356119907776</v>
      </c>
      <c r="G101" s="396">
        <v>49.234092859357958</v>
      </c>
      <c r="H101" s="396">
        <v>10.477366717510293</v>
      </c>
      <c r="I101" s="396">
        <v>0</v>
      </c>
      <c r="J101" s="396">
        <v>405.98</v>
      </c>
      <c r="K101" s="42"/>
      <c r="L101" s="269"/>
      <c r="N101" s="269"/>
    </row>
    <row r="102" spans="1:14">
      <c r="B102" s="192" t="s">
        <v>180</v>
      </c>
      <c r="C102" s="40" t="s">
        <v>1081</v>
      </c>
      <c r="D102" s="40" t="s">
        <v>848</v>
      </c>
      <c r="E102" s="396">
        <v>125.09757422901096</v>
      </c>
      <c r="F102" s="396">
        <v>34.665930322147304</v>
      </c>
      <c r="G102" s="396">
        <v>27.257292288510477</v>
      </c>
      <c r="H102" s="396">
        <v>7.9569926078825022</v>
      </c>
      <c r="I102" s="396">
        <v>0</v>
      </c>
      <c r="J102" s="396">
        <v>194.98</v>
      </c>
      <c r="K102" s="42"/>
      <c r="L102" s="269"/>
      <c r="N102" s="269"/>
    </row>
    <row r="103" spans="1:14">
      <c r="B103" s="192" t="s">
        <v>42</v>
      </c>
      <c r="C103" s="40" t="s">
        <v>1082</v>
      </c>
      <c r="D103" s="40" t="s">
        <v>849</v>
      </c>
      <c r="E103" s="396">
        <v>260.69109765518147</v>
      </c>
      <c r="F103" s="396">
        <v>63.839675875505499</v>
      </c>
      <c r="G103" s="396">
        <v>27.257292288510477</v>
      </c>
      <c r="H103" s="396">
        <v>7.9569926078825022</v>
      </c>
      <c r="I103" s="396">
        <v>0</v>
      </c>
      <c r="J103" s="396">
        <v>359.75</v>
      </c>
      <c r="K103" s="42"/>
      <c r="L103" s="269"/>
      <c r="N103" s="269"/>
    </row>
    <row r="104" spans="1:14">
      <c r="B104" s="192" t="s">
        <v>94</v>
      </c>
      <c r="C104" s="40" t="s">
        <v>1083</v>
      </c>
      <c r="D104" s="40" t="s">
        <v>850</v>
      </c>
      <c r="E104" s="396">
        <v>297.2936357318319</v>
      </c>
      <c r="F104" s="396">
        <v>74.576585858983094</v>
      </c>
      <c r="G104" s="396">
        <v>25.590626824263516</v>
      </c>
      <c r="H104" s="396">
        <v>7.9684541602670009</v>
      </c>
      <c r="I104" s="396">
        <v>0</v>
      </c>
      <c r="J104" s="396">
        <v>405.43</v>
      </c>
      <c r="K104" s="42"/>
      <c r="L104" s="269"/>
      <c r="N104" s="269"/>
    </row>
    <row r="105" spans="1:14">
      <c r="B105" s="192" t="s">
        <v>185</v>
      </c>
      <c r="C105" s="40" t="s">
        <v>1084</v>
      </c>
      <c r="D105" s="40" t="s">
        <v>851</v>
      </c>
      <c r="E105" s="396">
        <v>148.01239908385429</v>
      </c>
      <c r="F105" s="396">
        <v>51.329649268890897</v>
      </c>
      <c r="G105" s="396">
        <v>27.257292288510477</v>
      </c>
      <c r="H105" s="396">
        <v>7.9569926078825022</v>
      </c>
      <c r="I105" s="396">
        <v>0</v>
      </c>
      <c r="J105" s="396">
        <v>234.56</v>
      </c>
      <c r="K105" s="42"/>
      <c r="L105" s="269"/>
      <c r="N105" s="269"/>
    </row>
    <row r="106" spans="1:14">
      <c r="B106" s="192" t="s">
        <v>21</v>
      </c>
      <c r="C106" s="40" t="s">
        <v>1085</v>
      </c>
      <c r="D106" s="40" t="s">
        <v>852</v>
      </c>
      <c r="E106" s="396">
        <v>143.7235187179827</v>
      </c>
      <c r="F106" s="396">
        <v>51.292250246663997</v>
      </c>
      <c r="G106" s="396">
        <v>35.556753656230818</v>
      </c>
      <c r="H106" s="396">
        <v>9.3161472324461805</v>
      </c>
      <c r="I106" s="396">
        <v>0</v>
      </c>
      <c r="J106" s="396">
        <v>239.89</v>
      </c>
      <c r="K106" s="42"/>
      <c r="L106" s="269"/>
      <c r="N106" s="269"/>
    </row>
    <row r="107" spans="1:14">
      <c r="B107" s="192" t="s">
        <v>96</v>
      </c>
      <c r="C107" s="40" t="s">
        <v>1086</v>
      </c>
      <c r="D107" s="40" t="s">
        <v>853</v>
      </c>
      <c r="E107" s="396">
        <v>292.17537034258203</v>
      </c>
      <c r="F107" s="396">
        <v>80.178564603462092</v>
      </c>
      <c r="G107" s="396">
        <v>35.556753656230818</v>
      </c>
      <c r="H107" s="396">
        <v>9.3161472324461805</v>
      </c>
      <c r="I107" s="396">
        <v>0</v>
      </c>
      <c r="J107" s="396">
        <v>417.23</v>
      </c>
      <c r="K107" s="42"/>
      <c r="L107" s="269"/>
      <c r="N107" s="269"/>
    </row>
    <row r="108" spans="1:14">
      <c r="B108" s="192" t="s">
        <v>22</v>
      </c>
      <c r="C108" s="40" t="s">
        <v>1087</v>
      </c>
      <c r="D108" s="40" t="s">
        <v>854</v>
      </c>
      <c r="E108" s="396">
        <v>314.2153480439203</v>
      </c>
      <c r="F108" s="396">
        <v>96.272354585252373</v>
      </c>
      <c r="G108" s="396">
        <v>35.480728115132337</v>
      </c>
      <c r="H108" s="396">
        <v>9.3276087848306783</v>
      </c>
      <c r="I108" s="396">
        <v>0</v>
      </c>
      <c r="J108" s="396">
        <v>455.3</v>
      </c>
      <c r="K108" s="42"/>
      <c r="L108" s="269"/>
      <c r="N108" s="269"/>
    </row>
    <row r="109" spans="1:14">
      <c r="B109" s="192" t="s">
        <v>198</v>
      </c>
      <c r="C109" s="40" t="s">
        <v>1088</v>
      </c>
      <c r="D109" s="40" t="s">
        <v>855</v>
      </c>
      <c r="E109" s="396">
        <v>194.10871907175755</v>
      </c>
      <c r="F109" s="396">
        <v>67.565828583742316</v>
      </c>
      <c r="G109" s="396">
        <v>35.556753656230818</v>
      </c>
      <c r="H109" s="396">
        <v>9.3161472324461805</v>
      </c>
      <c r="I109" s="396">
        <v>0</v>
      </c>
      <c r="J109" s="396">
        <v>306.55</v>
      </c>
      <c r="K109" s="42"/>
      <c r="L109" s="269"/>
      <c r="N109" s="269"/>
    </row>
    <row r="110" spans="1:14">
      <c r="B110" s="192" t="s">
        <v>226</v>
      </c>
      <c r="C110" s="40" t="s">
        <v>1089</v>
      </c>
      <c r="D110" s="40" t="s">
        <v>856</v>
      </c>
      <c r="E110" s="396">
        <v>128.28609658228513</v>
      </c>
      <c r="F110" s="396">
        <v>22.094531296566267</v>
      </c>
      <c r="G110" s="396">
        <v>27.257292288510477</v>
      </c>
      <c r="H110" s="396">
        <v>9.0522337131134289</v>
      </c>
      <c r="I110" s="396">
        <v>0</v>
      </c>
      <c r="J110" s="396">
        <v>186.69</v>
      </c>
      <c r="K110" s="42"/>
      <c r="L110" s="269"/>
      <c r="N110" s="269"/>
    </row>
    <row r="111" spans="1:14">
      <c r="B111" s="192" t="s">
        <v>176</v>
      </c>
      <c r="C111" s="40" t="s">
        <v>1090</v>
      </c>
      <c r="D111" s="40" t="s">
        <v>857</v>
      </c>
      <c r="E111" s="396">
        <v>293.96078947710055</v>
      </c>
      <c r="F111" s="396">
        <v>34.172139665680334</v>
      </c>
      <c r="G111" s="396">
        <v>27.257292288510477</v>
      </c>
      <c r="H111" s="396">
        <v>9.0522337131134289</v>
      </c>
      <c r="I111" s="396">
        <v>0</v>
      </c>
      <c r="J111" s="396">
        <v>364.44</v>
      </c>
      <c r="K111" s="42"/>
      <c r="L111" s="269"/>
      <c r="N111" s="269"/>
    </row>
    <row r="112" spans="1:14">
      <c r="B112" s="192" t="s">
        <v>187</v>
      </c>
      <c r="C112" s="40" t="s">
        <v>1091</v>
      </c>
      <c r="D112" s="40" t="s">
        <v>858</v>
      </c>
      <c r="E112" s="396">
        <v>335.39723988098359</v>
      </c>
      <c r="F112" s="396">
        <v>41.993427937720874</v>
      </c>
      <c r="G112" s="396">
        <v>30.157234461325409</v>
      </c>
      <c r="H112" s="396">
        <v>9.0522337131134289</v>
      </c>
      <c r="I112" s="396">
        <v>0</v>
      </c>
      <c r="J112" s="396">
        <v>416.6</v>
      </c>
      <c r="K112" s="42"/>
      <c r="L112" s="269"/>
      <c r="N112" s="269"/>
    </row>
    <row r="113" spans="1:14">
      <c r="A113" s="40"/>
      <c r="B113" s="192" t="s">
        <v>211</v>
      </c>
      <c r="C113" s="40" t="s">
        <v>1092</v>
      </c>
      <c r="D113" s="40" t="s">
        <v>859</v>
      </c>
      <c r="E113" s="396">
        <v>175.31124432259205</v>
      </c>
      <c r="F113" s="396">
        <v>60.926356789482853</v>
      </c>
      <c r="G113" s="396">
        <v>27.257292288510477</v>
      </c>
      <c r="H113" s="396">
        <v>9.0522337131134289</v>
      </c>
      <c r="I113" s="396">
        <v>0</v>
      </c>
      <c r="J113" s="396">
        <v>272.55</v>
      </c>
      <c r="K113" s="42"/>
      <c r="L113" s="269"/>
      <c r="N113" s="269"/>
    </row>
    <row r="114" spans="1:14">
      <c r="A114" s="40"/>
      <c r="B114" s="192" t="s">
        <v>219</v>
      </c>
      <c r="C114" s="40" t="s">
        <v>1093</v>
      </c>
      <c r="D114" s="40" t="s">
        <v>860</v>
      </c>
      <c r="E114" s="396">
        <v>175.7886768834141</v>
      </c>
      <c r="F114" s="396">
        <v>26.585607384418871</v>
      </c>
      <c r="G114" s="396">
        <v>35.556753656230818</v>
      </c>
      <c r="H114" s="396">
        <v>10.424584013643742</v>
      </c>
      <c r="I114" s="396">
        <v>0</v>
      </c>
      <c r="J114" s="396">
        <v>248.36</v>
      </c>
      <c r="K114" s="42"/>
      <c r="L114" s="269"/>
      <c r="N114" s="269"/>
    </row>
    <row r="115" spans="1:14">
      <c r="A115" s="40"/>
      <c r="B115" s="192" t="s">
        <v>19</v>
      </c>
      <c r="C115" s="40" t="s">
        <v>1094</v>
      </c>
      <c r="D115" s="40" t="s">
        <v>861</v>
      </c>
      <c r="E115" s="396">
        <v>348.04104562331486</v>
      </c>
      <c r="F115" s="396">
        <v>60.137044829603887</v>
      </c>
      <c r="G115" s="396">
        <v>35.556753656230818</v>
      </c>
      <c r="H115" s="396">
        <v>10.424584013643742</v>
      </c>
      <c r="I115" s="396">
        <v>0</v>
      </c>
      <c r="J115" s="396">
        <v>454.16</v>
      </c>
      <c r="K115" s="42"/>
      <c r="L115" s="269"/>
      <c r="N115" s="269"/>
    </row>
    <row r="116" spans="1:14">
      <c r="A116" s="40"/>
      <c r="B116" s="192" t="s">
        <v>181</v>
      </c>
      <c r="C116" s="40" t="s">
        <v>1095</v>
      </c>
      <c r="D116" s="40" t="s">
        <v>862</v>
      </c>
      <c r="E116" s="396">
        <v>413.52982485368051</v>
      </c>
      <c r="F116" s="396">
        <v>68.21842186679433</v>
      </c>
      <c r="G116" s="396">
        <v>40.036515072444935</v>
      </c>
      <c r="H116" s="396">
        <v>10.424584013643742</v>
      </c>
      <c r="I116" s="396">
        <v>0</v>
      </c>
      <c r="J116" s="396">
        <v>532.21</v>
      </c>
      <c r="K116" s="42"/>
      <c r="L116" s="269"/>
      <c r="N116" s="269"/>
    </row>
    <row r="117" spans="1:14">
      <c r="A117" s="40"/>
      <c r="B117" s="192" t="s">
        <v>32</v>
      </c>
      <c r="C117" s="40" t="s">
        <v>1096</v>
      </c>
      <c r="D117" s="40" t="s">
        <v>863</v>
      </c>
      <c r="E117" s="396">
        <v>221.40756431049525</v>
      </c>
      <c r="F117" s="396">
        <v>77.1625841903207</v>
      </c>
      <c r="G117" s="396">
        <v>35.556753656230818</v>
      </c>
      <c r="H117" s="396">
        <v>10.424584013643742</v>
      </c>
      <c r="I117" s="396">
        <v>0</v>
      </c>
      <c r="J117" s="396">
        <v>344.55</v>
      </c>
      <c r="K117" s="42"/>
      <c r="L117" s="269"/>
      <c r="N117" s="269"/>
    </row>
    <row r="118" spans="1:14">
      <c r="A118" s="40"/>
      <c r="B118" s="192" t="s">
        <v>62</v>
      </c>
      <c r="C118" s="40" t="s">
        <v>1097</v>
      </c>
      <c r="D118" s="40" t="s">
        <v>864</v>
      </c>
      <c r="E118" s="396">
        <v>55.576098432833113</v>
      </c>
      <c r="F118" s="396">
        <v>30.517800846612609</v>
      </c>
      <c r="G118" s="396">
        <v>27.257292288510477</v>
      </c>
      <c r="H118" s="396">
        <v>7.9569926078825022</v>
      </c>
      <c r="I118" s="396">
        <v>0</v>
      </c>
      <c r="J118" s="396">
        <v>121.31</v>
      </c>
      <c r="K118" s="42"/>
      <c r="L118" s="269"/>
      <c r="N118" s="269"/>
    </row>
    <row r="119" spans="1:14">
      <c r="A119" s="40"/>
      <c r="B119" s="192" t="s">
        <v>48</v>
      </c>
      <c r="C119" s="40" t="s">
        <v>1098</v>
      </c>
      <c r="D119" s="40" t="s">
        <v>865</v>
      </c>
      <c r="E119" s="396">
        <v>98.439397587948989</v>
      </c>
      <c r="F119" s="396">
        <v>39.127607666153075</v>
      </c>
      <c r="G119" s="396">
        <v>27.257292288510477</v>
      </c>
      <c r="H119" s="396">
        <v>7.9569926078825022</v>
      </c>
      <c r="I119" s="396">
        <v>0</v>
      </c>
      <c r="J119" s="396">
        <v>172.78</v>
      </c>
      <c r="K119" s="42"/>
      <c r="L119" s="269"/>
      <c r="N119" s="269"/>
    </row>
    <row r="120" spans="1:14">
      <c r="A120" s="40"/>
      <c r="B120" s="192" t="s">
        <v>174</v>
      </c>
      <c r="C120" s="40" t="s">
        <v>1099</v>
      </c>
      <c r="D120" s="40" t="s">
        <v>866</v>
      </c>
      <c r="E120" s="396">
        <v>101.94133291186975</v>
      </c>
      <c r="F120" s="396">
        <v>37.481126633741603</v>
      </c>
      <c r="G120" s="396">
        <v>35.556753656230818</v>
      </c>
      <c r="H120" s="396">
        <v>9.3161472324461805</v>
      </c>
      <c r="I120" s="396">
        <v>0</v>
      </c>
      <c r="J120" s="396">
        <v>184.3</v>
      </c>
      <c r="K120" s="42"/>
      <c r="L120" s="269"/>
      <c r="N120" s="269"/>
    </row>
    <row r="121" spans="1:14">
      <c r="A121" s="40"/>
      <c r="B121" s="192" t="s">
        <v>43</v>
      </c>
      <c r="C121" s="40" t="s">
        <v>1100</v>
      </c>
      <c r="D121" s="40" t="s">
        <v>867</v>
      </c>
      <c r="E121" s="396">
        <v>139.20466561188869</v>
      </c>
      <c r="F121" s="396">
        <v>43.280367383442545</v>
      </c>
      <c r="G121" s="396">
        <v>35.556753656230818</v>
      </c>
      <c r="H121" s="396">
        <v>9.3161472324461805</v>
      </c>
      <c r="I121" s="396">
        <v>0</v>
      </c>
      <c r="J121" s="396">
        <v>227.36</v>
      </c>
      <c r="K121" s="42"/>
      <c r="L121" s="269"/>
      <c r="N121" s="269"/>
    </row>
    <row r="122" spans="1:14">
      <c r="A122" s="40"/>
      <c r="B122" s="192" t="s">
        <v>221</v>
      </c>
      <c r="C122" s="40" t="s">
        <v>1101</v>
      </c>
      <c r="D122" s="40" t="s">
        <v>868</v>
      </c>
      <c r="E122" s="396">
        <v>132.96799623179464</v>
      </c>
      <c r="F122" s="396">
        <v>42.735584262548223</v>
      </c>
      <c r="G122" s="396">
        <v>27.257292288510477</v>
      </c>
      <c r="H122" s="396">
        <v>7.9569926078825022</v>
      </c>
      <c r="I122" s="396">
        <v>0</v>
      </c>
      <c r="J122" s="396">
        <v>210.92</v>
      </c>
      <c r="K122" s="42"/>
      <c r="L122" s="269"/>
      <c r="N122" s="269"/>
    </row>
    <row r="123" spans="1:14">
      <c r="A123" s="40"/>
      <c r="B123" s="192" t="s">
        <v>138</v>
      </c>
      <c r="C123" s="40" t="s">
        <v>1102</v>
      </c>
      <c r="D123" s="40" t="s">
        <v>869</v>
      </c>
      <c r="E123" s="396">
        <v>179.33780255603205</v>
      </c>
      <c r="F123" s="396">
        <v>49.720908113161045</v>
      </c>
      <c r="G123" s="396">
        <v>27.7547627741254</v>
      </c>
      <c r="H123" s="396">
        <v>7.9684541602670009</v>
      </c>
      <c r="I123" s="396">
        <v>0</v>
      </c>
      <c r="J123" s="396">
        <v>264.77999999999997</v>
      </c>
      <c r="K123" s="42"/>
      <c r="L123" s="269"/>
      <c r="N123" s="269"/>
    </row>
    <row r="124" spans="1:14">
      <c r="A124" s="40"/>
      <c r="B124" s="192" t="s">
        <v>127</v>
      </c>
      <c r="C124" s="40" t="s">
        <v>1103</v>
      </c>
      <c r="D124" s="40" t="s">
        <v>870</v>
      </c>
      <c r="E124" s="396">
        <v>200.56462263546672</v>
      </c>
      <c r="F124" s="396">
        <v>53.175367841191928</v>
      </c>
      <c r="G124" s="396">
        <v>33.533286543109952</v>
      </c>
      <c r="H124" s="396">
        <v>7.9569926078825022</v>
      </c>
      <c r="I124" s="396">
        <v>0</v>
      </c>
      <c r="J124" s="396">
        <v>295.23</v>
      </c>
      <c r="K124" s="42"/>
      <c r="L124" s="269"/>
      <c r="N124" s="269"/>
    </row>
    <row r="125" spans="1:14">
      <c r="A125" s="40"/>
      <c r="B125" s="192" t="s">
        <v>97</v>
      </c>
      <c r="C125" s="40" t="s">
        <v>1104</v>
      </c>
      <c r="D125" s="40" t="s">
        <v>871</v>
      </c>
      <c r="E125" s="396">
        <v>172.47369569312329</v>
      </c>
      <c r="F125" s="396">
        <v>46.662819028887043</v>
      </c>
      <c r="G125" s="396">
        <v>35.556753656230818</v>
      </c>
      <c r="H125" s="396">
        <v>9.3161472324461805</v>
      </c>
      <c r="I125" s="396">
        <v>0</v>
      </c>
      <c r="J125" s="396">
        <v>264.01</v>
      </c>
      <c r="K125" s="42"/>
      <c r="L125" s="269"/>
      <c r="N125" s="269"/>
    </row>
    <row r="126" spans="1:14">
      <c r="A126" s="40"/>
      <c r="B126" s="192" t="s">
        <v>129</v>
      </c>
      <c r="C126" s="40" t="s">
        <v>1105</v>
      </c>
      <c r="D126" s="40" t="s">
        <v>872</v>
      </c>
      <c r="E126" s="396">
        <v>231.28558765631436</v>
      </c>
      <c r="F126" s="396">
        <v>55.172404389362775</v>
      </c>
      <c r="G126" s="396">
        <v>37.634043385244915</v>
      </c>
      <c r="H126" s="396">
        <v>9.3276087848306783</v>
      </c>
      <c r="I126" s="396">
        <v>0</v>
      </c>
      <c r="J126" s="396">
        <v>333.42</v>
      </c>
      <c r="K126" s="42"/>
      <c r="L126" s="269"/>
      <c r="N126" s="269"/>
    </row>
    <row r="127" spans="1:14">
      <c r="A127" s="40"/>
      <c r="B127" s="192" t="s">
        <v>109</v>
      </c>
      <c r="C127" s="40" t="s">
        <v>1106</v>
      </c>
      <c r="D127" s="40" t="s">
        <v>873</v>
      </c>
      <c r="E127" s="396">
        <v>249.64389238920728</v>
      </c>
      <c r="F127" s="396">
        <v>59.211102045272959</v>
      </c>
      <c r="G127" s="396">
        <v>45.511779025595501</v>
      </c>
      <c r="H127" s="396">
        <v>9.3161472324461805</v>
      </c>
      <c r="I127" s="396">
        <v>0</v>
      </c>
      <c r="J127" s="396">
        <v>363.68</v>
      </c>
      <c r="K127" s="42"/>
      <c r="L127" s="269"/>
      <c r="N127" s="269"/>
    </row>
    <row r="128" spans="1:14">
      <c r="A128" s="40"/>
      <c r="B128" s="192" t="s">
        <v>232</v>
      </c>
      <c r="C128" s="40" t="s">
        <v>1107</v>
      </c>
      <c r="D128" s="40" t="s">
        <v>874</v>
      </c>
      <c r="E128" s="396">
        <v>143.4267921647216</v>
      </c>
      <c r="F128" s="396">
        <v>47.021831735264875</v>
      </c>
      <c r="G128" s="396">
        <v>27.257292288510477</v>
      </c>
      <c r="H128" s="396">
        <v>9.0522337131134289</v>
      </c>
      <c r="I128" s="396">
        <v>0</v>
      </c>
      <c r="J128" s="396">
        <v>226.76</v>
      </c>
      <c r="K128" s="42"/>
      <c r="L128" s="269"/>
      <c r="N128" s="269"/>
    </row>
    <row r="129" spans="1:14">
      <c r="A129" s="40"/>
      <c r="B129" s="192" t="s">
        <v>154</v>
      </c>
      <c r="C129" s="40" t="s">
        <v>1108</v>
      </c>
      <c r="D129" s="40" t="s">
        <v>875</v>
      </c>
      <c r="E129" s="396">
        <v>198.10198037398993</v>
      </c>
      <c r="F129" s="396">
        <v>52.482923766742594</v>
      </c>
      <c r="G129" s="396">
        <v>32.31054973143798</v>
      </c>
      <c r="H129" s="396">
        <v>9.0522337131134289</v>
      </c>
      <c r="I129" s="396">
        <v>0</v>
      </c>
      <c r="J129" s="396">
        <v>291.95</v>
      </c>
      <c r="K129" s="42"/>
      <c r="L129" s="269"/>
      <c r="N129" s="269"/>
    </row>
    <row r="130" spans="1:14">
      <c r="A130" s="40"/>
      <c r="B130" s="192" t="s">
        <v>41</v>
      </c>
      <c r="C130" s="40" t="s">
        <v>1109</v>
      </c>
      <c r="D130" s="40" t="s">
        <v>876</v>
      </c>
      <c r="E130" s="396">
        <v>227.73440625799901</v>
      </c>
      <c r="F130" s="396">
        <v>54.32789053784974</v>
      </c>
      <c r="G130" s="396">
        <v>38.099613397318535</v>
      </c>
      <c r="H130" s="396">
        <v>9.0522337131134289</v>
      </c>
      <c r="I130" s="396">
        <v>0</v>
      </c>
      <c r="J130" s="396">
        <v>329.21</v>
      </c>
      <c r="K130" s="42"/>
      <c r="L130" s="269"/>
      <c r="N130" s="269"/>
    </row>
    <row r="131" spans="1:14">
      <c r="A131" s="40"/>
      <c r="B131" s="192" t="s">
        <v>36</v>
      </c>
      <c r="C131" s="40" t="s">
        <v>1110</v>
      </c>
      <c r="D131" s="40" t="s">
        <v>877</v>
      </c>
      <c r="E131" s="396">
        <v>183.55045021455106</v>
      </c>
      <c r="F131" s="396">
        <v>50.823667254100663</v>
      </c>
      <c r="G131" s="396">
        <v>35.556753656230818</v>
      </c>
      <c r="H131" s="396">
        <v>10.424584013643742</v>
      </c>
      <c r="I131" s="396">
        <v>0</v>
      </c>
      <c r="J131" s="396">
        <v>280.36</v>
      </c>
      <c r="K131" s="42"/>
      <c r="L131" s="269"/>
      <c r="N131" s="269"/>
    </row>
    <row r="132" spans="1:14">
      <c r="A132" s="40"/>
      <c r="B132" s="192" t="s">
        <v>122</v>
      </c>
      <c r="C132" s="40" t="s">
        <v>1111</v>
      </c>
      <c r="D132" s="40" t="s">
        <v>878</v>
      </c>
      <c r="E132" s="396">
        <v>250.75200532852858</v>
      </c>
      <c r="F132" s="396">
        <v>58.56703299323933</v>
      </c>
      <c r="G132" s="396">
        <v>42.189830342557499</v>
      </c>
      <c r="H132" s="396">
        <v>10.424584013643742</v>
      </c>
      <c r="I132" s="396">
        <v>0</v>
      </c>
      <c r="J132" s="396">
        <v>361.93</v>
      </c>
      <c r="K132" s="42"/>
      <c r="L132" s="269"/>
      <c r="N132" s="269"/>
    </row>
    <row r="133" spans="1:14">
      <c r="A133" s="40"/>
      <c r="B133" s="192" t="s">
        <v>143</v>
      </c>
      <c r="C133" s="40" t="s">
        <v>1112</v>
      </c>
      <c r="D133" s="40" t="s">
        <v>879</v>
      </c>
      <c r="E133" s="396">
        <v>278.09231116564337</v>
      </c>
      <c r="F133" s="396">
        <v>61.119775993457608</v>
      </c>
      <c r="G133" s="396">
        <v>50.078105879804085</v>
      </c>
      <c r="H133" s="396">
        <v>10.424584013643742</v>
      </c>
      <c r="I133" s="396">
        <v>0</v>
      </c>
      <c r="J133" s="396">
        <v>399.71</v>
      </c>
      <c r="K133" s="42"/>
      <c r="L133" s="269"/>
      <c r="N133" s="269"/>
    </row>
    <row r="134" spans="1:14">
      <c r="A134" s="40"/>
      <c r="B134" s="192" t="s">
        <v>126</v>
      </c>
      <c r="C134" s="40" t="s">
        <v>1113</v>
      </c>
      <c r="D134" s="40" t="s">
        <v>1282</v>
      </c>
      <c r="E134" s="396">
        <v>4.7645621277722343</v>
      </c>
      <c r="F134" s="396">
        <v>22.126337986618406</v>
      </c>
      <c r="G134" s="396">
        <v>29.248297362383415</v>
      </c>
      <c r="H134" s="396">
        <v>2.8106789808938188</v>
      </c>
      <c r="I134" s="396">
        <v>0</v>
      </c>
      <c r="J134" s="396">
        <v>58.95</v>
      </c>
      <c r="K134" s="42"/>
      <c r="L134" s="269"/>
      <c r="N134" s="269"/>
    </row>
    <row r="135" spans="1:14">
      <c r="A135" s="40"/>
      <c r="B135" s="192" t="s">
        <v>359</v>
      </c>
      <c r="C135" s="40" t="s">
        <v>1114</v>
      </c>
      <c r="D135" s="40" t="s">
        <v>1283</v>
      </c>
      <c r="E135" s="396">
        <v>4.2131229328262982</v>
      </c>
      <c r="F135" s="396">
        <v>15.370688109498063</v>
      </c>
      <c r="G135" s="396">
        <v>46.886005353757795</v>
      </c>
      <c r="H135" s="396">
        <v>6.6152630105459176</v>
      </c>
      <c r="I135" s="396">
        <v>0</v>
      </c>
      <c r="J135" s="396">
        <v>73.09</v>
      </c>
      <c r="K135" s="42"/>
      <c r="L135" s="269"/>
      <c r="N135" s="269"/>
    </row>
    <row r="136" spans="1:14">
      <c r="A136" s="40"/>
      <c r="B136" s="192" t="s">
        <v>360</v>
      </c>
      <c r="C136" s="40" t="s">
        <v>1115</v>
      </c>
      <c r="D136" s="40" t="s">
        <v>1284</v>
      </c>
      <c r="E136" s="396">
        <v>27.01546622241867</v>
      </c>
      <c r="F136" s="396">
        <v>9.3538580727279541</v>
      </c>
      <c r="G136" s="396">
        <v>48.368438479413193</v>
      </c>
      <c r="H136" s="396">
        <v>9.6621086586956313</v>
      </c>
      <c r="I136" s="396">
        <v>0</v>
      </c>
      <c r="J136" s="396">
        <v>94.4</v>
      </c>
      <c r="K136" s="42"/>
      <c r="L136" s="269"/>
      <c r="N136" s="269"/>
    </row>
    <row r="137" spans="1:14">
      <c r="A137" s="40"/>
      <c r="B137" s="192" t="s">
        <v>624</v>
      </c>
      <c r="C137" s="40" t="s">
        <v>1116</v>
      </c>
      <c r="D137" s="40" t="s">
        <v>1285</v>
      </c>
      <c r="E137" s="396">
        <v>50.841183074501018</v>
      </c>
      <c r="F137" s="396">
        <v>29.105943337489748</v>
      </c>
      <c r="G137" s="396">
        <v>29.248297362383415</v>
      </c>
      <c r="H137" s="396">
        <v>2.8106789808938188</v>
      </c>
      <c r="I137" s="396">
        <v>0</v>
      </c>
      <c r="J137" s="396">
        <v>112.01</v>
      </c>
      <c r="K137" s="42"/>
      <c r="L137" s="269"/>
      <c r="N137" s="269"/>
    </row>
    <row r="138" spans="1:14">
      <c r="A138" s="40"/>
      <c r="B138" s="192" t="s">
        <v>625</v>
      </c>
      <c r="C138" s="40" t="s">
        <v>1117</v>
      </c>
      <c r="D138" s="40" t="s">
        <v>1286</v>
      </c>
      <c r="E138" s="396">
        <v>50.26782328747332</v>
      </c>
      <c r="F138" s="396">
        <v>30.263443033208521</v>
      </c>
      <c r="G138" s="396">
        <v>29.248297362383415</v>
      </c>
      <c r="H138" s="396">
        <v>2.8106789808938188</v>
      </c>
      <c r="I138" s="396">
        <v>0</v>
      </c>
      <c r="J138" s="396">
        <v>112.59</v>
      </c>
      <c r="K138" s="42"/>
      <c r="L138" s="269"/>
      <c r="N138" s="269"/>
    </row>
    <row r="139" spans="1:14">
      <c r="A139" s="40"/>
      <c r="B139" s="192" t="s">
        <v>620</v>
      </c>
      <c r="C139" s="40" t="s">
        <v>1616</v>
      </c>
      <c r="D139" s="40" t="s">
        <v>1617</v>
      </c>
      <c r="E139" s="396">
        <v>259.00352756152648</v>
      </c>
      <c r="F139" s="396">
        <v>65.560658552652583</v>
      </c>
      <c r="G139" s="396">
        <v>36.379125317178342</v>
      </c>
      <c r="H139" s="396">
        <v>4.7504433479895471</v>
      </c>
      <c r="I139" s="396">
        <v>0</v>
      </c>
      <c r="J139" s="396">
        <v>365.69</v>
      </c>
      <c r="K139" s="42"/>
      <c r="L139" s="269"/>
      <c r="N139" s="269"/>
    </row>
    <row r="140" spans="1:14">
      <c r="A140" s="40"/>
      <c r="B140" s="192" t="s">
        <v>1472</v>
      </c>
      <c r="C140" s="40" t="s">
        <v>1473</v>
      </c>
      <c r="D140" s="40" t="s">
        <v>1618</v>
      </c>
      <c r="E140" s="396">
        <v>191.36076118698986</v>
      </c>
      <c r="F140" s="396">
        <v>67.684610341756397</v>
      </c>
      <c r="G140" s="396">
        <v>39.343991568489116</v>
      </c>
      <c r="H140" s="396">
        <v>7.7700959988195288</v>
      </c>
      <c r="I140" s="396">
        <v>0</v>
      </c>
      <c r="J140" s="396">
        <v>306.16000000000003</v>
      </c>
      <c r="K140" s="42"/>
      <c r="L140" s="269"/>
      <c r="N140" s="269"/>
    </row>
    <row r="141" spans="1:14">
      <c r="A141" s="40"/>
      <c r="B141" s="192" t="s">
        <v>1474</v>
      </c>
      <c r="C141" s="40" t="s">
        <v>1475</v>
      </c>
      <c r="D141" s="40" t="s">
        <v>1496</v>
      </c>
      <c r="E141" s="396">
        <v>383.9499987229064</v>
      </c>
      <c r="F141" s="396">
        <v>102.1329481866311</v>
      </c>
      <c r="G141" s="396">
        <v>39.343991568489116</v>
      </c>
      <c r="H141" s="396">
        <v>7.7700959988195288</v>
      </c>
      <c r="I141" s="396">
        <v>0</v>
      </c>
      <c r="J141" s="396">
        <v>533.20000000000005</v>
      </c>
      <c r="K141" s="42"/>
      <c r="L141" s="269"/>
      <c r="N141" s="269"/>
    </row>
    <row r="142" spans="1:14">
      <c r="A142" s="40"/>
      <c r="B142" s="192" t="s">
        <v>1476</v>
      </c>
      <c r="C142" s="40" t="s">
        <v>1477</v>
      </c>
      <c r="D142" s="40" t="s">
        <v>1495</v>
      </c>
      <c r="E142" s="396">
        <v>416.13090889899775</v>
      </c>
      <c r="F142" s="396">
        <v>110.7823361576941</v>
      </c>
      <c r="G142" s="396">
        <v>65.540857241567281</v>
      </c>
      <c r="H142" s="396">
        <v>7.7700959988195288</v>
      </c>
      <c r="I142" s="396">
        <v>0</v>
      </c>
      <c r="J142" s="396">
        <v>600.22</v>
      </c>
      <c r="K142" s="42"/>
      <c r="L142" s="269"/>
      <c r="N142" s="269"/>
    </row>
    <row r="143" spans="1:14">
      <c r="A143" s="40"/>
      <c r="B143" s="192" t="s">
        <v>623</v>
      </c>
      <c r="C143" s="40" t="s">
        <v>1118</v>
      </c>
      <c r="D143" s="40" t="s">
        <v>1287</v>
      </c>
      <c r="E143" s="396">
        <v>338.9605944096997</v>
      </c>
      <c r="F143" s="396">
        <v>76.87566478100085</v>
      </c>
      <c r="G143" s="396">
        <v>46.258405928297847</v>
      </c>
      <c r="H143" s="396">
        <v>7.7722531443495733</v>
      </c>
      <c r="I143" s="396">
        <v>0</v>
      </c>
      <c r="J143" s="396">
        <v>469.87</v>
      </c>
      <c r="K143" s="42"/>
      <c r="L143" s="269"/>
      <c r="N143" s="269"/>
    </row>
    <row r="144" spans="1:14">
      <c r="A144" s="40"/>
      <c r="B144" s="192" t="s">
        <v>621</v>
      </c>
      <c r="C144" s="40" t="s">
        <v>622</v>
      </c>
      <c r="D144" s="40" t="s">
        <v>1288</v>
      </c>
      <c r="E144" s="396">
        <v>504.66367909260111</v>
      </c>
      <c r="F144" s="396">
        <v>177.63553815466574</v>
      </c>
      <c r="G144" s="396">
        <v>65.384205075721042</v>
      </c>
      <c r="H144" s="396">
        <v>10.266235902044089</v>
      </c>
      <c r="I144" s="396">
        <v>0</v>
      </c>
      <c r="J144" s="396">
        <v>757.95</v>
      </c>
      <c r="K144" s="42"/>
      <c r="L144" s="269"/>
      <c r="N144" s="269"/>
    </row>
    <row r="145" spans="1:14">
      <c r="A145" s="40"/>
      <c r="B145" s="192" t="s">
        <v>626</v>
      </c>
      <c r="C145" s="40" t="s">
        <v>1119</v>
      </c>
      <c r="D145" s="40" t="s">
        <v>1289</v>
      </c>
      <c r="E145" s="396">
        <v>204.6168242682111</v>
      </c>
      <c r="F145" s="396">
        <v>72.112969666867542</v>
      </c>
      <c r="G145" s="396">
        <v>46.886005353757795</v>
      </c>
      <c r="H145" s="396">
        <v>6.6152630105459176</v>
      </c>
      <c r="I145" s="396">
        <v>0</v>
      </c>
      <c r="J145" s="396">
        <v>330.23</v>
      </c>
      <c r="K145" s="42"/>
      <c r="L145" s="269"/>
      <c r="N145" s="269"/>
    </row>
    <row r="146" spans="1:14">
      <c r="A146" s="40"/>
      <c r="B146" s="192" t="s">
        <v>627</v>
      </c>
      <c r="C146" s="40" t="s">
        <v>1120</v>
      </c>
      <c r="D146" s="40" t="s">
        <v>1290</v>
      </c>
      <c r="E146" s="396">
        <v>234.14835266582645</v>
      </c>
      <c r="F146" s="396">
        <v>82.490242911162838</v>
      </c>
      <c r="G146" s="396">
        <v>46.886005353757795</v>
      </c>
      <c r="H146" s="396">
        <v>6.6152630105459176</v>
      </c>
      <c r="I146" s="396">
        <v>0</v>
      </c>
      <c r="J146" s="396">
        <v>370.14</v>
      </c>
      <c r="K146" s="42"/>
      <c r="L146" s="269"/>
      <c r="N146" s="269"/>
    </row>
    <row r="147" spans="1:14">
      <c r="A147" s="40"/>
      <c r="B147" s="192" t="s">
        <v>628</v>
      </c>
      <c r="C147" s="40" t="s">
        <v>1121</v>
      </c>
      <c r="D147" s="40" t="s">
        <v>1291</v>
      </c>
      <c r="E147" s="396">
        <v>226.79767272736797</v>
      </c>
      <c r="F147" s="396">
        <v>79.90724032403962</v>
      </c>
      <c r="G147" s="396">
        <v>46.886005353757795</v>
      </c>
      <c r="H147" s="396">
        <v>6.6152630105459176</v>
      </c>
      <c r="I147" s="396">
        <v>0</v>
      </c>
      <c r="J147" s="396">
        <v>360.21</v>
      </c>
      <c r="K147" s="42"/>
      <c r="L147" s="269"/>
      <c r="N147" s="269"/>
    </row>
    <row r="148" spans="1:14">
      <c r="A148" s="40"/>
      <c r="B148" s="192" t="s">
        <v>629</v>
      </c>
      <c r="C148" s="40" t="s">
        <v>1122</v>
      </c>
      <c r="D148" s="40" t="s">
        <v>1292</v>
      </c>
      <c r="E148" s="396">
        <v>329.79306429497427</v>
      </c>
      <c r="F148" s="396">
        <v>116.11647499103927</v>
      </c>
      <c r="G148" s="396">
        <v>48.368438479413193</v>
      </c>
      <c r="H148" s="396">
        <v>9.6621086586956313</v>
      </c>
      <c r="I148" s="396">
        <v>0</v>
      </c>
      <c r="J148" s="396">
        <v>503.94</v>
      </c>
      <c r="K148" s="42"/>
      <c r="L148" s="269"/>
      <c r="N148" s="269"/>
    </row>
    <row r="149" spans="1:14">
      <c r="A149" s="40"/>
      <c r="B149" s="192" t="s">
        <v>630</v>
      </c>
      <c r="C149" s="40" t="s">
        <v>1123</v>
      </c>
      <c r="D149" s="40" t="s">
        <v>1293</v>
      </c>
      <c r="E149" s="396">
        <v>184.94345074133216</v>
      </c>
      <c r="F149" s="396">
        <v>65.178026175073683</v>
      </c>
      <c r="G149" s="396">
        <v>43.791290945455309</v>
      </c>
      <c r="H149" s="396">
        <v>4.0270984985274074</v>
      </c>
      <c r="I149" s="396">
        <v>0</v>
      </c>
      <c r="J149" s="396">
        <v>297.94</v>
      </c>
      <c r="K149" s="42"/>
      <c r="L149" s="269"/>
      <c r="N149" s="269"/>
    </row>
    <row r="150" spans="1:14">
      <c r="A150" s="40"/>
      <c r="B150" s="192" t="s">
        <v>1478</v>
      </c>
      <c r="C150" s="40" t="s">
        <v>1619</v>
      </c>
      <c r="D150" s="40" t="s">
        <v>1612</v>
      </c>
      <c r="E150" s="396">
        <v>146.24636890298885</v>
      </c>
      <c r="F150" s="396">
        <v>52.603635345215196</v>
      </c>
      <c r="G150" s="396">
        <v>32.020206770047992</v>
      </c>
      <c r="H150" s="396">
        <v>4.0688510964968536</v>
      </c>
      <c r="I150" s="396">
        <v>0</v>
      </c>
      <c r="J150" s="396">
        <v>234.94</v>
      </c>
      <c r="K150" s="42"/>
      <c r="L150" s="269"/>
      <c r="N150" s="269"/>
    </row>
    <row r="151" spans="1:14">
      <c r="A151" s="40"/>
      <c r="B151" s="192" t="s">
        <v>1614</v>
      </c>
      <c r="C151" s="40" t="s">
        <v>1620</v>
      </c>
      <c r="D151" s="40" t="s">
        <v>1613</v>
      </c>
      <c r="E151" s="396">
        <v>410.58778837657258</v>
      </c>
      <c r="F151" s="396">
        <v>72.912102823167686</v>
      </c>
      <c r="G151" s="396">
        <v>46.881461393407989</v>
      </c>
      <c r="H151" s="396">
        <v>6.6133157258554487</v>
      </c>
      <c r="I151" s="396">
        <v>0</v>
      </c>
      <c r="J151" s="396">
        <v>536.99</v>
      </c>
      <c r="K151" s="42"/>
      <c r="L151" s="269"/>
      <c r="N151" s="269"/>
    </row>
    <row r="152" spans="1:14">
      <c r="A152" s="40"/>
      <c r="B152" s="192" t="s">
        <v>1621</v>
      </c>
      <c r="C152" s="40" t="s">
        <v>1622</v>
      </c>
      <c r="D152" s="40" t="s">
        <v>1623</v>
      </c>
      <c r="E152" s="400">
        <v>0</v>
      </c>
      <c r="F152" s="400">
        <v>0</v>
      </c>
      <c r="G152" s="400">
        <v>0</v>
      </c>
      <c r="H152" s="400">
        <v>0</v>
      </c>
      <c r="I152" s="400">
        <v>0</v>
      </c>
      <c r="J152" s="400">
        <v>744.78</v>
      </c>
      <c r="K152" s="400"/>
      <c r="L152" s="269"/>
      <c r="N152" s="269"/>
    </row>
    <row r="153" spans="1:14">
      <c r="A153" s="40"/>
      <c r="B153" s="192" t="s">
        <v>1624</v>
      </c>
      <c r="C153" s="40" t="s">
        <v>1625</v>
      </c>
      <c r="D153" s="40" t="s">
        <v>1626</v>
      </c>
      <c r="E153" s="400">
        <v>0</v>
      </c>
      <c r="F153" s="400">
        <v>0</v>
      </c>
      <c r="G153" s="400">
        <v>0</v>
      </c>
      <c r="H153" s="400">
        <v>0</v>
      </c>
      <c r="I153" s="400">
        <v>0</v>
      </c>
      <c r="J153" s="400">
        <v>733.39</v>
      </c>
      <c r="K153" s="396"/>
      <c r="L153" s="399"/>
      <c r="M153" s="392"/>
      <c r="N153" s="269"/>
    </row>
    <row r="154" spans="1:14">
      <c r="A154" s="40"/>
      <c r="B154" s="192" t="s">
        <v>1479</v>
      </c>
      <c r="C154" s="40" t="s">
        <v>1480</v>
      </c>
      <c r="D154" s="40" t="s">
        <v>1493</v>
      </c>
      <c r="E154" s="400">
        <v>38.140659647908208</v>
      </c>
      <c r="F154" s="400">
        <v>13.717203148066035</v>
      </c>
      <c r="G154" s="400">
        <v>8.2979554272518392</v>
      </c>
      <c r="H154" s="400">
        <v>0.6465461700095424</v>
      </c>
      <c r="I154" s="400">
        <v>0</v>
      </c>
      <c r="J154" s="400">
        <v>60.8</v>
      </c>
      <c r="K154" s="396"/>
      <c r="L154" s="399"/>
      <c r="M154" s="392"/>
      <c r="N154" s="269"/>
    </row>
    <row r="155" spans="1:14">
      <c r="A155" s="40"/>
      <c r="B155" s="192" t="s">
        <v>1481</v>
      </c>
      <c r="C155" s="40" t="s">
        <v>1482</v>
      </c>
      <c r="D155" s="40" t="s">
        <v>1492</v>
      </c>
      <c r="E155" s="400">
        <v>43.201953291277363</v>
      </c>
      <c r="F155" s="400">
        <v>15.541732269536791</v>
      </c>
      <c r="G155" s="400">
        <v>10.042624560446718</v>
      </c>
      <c r="H155" s="400">
        <v>0.6465461700095424</v>
      </c>
      <c r="I155" s="400">
        <v>0</v>
      </c>
      <c r="J155" s="400">
        <v>69.430000000000007</v>
      </c>
      <c r="K155" s="396"/>
      <c r="L155" s="399"/>
      <c r="M155" s="392"/>
      <c r="N155" s="269"/>
    </row>
    <row r="156" spans="1:14">
      <c r="A156" s="40"/>
      <c r="B156" s="192" t="s">
        <v>1483</v>
      </c>
      <c r="C156" s="40" t="s">
        <v>1484</v>
      </c>
      <c r="D156" s="40" t="s">
        <v>1491</v>
      </c>
      <c r="E156" s="396">
        <v>36.645559881579338</v>
      </c>
      <c r="F156" s="396">
        <v>13.183544825755781</v>
      </c>
      <c r="G156" s="396">
        <v>8.9731412224095983</v>
      </c>
      <c r="H156" s="396">
        <v>0.6465461700095424</v>
      </c>
      <c r="I156" s="396">
        <v>0</v>
      </c>
      <c r="J156" s="396">
        <v>59.45</v>
      </c>
      <c r="K156" s="396"/>
      <c r="L156" s="399"/>
      <c r="M156" s="392"/>
      <c r="N156" s="269"/>
    </row>
    <row r="157" spans="1:14">
      <c r="A157" s="40"/>
      <c r="B157" s="192" t="s">
        <v>1485</v>
      </c>
      <c r="C157" s="40" t="s">
        <v>1486</v>
      </c>
      <c r="D157" s="40" t="s">
        <v>1490</v>
      </c>
      <c r="E157" s="396">
        <v>47.399471551034914</v>
      </c>
      <c r="F157" s="396">
        <v>17.04547987231463</v>
      </c>
      <c r="G157" s="396">
        <v>10.04863230167744</v>
      </c>
      <c r="H157" s="396">
        <v>0.6465461700095424</v>
      </c>
      <c r="I157" s="396">
        <v>0</v>
      </c>
      <c r="J157" s="396">
        <v>75.14</v>
      </c>
      <c r="K157" s="396"/>
      <c r="L157" s="399"/>
      <c r="M157" s="392"/>
      <c r="N157" s="269"/>
    </row>
    <row r="158" spans="1:14">
      <c r="A158" s="40"/>
      <c r="B158" s="192" t="s">
        <v>1487</v>
      </c>
      <c r="C158" s="40" t="s">
        <v>1488</v>
      </c>
      <c r="D158" s="40" t="s">
        <v>1489</v>
      </c>
      <c r="E158" s="396">
        <v>58.924437563299037</v>
      </c>
      <c r="F158" s="396">
        <v>21.20345978131369</v>
      </c>
      <c r="G158" s="396">
        <v>16.005314450452651</v>
      </c>
      <c r="H158" s="396">
        <v>0.6465461700095424</v>
      </c>
      <c r="I158" s="396">
        <v>0</v>
      </c>
      <c r="J158" s="396">
        <v>96.78</v>
      </c>
      <c r="K158" s="396"/>
      <c r="L158" s="399"/>
      <c r="M158" s="392"/>
      <c r="N158" s="269"/>
    </row>
    <row r="159" spans="1:14">
      <c r="A159" s="40"/>
      <c r="B159" s="192" t="s">
        <v>3</v>
      </c>
      <c r="C159" s="40" t="s">
        <v>1124</v>
      </c>
      <c r="D159" s="40" t="s">
        <v>949</v>
      </c>
      <c r="E159" s="396">
        <v>23.501392601556407</v>
      </c>
      <c r="F159" s="396">
        <v>5.9913177143995977</v>
      </c>
      <c r="G159" s="396">
        <v>6.470766490087045</v>
      </c>
      <c r="H159" s="396">
        <v>0.97769244475034256</v>
      </c>
      <c r="I159" s="396">
        <v>0</v>
      </c>
      <c r="J159" s="396">
        <v>36.94</v>
      </c>
      <c r="K159" s="396"/>
      <c r="L159" s="399"/>
      <c r="M159" s="392"/>
      <c r="N159" s="269"/>
    </row>
    <row r="160" spans="1:14">
      <c r="A160" s="40"/>
      <c r="B160" s="192" t="s">
        <v>980</v>
      </c>
      <c r="C160" s="40" t="s">
        <v>981</v>
      </c>
      <c r="D160" s="40" t="s">
        <v>950</v>
      </c>
      <c r="E160" s="396">
        <v>37.050411833610127</v>
      </c>
      <c r="F160" s="396">
        <v>10.10668756682365</v>
      </c>
      <c r="G160" s="396">
        <v>7.7043239815083195</v>
      </c>
      <c r="H160" s="396">
        <v>0.91300301983453114</v>
      </c>
      <c r="I160" s="396">
        <v>0</v>
      </c>
      <c r="J160" s="396">
        <v>55.77</v>
      </c>
      <c r="K160" s="396"/>
      <c r="L160" s="399"/>
      <c r="M160" s="392"/>
      <c r="N160" s="269"/>
    </row>
    <row r="161" spans="1:14">
      <c r="A161" s="40"/>
      <c r="B161" s="192" t="s">
        <v>982</v>
      </c>
      <c r="C161" s="40" t="s">
        <v>983</v>
      </c>
      <c r="D161" s="40" t="s">
        <v>951</v>
      </c>
      <c r="E161" s="396">
        <v>37.050411833610127</v>
      </c>
      <c r="F161" s="396">
        <v>10.106976875368222</v>
      </c>
      <c r="G161" s="396">
        <v>7.7043239815083195</v>
      </c>
      <c r="H161" s="396">
        <v>0.99239458677666381</v>
      </c>
      <c r="I161" s="396">
        <v>0</v>
      </c>
      <c r="J161" s="396">
        <v>55.85</v>
      </c>
      <c r="K161" s="396"/>
      <c r="L161" s="399"/>
      <c r="M161" s="392"/>
      <c r="N161" s="269"/>
    </row>
    <row r="162" spans="1:14">
      <c r="A162" s="40"/>
      <c r="B162" s="192" t="s">
        <v>1272</v>
      </c>
      <c r="C162" s="40" t="s">
        <v>1275</v>
      </c>
      <c r="D162" s="40" t="s">
        <v>1281</v>
      </c>
      <c r="E162" s="396">
        <v>65.939295925517456</v>
      </c>
      <c r="F162" s="396">
        <v>24.33892833410841</v>
      </c>
      <c r="G162" s="396">
        <v>9.3382466236540473</v>
      </c>
      <c r="H162" s="396">
        <v>0.71011345987130203</v>
      </c>
      <c r="I162" s="396">
        <v>0</v>
      </c>
      <c r="J162" s="396">
        <v>100.33</v>
      </c>
      <c r="K162" s="396"/>
      <c r="L162" s="399"/>
      <c r="M162" s="392"/>
      <c r="N162" s="269"/>
    </row>
    <row r="163" spans="1:14">
      <c r="A163" s="40"/>
      <c r="B163" s="192" t="s">
        <v>4</v>
      </c>
      <c r="C163" s="40" t="s">
        <v>985</v>
      </c>
      <c r="D163" s="40" t="s">
        <v>953</v>
      </c>
      <c r="E163" s="396">
        <v>65.939295925517456</v>
      </c>
      <c r="F163" s="396">
        <v>24.333094209907681</v>
      </c>
      <c r="G163" s="396">
        <v>7.7043239815083195</v>
      </c>
      <c r="H163" s="396">
        <v>0.89977109201084149</v>
      </c>
      <c r="I163" s="396">
        <v>0</v>
      </c>
      <c r="J163" s="396">
        <v>98.88</v>
      </c>
      <c r="K163" s="396"/>
      <c r="L163" s="399"/>
      <c r="M163" s="392"/>
      <c r="N163" s="269"/>
    </row>
    <row r="164" spans="1:14">
      <c r="A164" s="40"/>
      <c r="B164" s="192" t="s">
        <v>252</v>
      </c>
      <c r="C164" s="40" t="s">
        <v>986</v>
      </c>
      <c r="D164" s="40" t="s">
        <v>954</v>
      </c>
      <c r="E164" s="396">
        <v>34.59482453826007</v>
      </c>
      <c r="F164" s="396">
        <v>7.4753069770083354</v>
      </c>
      <c r="G164" s="396">
        <v>12.010954521733478</v>
      </c>
      <c r="H164" s="396">
        <v>0.91300301983453114</v>
      </c>
      <c r="I164" s="396">
        <v>0</v>
      </c>
      <c r="J164" s="396">
        <v>54.99</v>
      </c>
      <c r="K164" s="396"/>
      <c r="L164" s="399"/>
      <c r="M164" s="392"/>
      <c r="N164" s="269"/>
    </row>
    <row r="165" spans="1:14">
      <c r="A165" s="40"/>
      <c r="B165" s="192" t="s">
        <v>987</v>
      </c>
      <c r="C165" s="40" t="s">
        <v>988</v>
      </c>
      <c r="D165" s="40" t="s">
        <v>955</v>
      </c>
      <c r="E165" s="396">
        <v>43.614319684988871</v>
      </c>
      <c r="F165" s="396">
        <v>8.9997776593884353</v>
      </c>
      <c r="G165" s="396">
        <v>8.3211027272189586</v>
      </c>
      <c r="H165" s="396">
        <v>1.7333825449032394</v>
      </c>
      <c r="I165" s="396">
        <v>0</v>
      </c>
      <c r="J165" s="396">
        <v>62.67</v>
      </c>
      <c r="K165" s="396"/>
      <c r="L165" s="399"/>
      <c r="M165" s="392"/>
      <c r="N165" s="269"/>
    </row>
    <row r="166" spans="1:14">
      <c r="A166" s="40"/>
      <c r="B166" s="192" t="s">
        <v>989</v>
      </c>
      <c r="C166" s="40" t="s">
        <v>990</v>
      </c>
      <c r="D166" s="40" t="s">
        <v>956</v>
      </c>
      <c r="E166" s="396">
        <v>43.614319684988871</v>
      </c>
      <c r="F166" s="396">
        <v>9.0115239676115024</v>
      </c>
      <c r="G166" s="396">
        <v>12.010954521733478</v>
      </c>
      <c r="H166" s="396">
        <v>0.91300301983453114</v>
      </c>
      <c r="I166" s="396">
        <v>0</v>
      </c>
      <c r="J166" s="396">
        <v>65.55</v>
      </c>
      <c r="K166" s="396"/>
      <c r="L166" s="399"/>
      <c r="M166" s="392"/>
      <c r="N166" s="269"/>
    </row>
    <row r="167" spans="1:14">
      <c r="A167" s="40"/>
      <c r="B167" s="192" t="s">
        <v>991</v>
      </c>
      <c r="C167" s="40" t="s">
        <v>992</v>
      </c>
      <c r="D167" s="40" t="s">
        <v>957</v>
      </c>
      <c r="E167" s="396">
        <v>50.036279987529205</v>
      </c>
      <c r="F167" s="396">
        <v>9.4626683727933365</v>
      </c>
      <c r="G167" s="396">
        <v>8.3211027272189586</v>
      </c>
      <c r="H167" s="396">
        <v>1.7333825449032394</v>
      </c>
      <c r="I167" s="396">
        <v>0</v>
      </c>
      <c r="J167" s="396">
        <v>69.55</v>
      </c>
      <c r="K167" s="396"/>
      <c r="L167" s="399"/>
      <c r="M167" s="392"/>
      <c r="N167" s="269"/>
    </row>
    <row r="168" spans="1:14">
      <c r="A168" s="40"/>
      <c r="B168" s="192" t="s">
        <v>993</v>
      </c>
      <c r="C168" s="40" t="s">
        <v>994</v>
      </c>
      <c r="D168" s="40" t="s">
        <v>958</v>
      </c>
      <c r="E168" s="396">
        <v>50.036279987529205</v>
      </c>
      <c r="F168" s="396">
        <v>9.4660744606025968</v>
      </c>
      <c r="G168" s="396">
        <v>9.9225633301167555</v>
      </c>
      <c r="H168" s="396">
        <v>0.91300301983453114</v>
      </c>
      <c r="I168" s="396">
        <v>0</v>
      </c>
      <c r="J168" s="396">
        <v>70.34</v>
      </c>
      <c r="K168" s="396"/>
      <c r="L168" s="399"/>
      <c r="M168" s="392"/>
      <c r="N168" s="269"/>
    </row>
    <row r="169" spans="1:14">
      <c r="A169" s="40"/>
      <c r="B169" s="192" t="s">
        <v>255</v>
      </c>
      <c r="C169" s="40" t="s">
        <v>995</v>
      </c>
      <c r="D169" s="40" t="s">
        <v>959</v>
      </c>
      <c r="E169" s="396">
        <v>34.191525599716201</v>
      </c>
      <c r="F169" s="396">
        <v>13.004373199617598</v>
      </c>
      <c r="G169" s="396">
        <v>6.470766490087045</v>
      </c>
      <c r="H169" s="396">
        <v>1.0600244400977406</v>
      </c>
      <c r="I169" s="396">
        <v>0</v>
      </c>
      <c r="J169" s="396">
        <v>54.73</v>
      </c>
      <c r="K169" s="396"/>
      <c r="L169" s="399"/>
      <c r="M169" s="392"/>
      <c r="N169" s="269"/>
    </row>
    <row r="170" spans="1:14">
      <c r="A170" s="40"/>
      <c r="B170" s="192" t="s">
        <v>254</v>
      </c>
      <c r="C170" s="40" t="s">
        <v>996</v>
      </c>
      <c r="D170" s="40" t="s">
        <v>960</v>
      </c>
      <c r="E170" s="396">
        <v>47.976216458775305</v>
      </c>
      <c r="F170" s="396">
        <v>11.817077749887734</v>
      </c>
      <c r="G170" s="396">
        <v>6.470766490087045</v>
      </c>
      <c r="H170" s="396">
        <v>1.0600244400977406</v>
      </c>
      <c r="I170" s="396">
        <v>0</v>
      </c>
      <c r="J170" s="396">
        <v>67.319999999999993</v>
      </c>
      <c r="K170" s="396"/>
      <c r="L170" s="399"/>
      <c r="M170" s="392"/>
      <c r="N170" s="269"/>
    </row>
    <row r="171" spans="1:14">
      <c r="A171" s="40"/>
      <c r="B171" s="192" t="s">
        <v>253</v>
      </c>
      <c r="C171" s="40" t="s">
        <v>997</v>
      </c>
      <c r="D171" s="40" t="s">
        <v>961</v>
      </c>
      <c r="E171" s="396">
        <v>60.074333133736296</v>
      </c>
      <c r="F171" s="396">
        <v>13.787030982588208</v>
      </c>
      <c r="G171" s="396">
        <v>7.7151446612576304</v>
      </c>
      <c r="H171" s="396">
        <v>1.0600244400977406</v>
      </c>
      <c r="I171" s="396">
        <v>0</v>
      </c>
      <c r="J171" s="396">
        <v>82.64</v>
      </c>
      <c r="K171" s="396"/>
      <c r="L171" s="399"/>
      <c r="M171" s="392"/>
      <c r="N171" s="269"/>
    </row>
    <row r="172" spans="1:14">
      <c r="A172" s="40"/>
      <c r="B172" s="192" t="s">
        <v>257</v>
      </c>
      <c r="C172" s="40" t="s">
        <v>998</v>
      </c>
      <c r="D172" s="40" t="s">
        <v>962</v>
      </c>
      <c r="E172" s="396">
        <v>36.772113454983099</v>
      </c>
      <c r="F172" s="396">
        <v>8.9643137970898348</v>
      </c>
      <c r="G172" s="396">
        <v>6.470766490087045</v>
      </c>
      <c r="H172" s="396">
        <v>1.0600244400977406</v>
      </c>
      <c r="I172" s="396">
        <v>0</v>
      </c>
      <c r="J172" s="396">
        <v>53.27</v>
      </c>
      <c r="K172" s="396"/>
      <c r="L172" s="399"/>
      <c r="M172" s="392"/>
      <c r="N172" s="269"/>
    </row>
    <row r="173" spans="1:14">
      <c r="B173" s="192" t="s">
        <v>256</v>
      </c>
      <c r="C173" s="40" t="s">
        <v>999</v>
      </c>
      <c r="D173" s="40" t="s">
        <v>963</v>
      </c>
      <c r="E173" s="396">
        <v>39.435218295133225</v>
      </c>
      <c r="F173" s="396">
        <v>11.211136251998319</v>
      </c>
      <c r="G173" s="396">
        <v>6.470766490087045</v>
      </c>
      <c r="H173" s="396">
        <v>1.0600244400977406</v>
      </c>
      <c r="I173" s="396">
        <v>0</v>
      </c>
      <c r="J173" s="396">
        <v>58.18</v>
      </c>
      <c r="K173" s="396"/>
      <c r="L173" s="399"/>
      <c r="M173" s="392"/>
    </row>
    <row r="174" spans="1:14">
      <c r="B174" s="192" t="s">
        <v>1000</v>
      </c>
      <c r="C174" s="40" t="s">
        <v>1001</v>
      </c>
      <c r="D174" s="40" t="s">
        <v>964</v>
      </c>
      <c r="E174" s="396">
        <v>49.788123971119326</v>
      </c>
      <c r="F174" s="396">
        <v>10.455547510768369</v>
      </c>
      <c r="G174" s="396">
        <v>7.7043239815083195</v>
      </c>
      <c r="H174" s="396">
        <v>1.0600244400977406</v>
      </c>
      <c r="I174" s="396">
        <v>0</v>
      </c>
      <c r="J174" s="396">
        <v>69.010000000000005</v>
      </c>
      <c r="K174" s="396"/>
      <c r="L174" s="399"/>
      <c r="M174" s="392"/>
    </row>
    <row r="175" spans="1:14">
      <c r="B175" s="192" t="s">
        <v>1002</v>
      </c>
      <c r="C175" s="40" t="s">
        <v>1003</v>
      </c>
      <c r="D175" s="40" t="s">
        <v>965</v>
      </c>
      <c r="E175" s="396">
        <v>49.788123971119326</v>
      </c>
      <c r="F175" s="396">
        <v>10.462072760936683</v>
      </c>
      <c r="G175" s="396">
        <v>9.3382466236540473</v>
      </c>
      <c r="H175" s="396">
        <v>1.0600244400977406</v>
      </c>
      <c r="I175" s="396">
        <v>0</v>
      </c>
      <c r="J175" s="396">
        <v>70.650000000000006</v>
      </c>
      <c r="K175" s="396"/>
      <c r="L175" s="399"/>
      <c r="M175" s="392"/>
    </row>
    <row r="176" spans="1:14">
      <c r="A176" s="40"/>
      <c r="D176" s="40" t="s">
        <v>299</v>
      </c>
      <c r="K176" s="396"/>
    </row>
    <row r="177" spans="11:11">
      <c r="K177" s="396"/>
    </row>
    <row r="178" spans="11:11">
      <c r="K178" s="396"/>
    </row>
    <row r="179" spans="11:11">
      <c r="K179" s="396"/>
    </row>
    <row r="180" spans="11:11">
      <c r="K180" s="396"/>
    </row>
    <row r="181" spans="11:11">
      <c r="K181" s="396"/>
    </row>
    <row r="182" spans="11:11">
      <c r="K182" s="396"/>
    </row>
    <row r="183" spans="11:11">
      <c r="K183" s="396"/>
    </row>
    <row r="184" spans="11:11">
      <c r="K184" s="396"/>
    </row>
    <row r="185" spans="11:11">
      <c r="K185" s="396"/>
    </row>
    <row r="186" spans="11:11">
      <c r="K186" s="396"/>
    </row>
    <row r="187" spans="11:11">
      <c r="K187" s="396"/>
    </row>
    <row r="188" spans="11:11">
      <c r="K188" s="396"/>
    </row>
    <row r="189" spans="11:11">
      <c r="K189" s="396"/>
    </row>
    <row r="190" spans="11:11">
      <c r="K190" s="396"/>
    </row>
    <row r="191" spans="11:11">
      <c r="K191" s="396"/>
    </row>
    <row r="192" spans="11:11">
      <c r="K192" s="396"/>
    </row>
    <row r="193" spans="11:11">
      <c r="K193" s="396"/>
    </row>
    <row r="194" spans="11:11">
      <c r="K194" s="396"/>
    </row>
    <row r="195" spans="11:11">
      <c r="K195" s="396"/>
    </row>
    <row r="196" spans="11:11">
      <c r="K196" s="396"/>
    </row>
    <row r="197" spans="11:11">
      <c r="K197" s="396"/>
    </row>
    <row r="198" spans="11:11">
      <c r="K198" s="396"/>
    </row>
    <row r="199" spans="11:11">
      <c r="K199" s="396"/>
    </row>
    <row r="200" spans="11:11">
      <c r="K200" s="396"/>
    </row>
    <row r="201" spans="11:11">
      <c r="K201" s="396"/>
    </row>
    <row r="202" spans="11:11">
      <c r="K202" s="396"/>
    </row>
    <row r="203" spans="11:11">
      <c r="K203" s="396"/>
    </row>
    <row r="204" spans="11:11">
      <c r="K204" s="396"/>
    </row>
    <row r="205" spans="11:11">
      <c r="K205" s="396"/>
    </row>
    <row r="206" spans="11:11">
      <c r="K206" s="396"/>
    </row>
    <row r="207" spans="11:11">
      <c r="K207" s="396"/>
    </row>
    <row r="208" spans="11:11">
      <c r="K208" s="396"/>
    </row>
    <row r="209" spans="11:11">
      <c r="K209" s="396"/>
    </row>
    <row r="210" spans="11:11">
      <c r="K210" s="396"/>
    </row>
    <row r="211" spans="11:11">
      <c r="K211" s="396"/>
    </row>
    <row r="212" spans="11:11">
      <c r="K212" s="396"/>
    </row>
    <row r="213" spans="11:11">
      <c r="K213" s="396"/>
    </row>
    <row r="214" spans="11:11">
      <c r="K214" s="396"/>
    </row>
    <row r="215" spans="11:11">
      <c r="K215" s="396"/>
    </row>
  </sheetData>
  <sheetProtection algorithmName="SHA-512" hashValue="xnIeEo6SZWvlbKCjgemZfjv3qz/QlzcYa96LgwjeOr0/5V7RjP+aHj0tGR3VNtHQXVl2qzKsZK9AsefbJ/d6WQ==" saltValue="wVud3ANBCp1Faq30AMkjMg==" spinCount="100000"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2" ma:contentTypeDescription="Een nieuw document maken." ma:contentTypeScope="" ma:versionID="f53cbf69b135649ae0f6c91dc7ecc8ef">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fcc08efaced4009b7e5a233a2df6af51"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59AF17-2B78-4CED-B0A1-EF9A3D61C88A}">
  <ds:schemaRefs>
    <ds:schemaRef ds:uri="564292f4-2d15-4aac-8d22-1862f79fa38a"/>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45a330b-9e2c-460f-a7f9-5d9bad6625a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8634FCE-2981-489E-A6E0-38545809A9CC}">
  <ds:schemaRefs>
    <ds:schemaRef ds:uri="http://schemas.microsoft.com/sharepoint/v3/contenttype/forms"/>
  </ds:schemaRefs>
</ds:datastoreItem>
</file>

<file path=customXml/itemProps3.xml><?xml version="1.0" encoding="utf-8"?>
<ds:datastoreItem xmlns:ds="http://schemas.openxmlformats.org/officeDocument/2006/customXml" ds:itemID="{0A7D23CB-900C-4AA8-8F42-48A61007D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65</vt:i4>
      </vt:variant>
    </vt:vector>
  </HeadingPairs>
  <TitlesOfParts>
    <vt:vector size="75" baseType="lpstr">
      <vt:lpstr>Adviesformulier</vt:lpstr>
      <vt:lpstr>Rekenblad</vt:lpstr>
      <vt:lpstr>Deeltijd verblijf</vt:lpstr>
      <vt:lpstr>Werkwijze rekenmodule</vt:lpstr>
      <vt:lpstr>Meerzorg onderbouwing</vt:lpstr>
      <vt:lpstr>PGB tarieven</vt:lpstr>
      <vt:lpstr>Tarieven ZIN prestaties</vt:lpstr>
      <vt:lpstr>Tarieven VPT</vt:lpstr>
      <vt:lpstr>Tarieven ZZP</vt:lpstr>
      <vt:lpstr>Ruimte behandeling basis MPT</vt:lpstr>
      <vt:lpstr>BGgrp</vt:lpstr>
      <vt:lpstr>BGind</vt:lpstr>
      <vt:lpstr>BHd</vt:lpstr>
      <vt:lpstr>BHgrp</vt:lpstr>
      <vt:lpstr>BHind</vt:lpstr>
      <vt:lpstr>BHindi</vt:lpstr>
      <vt:lpstr>Dagbesteding</vt:lpstr>
      <vt:lpstr>Deeltijd</vt:lpstr>
      <vt:lpstr>Deeltijd_verblijf</vt:lpstr>
      <vt:lpstr>fout</vt:lpstr>
      <vt:lpstr>GGZ</vt:lpstr>
      <vt:lpstr>groep</vt:lpstr>
      <vt:lpstr>jan</vt:lpstr>
      <vt:lpstr>LG</vt:lpstr>
      <vt:lpstr>Licht</vt:lpstr>
      <vt:lpstr>Lijst1</vt:lpstr>
      <vt:lpstr>Lijst2</vt:lpstr>
      <vt:lpstr>Lijst3</vt:lpstr>
      <vt:lpstr>Lijst4</vt:lpstr>
      <vt:lpstr>LOG</vt:lpstr>
      <vt:lpstr>Logeren</vt:lpstr>
      <vt:lpstr>Midden</vt:lpstr>
      <vt:lpstr>MPT</vt:lpstr>
      <vt:lpstr>Niet</vt:lpstr>
      <vt:lpstr>Opname</vt:lpstr>
      <vt:lpstr>Opname2</vt:lpstr>
      <vt:lpstr>OpnameGGZdagbesteding</vt:lpstr>
      <vt:lpstr>OpnameGGZVerblijfsprestatie</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Tarieven_PGB0</vt:lpstr>
      <vt:lpstr>Tarieven_VPT0</vt:lpstr>
      <vt:lpstr>Tarieven_VPT1</vt:lpstr>
      <vt:lpstr>Tarieven_ZIN_Logeren</vt:lpstr>
      <vt:lpstr>Tarieven_ZIN0</vt:lpstr>
      <vt:lpstr>Tarieven_ZIN1</vt:lpstr>
      <vt:lpstr>Tarieven_ZZP0</vt:lpstr>
      <vt:lpstr>Tarieven_ZZP1</vt:lpstr>
      <vt:lpstr>Verblijf</vt:lpstr>
      <vt:lpstr>Verblijf2</vt:lpstr>
      <vt:lpstr>verblijfzgverblijfsprestatie</vt:lpstr>
      <vt:lpstr>Vervoer</vt:lpstr>
      <vt:lpstr>VG</vt:lpstr>
      <vt:lpstr>VolPT2</vt:lpstr>
      <vt:lpstr>VP</vt:lpstr>
      <vt:lpstr>VPT</vt:lpstr>
      <vt:lpstr>VPTGGZVPTprestatie</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versie 2022</dc:title>
  <dc:creator>Zorgverzekeraars Nederland</dc:creator>
  <cp:keywords>Adviesformulier &amp; rekenmodule 2022, basisbudget zorgprofiel, verantwoorde zorg thuis, meerzorg</cp:keywords>
  <dc:description>Versie 2022-01</dc:description>
  <cp:lastModifiedBy>Trigg, R.D.</cp:lastModifiedBy>
  <cp:lastPrinted>2019-12-10T11:27:28Z</cp:lastPrinted>
  <dcterms:created xsi:type="dcterms:W3CDTF">2015-04-08T07:31:11Z</dcterms:created>
  <dcterms:modified xsi:type="dcterms:W3CDTF">2023-01-20T11:55:29Z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0x010100EF924C2367DC0E42B2112FF28855EDD2</vt:lpwstr>
  </property>
  <property fmtid="{D5CDD505-2E9C-101B-9397-08002B2CF9AE}" pid="3" name="MSIP_Label_dc51b40b-b0d3-4674-939c-d9f10b9a3b25_Enabled">
    <vt:lpwstr>true</vt:lpwstr>
  </property>
  <property fmtid="{D5CDD505-2E9C-101B-9397-08002B2CF9AE}" pid="4" name="MSIP_Label_dc51b40b-b0d3-4674-939c-d9f10b9a3b25_SetDate">
    <vt:lpwstr>2021-12-12T09:00:19Z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24a3d0a5-e4c0-4635-ab9b-d7c8967094c1</vt:lpwstr>
  </property>
  <property fmtid="{D5CDD505-2E9C-101B-9397-08002B2CF9AE}" pid="9" name="MSIP_Label_dc51b40b-b0d3-4674-939c-d9f10b9a3b25_ContentBits">
    <vt:lpwstr>0</vt:lpwstr>
  </property>
  <property fmtid="{D5CDD505-2E9C-101B-9397-08002B2CF9AE}" pid="10" name="eDOCS AutoSave">
    <vt:lpwstr>20230120125232249</vt:lpwstr>
  </property>
</Properties>
</file>